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mc:AlternateContent xmlns:mc="http://schemas.openxmlformats.org/markup-compatibility/2006">
    <mc:Choice Requires="x15">
      <x15ac:absPath xmlns:x15ac="http://schemas.microsoft.com/office/spreadsheetml/2010/11/ac" url="https://bluum.sharepoint.com/sites/backoffice/Documents/Rise Charter School - Kimberly Sd/!2024-2025 Budget/"/>
    </mc:Choice>
  </mc:AlternateContent>
  <xr:revisionPtr revIDLastSave="2933" documentId="8_{0D4EA294-6C6D-4F35-B60C-1EA2C8C54D44}" xr6:coauthVersionLast="47" xr6:coauthVersionMax="47" xr10:uidLastSave="{438AB5CD-41FE-443D-ABCB-B4476C7A88FA}"/>
  <bookViews>
    <workbookView xWindow="-4755" yWindow="-21720" windowWidth="38640" windowHeight="21120" tabRatio="818" xr2:uid="{00000000-000D-0000-FFFF-FFFF00000000}"/>
  </bookViews>
  <sheets>
    <sheet name="Master Budget Sheet" sheetId="1" r:id="rId1"/>
    <sheet name="24-25 Salary Schedule" sheetId="264" r:id="rId2"/>
    <sheet name="Projections" sheetId="263" r:id="rId3"/>
    <sheet name="Loan Amortization Based on Proj" sheetId="106" r:id="rId4"/>
    <sheet name="Input (1)" sheetId="138" r:id="rId5"/>
    <sheet name="Current Year (1)" sheetId="139" r:id="rId6"/>
    <sheet name="CY Without (1)" sheetId="140" r:id="rId7"/>
    <sheet name="Best 28 (1)" sheetId="141" r:id="rId8"/>
    <sheet name="Best 28 Without (1)" sheetId="142" r:id="rId9"/>
    <sheet name="C (1)" sheetId="143" r:id="rId10"/>
    <sheet name="criteria (1)" sheetId="144" r:id="rId11"/>
    <sheet name="Input (2)" sheetId="16" r:id="rId12"/>
    <sheet name="Current Year (2)" sheetId="17" r:id="rId13"/>
    <sheet name="Best 28 (2)" sheetId="19" r:id="rId14"/>
    <sheet name="Best 28 Without (2)" sheetId="20" r:id="rId15"/>
    <sheet name="C (2)" sheetId="21" r:id="rId16"/>
    <sheet name="CY Without (2)" sheetId="18" r:id="rId17"/>
    <sheet name="criteria (2)" sheetId="22" r:id="rId18"/>
    <sheet name="Input (3)" sheetId="23" r:id="rId19"/>
    <sheet name="Current Year (3)" sheetId="24" r:id="rId20"/>
    <sheet name="CY Without (3)" sheetId="25" r:id="rId21"/>
    <sheet name="Best 28 (3)" sheetId="26" r:id="rId22"/>
    <sheet name="Best 28 Without (3)" sheetId="27" r:id="rId23"/>
    <sheet name="C (3)" sheetId="28" r:id="rId24"/>
    <sheet name="criteria (3)" sheetId="29" r:id="rId25"/>
    <sheet name="Input (4)" sheetId="30" r:id="rId26"/>
    <sheet name="Current Year (4)" sheetId="31" r:id="rId27"/>
    <sheet name="CY Without (4)" sheetId="32" r:id="rId28"/>
    <sheet name="Best 28 (4)" sheetId="33" r:id="rId29"/>
    <sheet name="Best 28 Without (4)" sheetId="34" r:id="rId30"/>
    <sheet name="C (4)" sheetId="35" r:id="rId31"/>
    <sheet name="criteria (4)" sheetId="36" r:id="rId32"/>
    <sheet name="Input (5)" sheetId="145" r:id="rId33"/>
    <sheet name="Current Year (5)" sheetId="146" r:id="rId34"/>
    <sheet name="CY Without (5)" sheetId="147" r:id="rId35"/>
    <sheet name="Best 28 (5)" sheetId="148" r:id="rId36"/>
    <sheet name="Best 28 Without (5)" sheetId="149" r:id="rId37"/>
    <sheet name="C (5)" sheetId="150" r:id="rId38"/>
    <sheet name="criteria (5)" sheetId="151" r:id="rId39"/>
    <sheet name="Input (6)" sheetId="152" r:id="rId40"/>
    <sheet name="Current Year (6)" sheetId="153" r:id="rId41"/>
    <sheet name="CY Without (6)" sheetId="154" r:id="rId42"/>
    <sheet name="Best 28 (6)" sheetId="155" r:id="rId43"/>
    <sheet name="Best 28 Without (6)" sheetId="156" r:id="rId44"/>
    <sheet name="C (6)" sheetId="157" r:id="rId45"/>
    <sheet name="criteria (6)" sheetId="158" r:id="rId46"/>
    <sheet name="Input (7)" sheetId="159" r:id="rId47"/>
    <sheet name="Current Year (7)" sheetId="160" r:id="rId48"/>
    <sheet name="CY Without (7)" sheetId="161" r:id="rId49"/>
    <sheet name="Best 28 (7)" sheetId="162" r:id="rId50"/>
    <sheet name="Best 28 Without (7)" sheetId="163" r:id="rId51"/>
    <sheet name="C (7)" sheetId="164" r:id="rId52"/>
    <sheet name="criteria (7)" sheetId="165" r:id="rId53"/>
    <sheet name="Input (8)" sheetId="166" r:id="rId54"/>
    <sheet name="Current Year (8)" sheetId="167" r:id="rId55"/>
    <sheet name="CY Without (8)" sheetId="168" r:id="rId56"/>
    <sheet name="Best 28 (8)" sheetId="169" r:id="rId57"/>
    <sheet name="Best 28 Without (8)" sheetId="170" r:id="rId58"/>
    <sheet name="C (8)" sheetId="171" r:id="rId59"/>
    <sheet name="criteria (8)" sheetId="172" r:id="rId60"/>
    <sheet name="Enter Data Elements (1)" sheetId="200" r:id="rId61"/>
    <sheet name="Charter SBA (1)" sheetId="201" r:id="rId62"/>
    <sheet name="AdminIndex (1)" sheetId="202" r:id="rId63"/>
    <sheet name="Instructional fte (1)" sheetId="204" r:id="rId64"/>
    <sheet name="Pupil Services fte (1)" sheetId="206" r:id="rId65"/>
    <sheet name="Enter Data Elements (2)" sheetId="208" r:id="rId66"/>
    <sheet name="Charter SBA (2)" sheetId="209" r:id="rId67"/>
    <sheet name="AdminIndex (2)" sheetId="210" r:id="rId68"/>
    <sheet name="Instructional fte (2)" sheetId="212" r:id="rId69"/>
    <sheet name="Pupil Services fte (2)" sheetId="214" r:id="rId70"/>
    <sheet name="Enter Data Elements (3)" sheetId="216" r:id="rId71"/>
    <sheet name="Charter SBA (3)" sheetId="217" r:id="rId72"/>
    <sheet name="AdminIndex (3)" sheetId="218" r:id="rId73"/>
    <sheet name="Instructional fte (3)" sheetId="220" r:id="rId74"/>
    <sheet name="Pupil Services fte (3)" sheetId="222" r:id="rId75"/>
    <sheet name="Enter Data Elements (4)" sheetId="224" r:id="rId76"/>
    <sheet name="Charter SBA (4)" sheetId="225" r:id="rId77"/>
    <sheet name="AdminIndex (4)" sheetId="226" r:id="rId78"/>
    <sheet name="Instructional fte (4)" sheetId="228" r:id="rId79"/>
    <sheet name="Pupil Services fte (4)" sheetId="230" r:id="rId80"/>
    <sheet name="Enter Data Elements (5)" sheetId="232" r:id="rId81"/>
    <sheet name="Charter SBA (5)" sheetId="233" r:id="rId82"/>
    <sheet name="AdminIndex (5)" sheetId="234" r:id="rId83"/>
    <sheet name="Instructional fte (5)" sheetId="236" r:id="rId84"/>
    <sheet name="Pupil Services fte (5)" sheetId="238" r:id="rId85"/>
    <sheet name="Enter Data Elements (6)" sheetId="240" r:id="rId86"/>
    <sheet name="Charter SBA (6)" sheetId="241" r:id="rId87"/>
    <sheet name="AdminIndex (6)" sheetId="242" r:id="rId88"/>
    <sheet name="Instructional fte (6)" sheetId="244" r:id="rId89"/>
    <sheet name="Pupil Services fte (6)" sheetId="246" r:id="rId90"/>
    <sheet name="Enter Data Elements (7)" sheetId="248" r:id="rId91"/>
    <sheet name="Charter SBA (7)" sheetId="249" r:id="rId92"/>
    <sheet name="AdminIndex (7)" sheetId="250" r:id="rId93"/>
    <sheet name="Instructional fte (7)" sheetId="252" r:id="rId94"/>
    <sheet name="Pupil Services fte (7)" sheetId="254" r:id="rId95"/>
    <sheet name="Enter Data Elements (8)" sheetId="256" r:id="rId96"/>
    <sheet name="Charter SBA (8)" sheetId="257" r:id="rId97"/>
    <sheet name="AdminIndex (8)" sheetId="258" r:id="rId98"/>
    <sheet name="Instructional fte (8)" sheetId="260" r:id="rId99"/>
    <sheet name="Pupil Services fte (8)" sheetId="262" r:id="rId100"/>
  </sheets>
  <definedNames>
    <definedName name="__IntlFixup" hidden="1">TRUE</definedName>
    <definedName name="_CAP2" localSheetId="1">#REF!</definedName>
    <definedName name="_CAP2" hidden="1">{#N/A,#N/A,FALSE,"Summation";#N/A,#N/A,FALSE,"BSA";#N/A,#N/A,FALSE,"Detail1";#N/A,#N/A,FALSE,"Detail2";#N/A,#N/A,FALSE,"Detail3";#N/A,#N/A,FALSE,"WFTE_Summary";#N/A,#N/A,FALSE,"Funded_WFTE";#N/A,#N/A,FALSE,"PYADJ96"}</definedName>
    <definedName name="_xlnm._FilterDatabase" localSheetId="10" hidden="1">'criteria (1)'!$A$16:$B$25</definedName>
    <definedName name="_xlnm._FilterDatabase" localSheetId="17" hidden="1">'criteria (2)'!$A$16:$B$25</definedName>
    <definedName name="_xlnm._FilterDatabase" localSheetId="24" hidden="1">'criteria (3)'!$A$16:$B$25</definedName>
    <definedName name="_xlnm._FilterDatabase" localSheetId="31" hidden="1">'criteria (4)'!$A$16:$B$25</definedName>
    <definedName name="_xlnm._FilterDatabase" localSheetId="38" hidden="1">'criteria (5)'!$A$16:$B$25</definedName>
    <definedName name="_xlnm._FilterDatabase" localSheetId="45" hidden="1">'criteria (6)'!$A$16:$B$25</definedName>
    <definedName name="_xlnm._FilterDatabase" localSheetId="52" hidden="1">'criteria (7)'!$A$16:$B$25</definedName>
    <definedName name="_xlnm._FilterDatabase" localSheetId="59" hidden="1">'criteria (8)'!$A$16:$B$25</definedName>
    <definedName name="_FSA2" localSheetId="1">#REF!</definedName>
    <definedName name="_FSA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_FSD2" localSheetId="1">#REF!</definedName>
    <definedName name="_FSD2" hidden="1">{"inputs raw data",#N/A,TRUE,"INPUT"}</definedName>
    <definedName name="_hdd21" localSheetId="1">#REF!</definedName>
    <definedName name="_hdd2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_Table2_Out" localSheetId="1">#REF!</definedName>
    <definedName name="_Table2_Out" localSheetId="2" hidden="1">#REF!</definedName>
    <definedName name="_Table2_Out" hidden="1">#REF!</definedName>
    <definedName name="_Table3_Out" localSheetId="1">#REF!</definedName>
    <definedName name="_Table3_Out" localSheetId="2" hidden="1">#REF!</definedName>
    <definedName name="_Table3_Out" hidden="1">#REF!</definedName>
    <definedName name="CAP" localSheetId="1">#REF!</definedName>
    <definedName name="CAP" localSheetId="2" hidden="1">{#N/A,#N/A,FALSE,"Summation";#N/A,#N/A,FALSE,"BSA";#N/A,#N/A,FALSE,"Detail1";#N/A,#N/A,FALSE,"Detail2";#N/A,#N/A,FALSE,"Detail3";#N/A,#N/A,FALSE,"WFTE_Summary";#N/A,#N/A,FALSE,"Funded_WFTE";#N/A,#N/A,FALSE,"PYADJ96"}</definedName>
    <definedName name="CAP" hidden="1">{#N/A,#N/A,FALSE,"Summation";#N/A,#N/A,FALSE,"BSA";#N/A,#N/A,FALSE,"Detail1";#N/A,#N/A,FALSE,"Detail2";#N/A,#N/A,FALSE,"Detail3";#N/A,#N/A,FALSE,"WFTE_Summary";#N/A,#N/A,FALSE,"Funded_WFTE";#N/A,#N/A,FALSE,"PYADJ96"}</definedName>
    <definedName name="_xlnm.Criteria" localSheetId="10">'criteria (1)'!$A$13:$A$14</definedName>
    <definedName name="_xlnm.Criteria" localSheetId="17">'criteria (2)'!$A$13:$A$14</definedName>
    <definedName name="_xlnm.Criteria" localSheetId="24">'criteria (3)'!$A$13:$A$14</definedName>
    <definedName name="_xlnm.Criteria" localSheetId="31">'criteria (4)'!$A$13:$A$14</definedName>
    <definedName name="_xlnm.Criteria" localSheetId="38">'criteria (5)'!$A$13:$A$14</definedName>
    <definedName name="_xlnm.Criteria" localSheetId="45">'criteria (6)'!$A$13:$A$14</definedName>
    <definedName name="_xlnm.Criteria" localSheetId="52">'criteria (7)'!$A$13:$A$14</definedName>
    <definedName name="_xlnm.Criteria" localSheetId="59">'criteria (8)'!$A$13:$A$14</definedName>
    <definedName name="D" localSheetId="1">#REF!</definedName>
    <definedName name="D"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dfhsf" localSheetId="1">#REF!</definedName>
    <definedName name="dfhsf"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dfhsf"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xlnm.Extract" localSheetId="10">'criteria (1)'!$E$16:$F$16</definedName>
    <definedName name="_xlnm.Extract" localSheetId="17">'criteria (2)'!$E$16:$F$16</definedName>
    <definedName name="_xlnm.Extract" localSheetId="24">'criteria (3)'!$E$16:$F$16</definedName>
    <definedName name="_xlnm.Extract" localSheetId="31">'criteria (4)'!$E$16:$F$16</definedName>
    <definedName name="_xlnm.Extract" localSheetId="38">'criteria (5)'!$E$16:$F$16</definedName>
    <definedName name="_xlnm.Extract" localSheetId="45">'criteria (6)'!$E$16:$F$16</definedName>
    <definedName name="_xlnm.Extract" localSheetId="52">'criteria (7)'!$E$16:$F$16</definedName>
    <definedName name="_xlnm.Extract" localSheetId="59">'criteria (8)'!$E$16:$F$16</definedName>
    <definedName name="fsa" localSheetId="1">#REF!</definedName>
    <definedName name="fsa" localSheetId="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fsa"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fsd" localSheetId="1">#REF!</definedName>
    <definedName name="fsd" localSheetId="2" hidden="1">{"inputs raw data",#N/A,TRUE,"INPUT"}</definedName>
    <definedName name="fsd" hidden="1">{"inputs raw data",#N/A,TRUE,"INPUT"}</definedName>
    <definedName name="hddd" localSheetId="1">#REF!</definedName>
    <definedName name="hddd" localSheetId="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hddd"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HTML_CodePage" hidden="1">1252</definedName>
    <definedName name="HTML_Control" localSheetId="2" hidden="1">{"'AssumptionsHTML'!$B$9:$E$357","'SummationHTML'!$A$4:$J$93","'Difference'!$A$11:$K$101","'DifferenceFTE'!$A$11:$K$101","'Detail1'!$A$11:$I$97","'Detail2'!$A$11:$J$97","'Detail3'!$A$11:$J$97","'Categorical1'!$A$11:$L$97"}</definedName>
    <definedName name="HTML_Control" hidden="1">{"'AssumptionsHTML'!$B$9:$E$357","'SummationHTML'!$A$4:$J$93","'Difference'!$A$11:$K$101","'DifferenceFTE'!$A$11:$K$101","'Detail1'!$A$11:$I$97","'Detail2'!$A$11:$J$97","'Detail3'!$A$11:$J$97","'Categorical1'!$A$11:$L$97"}</definedName>
    <definedName name="HTML_Description" hidden="1">""</definedName>
    <definedName name="HTML_Email" hidden="1">""</definedName>
    <definedName name="HTML_Header" hidden="1">""</definedName>
    <definedName name="HTML_LastUpdate" hidden="1">"9/4/97"</definedName>
    <definedName name="HTML_LineAfter" hidden="1">FALSE</definedName>
    <definedName name="HTML_LineBefore" hidden="1">FALSE</definedName>
    <definedName name="HTML_Name" hidden="1">"David Montford"</definedName>
    <definedName name="HTML_OBDlg2" hidden="1">TRUE</definedName>
    <definedName name="HTML_OBDlg4" hidden="1">TRUE</definedName>
    <definedName name="HTML_OS" hidden="1">0</definedName>
    <definedName name="HTML_PathFile" hidden="1">"H:\XLFILES\test.htm"</definedName>
    <definedName name="HTML_Title" hidden="1">""</definedName>
    <definedName name="PRACTICE" localSheetId="1">#REF!</definedName>
    <definedName name="PRACTICE" localSheetId="2" hidden="1">{#N/A,#N/A,FALSE,"Summation";#N/A,#N/A,FALSE,"BSA";#N/A,#N/A,FALSE,"Detail1";#N/A,#N/A,FALSE,"Detail2";#N/A,#N/A,FALSE,"Detail3";#N/A,#N/A,FALSE,"WFTE_Summary";#N/A,#N/A,FALSE,"Funded_WFTE";#N/A,#N/A,FALSE,"PYADJ96"}</definedName>
    <definedName name="PRACTICE" hidden="1">{#N/A,#N/A,FALSE,"Summation";#N/A,#N/A,FALSE,"BSA";#N/A,#N/A,FALSE,"Detail1";#N/A,#N/A,FALSE,"Detail2";#N/A,#N/A,FALSE,"Detail3";#N/A,#N/A,FALSE,"WFTE_Summary";#N/A,#N/A,FALSE,"Funded_WFTE";#N/A,#N/A,FALSE,"PYADJ96"}</definedName>
    <definedName name="PRACTOCE" localSheetId="1">#REF!</definedName>
    <definedName name="PRACTOCE" localSheetId="2" hidden="1">{#N/A,#N/A,FALSE,"Summation";#N/A,#N/A,FALSE,"BSA";#N/A,#N/A,FALSE,"Detail1";#N/A,#N/A,FALSE,"Detail2";#N/A,#N/A,FALSE,"Detail3";#N/A,#N/A,FALSE,"WFTE_Summary";#N/A,#N/A,FALSE,"Funded_WFTE";#N/A,#N/A,FALSE,"PYADJ96"}</definedName>
    <definedName name="PRACTOCE" hidden="1">{#N/A,#N/A,FALSE,"Summation";#N/A,#N/A,FALSE,"BSA";#N/A,#N/A,FALSE,"Detail1";#N/A,#N/A,FALSE,"Detail2";#N/A,#N/A,FALSE,"Detail3";#N/A,#N/A,FALSE,"WFTE_Summary";#N/A,#N/A,FALSE,"Funded_WFTE";#N/A,#N/A,FALSE,"PYADJ96"}</definedName>
    <definedName name="_xlnm.Print_Area" localSheetId="62">'AdminIndex (1)'!$A$1:$H$61</definedName>
    <definedName name="_xlnm.Print_Area" localSheetId="67">'AdminIndex (2)'!$A$1:$H$61</definedName>
    <definedName name="_xlnm.Print_Area" localSheetId="72">'AdminIndex (3)'!$A$1:$H$61</definedName>
    <definedName name="_xlnm.Print_Area" localSheetId="77">'AdminIndex (4)'!$A$1:$H$61</definedName>
    <definedName name="_xlnm.Print_Area" localSheetId="82">'AdminIndex (5)'!$A$1:$H$61</definedName>
    <definedName name="_xlnm.Print_Area" localSheetId="87">'AdminIndex (6)'!$A$1:$H$61</definedName>
    <definedName name="_xlnm.Print_Area" localSheetId="92">'AdminIndex (7)'!$A$1:$H$61</definedName>
    <definedName name="_xlnm.Print_Area" localSheetId="97">'AdminIndex (8)'!$A$1:$H$61</definedName>
    <definedName name="_xlnm.Print_Area" localSheetId="7">'Best 28 (1)'!$A$1:$P$36</definedName>
    <definedName name="_xlnm.Print_Area" localSheetId="13">'Best 28 (2)'!$A$1:$P$36</definedName>
    <definedName name="_xlnm.Print_Area" localSheetId="21">'Best 28 (3)'!$A$1:$P$36</definedName>
    <definedName name="_xlnm.Print_Area" localSheetId="28">'Best 28 (4)'!$A$1:$P$36</definedName>
    <definedName name="_xlnm.Print_Area" localSheetId="35">'Best 28 (5)'!$A$1:$P$36</definedName>
    <definedName name="_xlnm.Print_Area" localSheetId="42">'Best 28 (6)'!$A$1:$P$36</definedName>
    <definedName name="_xlnm.Print_Area" localSheetId="49">'Best 28 (7)'!$A$1:$P$36</definedName>
    <definedName name="_xlnm.Print_Area" localSheetId="56">'Best 28 (8)'!$A$1:$P$36</definedName>
    <definedName name="_xlnm.Print_Area" localSheetId="8">'Best 28 Without (1)'!$A$1:$P$37</definedName>
    <definedName name="_xlnm.Print_Area" localSheetId="14">'Best 28 Without (2)'!$A$1:$P$37</definedName>
    <definedName name="_xlnm.Print_Area" localSheetId="22">'Best 28 Without (3)'!$A$1:$P$37</definedName>
    <definedName name="_xlnm.Print_Area" localSheetId="29">'Best 28 Without (4)'!$A$1:$P$37</definedName>
    <definedName name="_xlnm.Print_Area" localSheetId="36">'Best 28 Without (5)'!$A$1:$P$37</definedName>
    <definedName name="_xlnm.Print_Area" localSheetId="43">'Best 28 Without (6)'!$A$1:$P$37</definedName>
    <definedName name="_xlnm.Print_Area" localSheetId="50">'Best 28 Without (7)'!$A$1:$P$37</definedName>
    <definedName name="_xlnm.Print_Area" localSheetId="57">'Best 28 Without (8)'!$A$1:$P$37</definedName>
    <definedName name="_xlnm.Print_Area" localSheetId="61">'Charter SBA (1)'!$A$1:$Y$51</definedName>
    <definedName name="_xlnm.Print_Area" localSheetId="66">'Charter SBA (2)'!$A$1:$Y$51</definedName>
    <definedName name="_xlnm.Print_Area" localSheetId="71">'Charter SBA (3)'!$A$1:$Y$51</definedName>
    <definedName name="_xlnm.Print_Area" localSheetId="76">'Charter SBA (4)'!$A$1:$Y$51</definedName>
    <definedName name="_xlnm.Print_Area" localSheetId="81">'Charter SBA (5)'!$A$1:$Y$51</definedName>
    <definedName name="_xlnm.Print_Area" localSheetId="86">'Charter SBA (6)'!$A$1:$Y$51</definedName>
    <definedName name="_xlnm.Print_Area" localSheetId="91">'Charter SBA (7)'!$A$1:$Y$51</definedName>
    <definedName name="_xlnm.Print_Area" localSheetId="96">'Charter SBA (8)'!$A$1:$Y$51</definedName>
    <definedName name="_xlnm.Print_Area" localSheetId="5">'Current Year (1)'!$A$1:$P$36</definedName>
    <definedName name="_xlnm.Print_Area" localSheetId="12">'Current Year (2)'!$A$1:$P$36</definedName>
    <definedName name="_xlnm.Print_Area" localSheetId="19">'Current Year (3)'!$A$1:$P$36</definedName>
    <definedName name="_xlnm.Print_Area" localSheetId="26">'Current Year (4)'!$A$1:$P$36</definedName>
    <definedName name="_xlnm.Print_Area" localSheetId="33">'Current Year (5)'!$A$1:$P$36</definedName>
    <definedName name="_xlnm.Print_Area" localSheetId="40">'Current Year (6)'!$A$1:$P$36</definedName>
    <definedName name="_xlnm.Print_Area" localSheetId="47">'Current Year (7)'!$A$1:$P$36</definedName>
    <definedName name="_xlnm.Print_Area" localSheetId="54">'Current Year (8)'!$A$1:$P$36</definedName>
    <definedName name="_xlnm.Print_Area" localSheetId="6">'CY Without (1)'!$A$1:$P$37</definedName>
    <definedName name="_xlnm.Print_Area" localSheetId="16">'CY Without (2)'!$A$1:$P$37</definedName>
    <definedName name="_xlnm.Print_Area" localSheetId="20">'CY Without (3)'!$A$1:$P$37</definedName>
    <definedName name="_xlnm.Print_Area" localSheetId="27">'CY Without (4)'!$A$1:$P$37</definedName>
    <definedName name="_xlnm.Print_Area" localSheetId="34">'CY Without (5)'!$A$1:$P$37</definedName>
    <definedName name="_xlnm.Print_Area" localSheetId="41">'CY Without (6)'!$A$1:$P$37</definedName>
    <definedName name="_xlnm.Print_Area" localSheetId="48">'CY Without (7)'!$A$1:$P$37</definedName>
    <definedName name="_xlnm.Print_Area" localSheetId="55">'CY Without (8)'!$A$1:$P$37</definedName>
    <definedName name="_xlnm.Print_Area" localSheetId="60">'Enter Data Elements (1)'!$B$1:$M$27</definedName>
    <definedName name="_xlnm.Print_Area" localSheetId="65">'Enter Data Elements (2)'!$B$1:$M$27</definedName>
    <definedName name="_xlnm.Print_Area" localSheetId="70">'Enter Data Elements (3)'!$B$1:$M$27</definedName>
    <definedName name="_xlnm.Print_Area" localSheetId="75">'Enter Data Elements (4)'!$B$1:$M$27</definedName>
    <definedName name="_xlnm.Print_Area" localSheetId="80">'Enter Data Elements (5)'!$B$1:$M$27</definedName>
    <definedName name="_xlnm.Print_Area" localSheetId="85">'Enter Data Elements (6)'!$B$1:$M$27</definedName>
    <definedName name="_xlnm.Print_Area" localSheetId="90">'Enter Data Elements (7)'!$B$1:$M$27</definedName>
    <definedName name="_xlnm.Print_Area" localSheetId="95">'Enter Data Elements (8)'!$B$1:$M$27</definedName>
    <definedName name="_xlnm.Print_Area" localSheetId="63">'Instructional fte (1)'!$A$1:$G$46</definedName>
    <definedName name="_xlnm.Print_Area" localSheetId="68">'Instructional fte (2)'!$A$1:$G$46</definedName>
    <definedName name="_xlnm.Print_Area" localSheetId="73">'Instructional fte (3)'!$A$1:$G$46</definedName>
    <definedName name="_xlnm.Print_Area" localSheetId="78">'Instructional fte (4)'!$A$1:$G$46</definedName>
    <definedName name="_xlnm.Print_Area" localSheetId="83">'Instructional fte (5)'!$A$1:$G$46</definedName>
    <definedName name="_xlnm.Print_Area" localSheetId="88">'Instructional fte (6)'!$A$1:$G$46</definedName>
    <definedName name="_xlnm.Print_Area" localSheetId="93">'Instructional fte (7)'!$A$1:$G$46</definedName>
    <definedName name="_xlnm.Print_Area" localSheetId="98">'Instructional fte (8)'!$A$1:$G$46</definedName>
    <definedName name="_xlnm.Print_Area" localSheetId="3">'Loan Amortization Based on Proj'!$U$1:$AD$193</definedName>
    <definedName name="_xlnm.Print_Area" localSheetId="0">'Master Budget Sheet'!$D$2:$BE$652</definedName>
    <definedName name="TABLE2OUT2" localSheetId="1">#REF!</definedName>
    <definedName name="TABLE2OUT2" hidden="1">#REF!</definedName>
    <definedName name="TABLE3OUT2" localSheetId="1">#REF!</definedName>
    <definedName name="TABLE3OUT2" hidden="1">#REF!</definedName>
    <definedName name="wrn.Base._.Data._.Comparison." localSheetId="1">#REF!</definedName>
    <definedName name="wrn.Base._.Data._.Comparison." localSheetId="2" hidden="1">{#N/A,#N/A,FALSE,"Summation";#N/A,#N/A,FALSE,"BSA";#N/A,#N/A,FALSE,"Detail1";#N/A,#N/A,FALSE,"Detail2";#N/A,#N/A,FALSE,"Detail3";#N/A,#N/A,FALSE,"WFTE_Summary";#N/A,#N/A,FALSE,"Funded_WFTE";#N/A,#N/A,FALSE,"PYADJ96"}</definedName>
    <definedName name="wrn.Base._.Data._.Comparison." hidden="1">{#N/A,#N/A,FALSE,"Summation";#N/A,#N/A,FALSE,"BSA";#N/A,#N/A,FALSE,"Detail1";#N/A,#N/A,FALSE,"Detail2";#N/A,#N/A,FALSE,"Detail3";#N/A,#N/A,FALSE,"WFTE_Summary";#N/A,#N/A,FALSE,"Funded_WFTE";#N/A,#N/A,FALSE,"PYADJ96"}</definedName>
    <definedName name="wrn.pl." localSheetId="1">#REF!</definedName>
    <definedName name="wrn.pl." localSheetId="2" hidden="1">{#N/A,#N/A,FALSE,"Cons PL-Accrual"}</definedName>
    <definedName name="wrn.pl." hidden="1">{#N/A,#N/A,FALSE,"Cons PL-Accrual"}</definedName>
    <definedName name="wrn.Print._.Everythin." localSheetId="1">#REF!</definedName>
    <definedName name="wrn.Print._.Everythin." localSheetId="2" hidden="1">{#N/A,#N/A,FALSE,"PRELIMINARY REVIEW";#N/A,#N/A,FALSE,"SOURCES AND USES OF FUNDS";#N/A,#N/A,FALSE,"COST ITEMS";#N/A,#N/A,FALSE,"DRAW SCHEDULE";#N/A,#N/A,FALSE,"STABILIZED OPERATING PROFORMA";#N/A,#N/A,FALSE,"LEASE UP OPERATING PROFORMA";#N/A,#N/A,FALSE,"INPUT SHEET"}</definedName>
    <definedName name="wrn.Print._.Everythin." hidden="1">{#N/A,#N/A,FALSE,"PRELIMINARY REVIEW";#N/A,#N/A,FALSE,"SOURCES AND USES OF FUNDS";#N/A,#N/A,FALSE,"COST ITEMS";#N/A,#N/A,FALSE,"DRAW SCHEDULE";#N/A,#N/A,FALSE,"STABILIZED OPERATING PROFORMA";#N/A,#N/A,FALSE,"LEASE UP OPERATING PROFORMA";#N/A,#N/A,FALSE,"INPUT SHEET"}</definedName>
    <definedName name="wrn.print._.graphs." localSheetId="1">#REF!</definedName>
    <definedName name="wrn.print._.graphs." localSheetId="2" hidden="1">{"cap_structure",#N/A,FALSE,"Graph-Mkt Cap";"price",#N/A,FALSE,"Graph-Price";"ebit",#N/A,FALSE,"Graph-EBITDA";"ebitda",#N/A,FALSE,"Graph-EBITDA"}</definedName>
    <definedName name="wrn.print._.graphs." hidden="1">{"cap_structure",#N/A,FALSE,"Graph-Mkt Cap";"price",#N/A,FALSE,"Graph-Price";"ebit",#N/A,FALSE,"Graph-EBITDA";"ebitda",#N/A,FALSE,"Graph-EBITDA"}</definedName>
    <definedName name="wrn.print._.raw._.data._.entry." localSheetId="1">#REF!</definedName>
    <definedName name="wrn.print._.raw._.data._.entry." localSheetId="2" hidden="1">{"inputs raw data",#N/A,TRUE,"INPUT"}</definedName>
    <definedName name="wrn.print._.raw._.data._.entry." hidden="1">{"inputs raw data",#N/A,TRUE,"INPUT"}</definedName>
    <definedName name="wrn.print._.summary._.sheets." localSheetId="1">#REF!</definedName>
    <definedName name="wrn.print._.summary._.sheets." localSheetId="2" hidden="1">{"summary1",#N/A,TRUE,"Comps";"summary2",#N/A,TRUE,"Comps";"summary3",#N/A,TRUE,"Comps"}</definedName>
    <definedName name="wrn.print._.summary._.sheets." hidden="1">{"summary1",#N/A,TRUE,"Comps";"summary2",#N/A,TRUE,"Comps";"summary3",#N/A,TRUE,"Comps"}</definedName>
    <definedName name="wrn.SecondCalc9798." localSheetId="1">#REF!</definedName>
    <definedName name="wrn.SecondCalc9798." localSheetId="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yndication." localSheetId="1">#REF!</definedName>
    <definedName name="wrn.Syndication." localSheetId="2" hidden="1">{#N/A,#N/A,FALSE,"Assumptions";"Section 1",#N/A,FALSE,"SYNDICATION MODEL";"Section 2",#N/A,FALSE,"SYNDICATION MODEL";#N/A,#N/A,FALSE,"Input Sheet";#N/A,#N/A,FALSE,"SYNDICATION ROE"}</definedName>
    <definedName name="wrn.Syndication." hidden="1">{#N/A,#N/A,FALSE,"Assumptions";"Section 1",#N/A,FALSE,"SYNDICATION MODEL";"Section 2",#N/A,FALSE,"SYNDICATION MODEL";#N/A,#N/A,FALSE,"Input Sheet";#N/A,#N/A,FALSE,"SYNDICATION ROE"}</definedName>
    <definedName name="wvu.inputs._.raw._.data." localSheetId="1">#REF!</definedName>
    <definedName name="wvu.inputs._.raw._.data." localSheetId="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summary1." localSheetId="1">#REF!</definedName>
    <definedName name="wvu.summary1." localSheetId="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localSheetId="1">#REF!</definedName>
    <definedName name="wvu.summary2." localSheetId="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localSheetId="1">#REF!</definedName>
    <definedName name="wvu.summary3."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24" i="1" l="1"/>
  <c r="Y117" i="1"/>
  <c r="AR220" i="1"/>
  <c r="AM220" i="1"/>
  <c r="AC220" i="1"/>
  <c r="AH220" i="1"/>
  <c r="AM333" i="1"/>
  <c r="AR333" i="1" s="1"/>
  <c r="AW333" i="1" s="1"/>
  <c r="BB333" i="1" s="1"/>
  <c r="AM332" i="1"/>
  <c r="AR332" i="1" s="1"/>
  <c r="AW332" i="1" s="1"/>
  <c r="BB332" i="1" s="1"/>
  <c r="AM357" i="1"/>
  <c r="AR357" i="1" s="1"/>
  <c r="AW357" i="1" s="1"/>
  <c r="BB357" i="1" s="1"/>
  <c r="AH353" i="1"/>
  <c r="AM353" i="1" s="1"/>
  <c r="AR353" i="1" s="1"/>
  <c r="AW353" i="1" s="1"/>
  <c r="BB353" i="1" s="1"/>
  <c r="AH355" i="1"/>
  <c r="AM355" i="1" s="1"/>
  <c r="AR355" i="1" s="1"/>
  <c r="AW355" i="1" s="1"/>
  <c r="BB355" i="1" s="1"/>
  <c r="AH356" i="1"/>
  <c r="AM356" i="1" s="1"/>
  <c r="AR356" i="1" s="1"/>
  <c r="AW356" i="1" s="1"/>
  <c r="BB356" i="1" s="1"/>
  <c r="AH357" i="1"/>
  <c r="AH362" i="1"/>
  <c r="AM362" i="1" s="1"/>
  <c r="AR362" i="1" s="1"/>
  <c r="AW362" i="1" s="1"/>
  <c r="BB362" i="1" s="1"/>
  <c r="AM377" i="1"/>
  <c r="AR377" i="1" s="1"/>
  <c r="AW377" i="1" s="1"/>
  <c r="BB377" i="1" s="1"/>
  <c r="AM375" i="1"/>
  <c r="AR375" i="1" s="1"/>
  <c r="AW375" i="1" s="1"/>
  <c r="BB375" i="1" s="1"/>
  <c r="AM374" i="1"/>
  <c r="AR374" i="1" s="1"/>
  <c r="AW374" i="1" s="1"/>
  <c r="BB374" i="1" s="1"/>
  <c r="AH373" i="1"/>
  <c r="AM373" i="1" s="1"/>
  <c r="AR373" i="1" s="1"/>
  <c r="AW373" i="1" s="1"/>
  <c r="BB373" i="1" s="1"/>
  <c r="AH375" i="1"/>
  <c r="AH377" i="1"/>
  <c r="AH374" i="1"/>
  <c r="AH379" i="1"/>
  <c r="AM379" i="1" s="1"/>
  <c r="AR379" i="1" s="1"/>
  <c r="AW379" i="1" s="1"/>
  <c r="BB379" i="1" s="1"/>
  <c r="AH396" i="1"/>
  <c r="AM396" i="1" s="1"/>
  <c r="AR396" i="1" s="1"/>
  <c r="AW396" i="1" s="1"/>
  <c r="BB396" i="1" s="1"/>
  <c r="AH401" i="1"/>
  <c r="AM401" i="1" s="1"/>
  <c r="AR401" i="1" s="1"/>
  <c r="AW401" i="1" s="1"/>
  <c r="BB401" i="1" s="1"/>
  <c r="AW89" i="1"/>
  <c r="AH122" i="1"/>
  <c r="AM122" i="1" s="1"/>
  <c r="AR122" i="1" s="1"/>
  <c r="AW122" i="1" s="1"/>
  <c r="BB122" i="1" s="1"/>
  <c r="AM139" i="1"/>
  <c r="AR139" i="1" s="1"/>
  <c r="AW139" i="1" s="1"/>
  <c r="BB139" i="1" s="1"/>
  <c r="AH139" i="1"/>
  <c r="AH138" i="1"/>
  <c r="AM138" i="1" s="1"/>
  <c r="AR138" i="1" s="1"/>
  <c r="AW138" i="1" s="1"/>
  <c r="BB138" i="1" s="1"/>
  <c r="AL138" i="1"/>
  <c r="AQ138" i="1" s="1"/>
  <c r="AV138" i="1" s="1"/>
  <c r="BA138" i="1" s="1"/>
  <c r="AK97" i="1"/>
  <c r="AK96" i="1"/>
  <c r="AP96" i="1" s="1"/>
  <c r="AH140" i="1"/>
  <c r="AH137" i="1"/>
  <c r="AH89" i="1"/>
  <c r="AM89" i="1" s="1"/>
  <c r="AR89" i="1" s="1"/>
  <c r="AC358" i="1"/>
  <c r="AC413" i="1"/>
  <c r="BB89" i="1" l="1"/>
  <c r="AU96" i="1"/>
  <c r="AP97" i="1"/>
  <c r="Y90" i="1"/>
  <c r="Y279" i="1"/>
  <c r="Y256" i="1"/>
  <c r="AC437" i="1"/>
  <c r="Y437" i="1"/>
  <c r="T437" i="1"/>
  <c r="Q437" i="1"/>
  <c r="O437" i="1"/>
  <c r="M437" i="1"/>
  <c r="AC432" i="1"/>
  <c r="Y432" i="1"/>
  <c r="T432" i="1"/>
  <c r="Q432" i="1"/>
  <c r="O432" i="1"/>
  <c r="M432" i="1"/>
  <c r="AC427" i="1"/>
  <c r="Y427" i="1"/>
  <c r="T427" i="1"/>
  <c r="Q427" i="1"/>
  <c r="O427" i="1"/>
  <c r="M427" i="1"/>
  <c r="AC421" i="1"/>
  <c r="Y421" i="1"/>
  <c r="T421" i="1"/>
  <c r="Q421" i="1"/>
  <c r="O421" i="1"/>
  <c r="M421" i="1"/>
  <c r="AU97" i="1" l="1"/>
  <c r="AZ96" i="1"/>
  <c r="Y358" i="1"/>
  <c r="AC129" i="1"/>
  <c r="AZ97" i="1" l="1"/>
  <c r="BE96" i="1"/>
  <c r="AC128" i="1"/>
  <c r="AC130" i="1"/>
  <c r="H26" i="218"/>
  <c r="H25" i="218"/>
  <c r="AC90" i="1"/>
  <c r="AC136" i="1"/>
  <c r="AB162" i="1"/>
  <c r="H38" i="218"/>
  <c r="G38" i="218"/>
  <c r="F38" i="218"/>
  <c r="E38" i="218"/>
  <c r="D38" i="218"/>
  <c r="C38" i="218"/>
  <c r="B38" i="218"/>
  <c r="H37" i="218"/>
  <c r="G37" i="218"/>
  <c r="F37" i="218"/>
  <c r="E37" i="218"/>
  <c r="D37" i="218"/>
  <c r="C37" i="218"/>
  <c r="B37" i="218"/>
  <c r="H36" i="218"/>
  <c r="G36" i="218"/>
  <c r="F36" i="218"/>
  <c r="E36" i="218"/>
  <c r="D36" i="218"/>
  <c r="C36" i="218"/>
  <c r="B36" i="218"/>
  <c r="H35" i="218"/>
  <c r="G35" i="218"/>
  <c r="F35" i="218"/>
  <c r="E35" i="218"/>
  <c r="D35" i="218"/>
  <c r="C35" i="218"/>
  <c r="B35" i="218"/>
  <c r="H34" i="218"/>
  <c r="G34" i="218"/>
  <c r="F34" i="218"/>
  <c r="E34" i="218"/>
  <c r="D34" i="218"/>
  <c r="C34" i="218"/>
  <c r="B34" i="218"/>
  <c r="H33" i="218"/>
  <c r="G33" i="218"/>
  <c r="F33" i="218"/>
  <c r="E33" i="218"/>
  <c r="D33" i="218"/>
  <c r="C33" i="218"/>
  <c r="B33" i="218"/>
  <c r="H32" i="218"/>
  <c r="G32" i="218"/>
  <c r="F32" i="218"/>
  <c r="E32" i="218"/>
  <c r="D32" i="218"/>
  <c r="C32" i="218"/>
  <c r="B32" i="218"/>
  <c r="H31" i="218"/>
  <c r="G31" i="218"/>
  <c r="F31" i="218"/>
  <c r="E31" i="218"/>
  <c r="D31" i="218"/>
  <c r="C31" i="218"/>
  <c r="B31" i="218"/>
  <c r="H30" i="218"/>
  <c r="G30" i="218"/>
  <c r="F30" i="218"/>
  <c r="E30" i="218"/>
  <c r="D30" i="218"/>
  <c r="C30" i="218"/>
  <c r="B30" i="218"/>
  <c r="H29" i="218"/>
  <c r="G29" i="218"/>
  <c r="F29" i="218"/>
  <c r="E29" i="218"/>
  <c r="D29" i="218"/>
  <c r="C29" i="218"/>
  <c r="B29" i="218"/>
  <c r="G28" i="218"/>
  <c r="F28" i="218"/>
  <c r="E28" i="218"/>
  <c r="D28" i="218"/>
  <c r="C28" i="218"/>
  <c r="B28" i="218"/>
  <c r="H27" i="218"/>
  <c r="G27" i="218"/>
  <c r="F27" i="218"/>
  <c r="E27" i="218"/>
  <c r="D27" i="218"/>
  <c r="C27" i="218"/>
  <c r="B27" i="218"/>
  <c r="G26" i="218"/>
  <c r="F26" i="218"/>
  <c r="E26" i="218"/>
  <c r="D26" i="218"/>
  <c r="C26" i="218"/>
  <c r="B26" i="218"/>
  <c r="G25" i="218"/>
  <c r="F25" i="218"/>
  <c r="E25" i="218"/>
  <c r="D25" i="218"/>
  <c r="C25" i="218"/>
  <c r="B25" i="218"/>
  <c r="H28" i="202"/>
  <c r="G12" i="264"/>
  <c r="G21" i="264"/>
  <c r="G11" i="264"/>
  <c r="G13" i="264"/>
  <c r="G14" i="264"/>
  <c r="G15" i="264"/>
  <c r="G16" i="264"/>
  <c r="G17" i="264"/>
  <c r="G18" i="264"/>
  <c r="G19" i="264"/>
  <c r="G20" i="264"/>
  <c r="E11" i="264"/>
  <c r="E12" i="264"/>
  <c r="E13" i="264"/>
  <c r="E14" i="264"/>
  <c r="E15" i="264"/>
  <c r="E16" i="264"/>
  <c r="E17" i="264"/>
  <c r="E18" i="264"/>
  <c r="E19" i="264"/>
  <c r="E20" i="264"/>
  <c r="E21" i="264"/>
  <c r="C11" i="264"/>
  <c r="C12" i="264"/>
  <c r="C13" i="264"/>
  <c r="C14" i="264"/>
  <c r="C15" i="264"/>
  <c r="C16" i="264"/>
  <c r="C17" i="264"/>
  <c r="C18" i="264"/>
  <c r="C19" i="264"/>
  <c r="C20" i="264"/>
  <c r="C21" i="264"/>
  <c r="C10" i="264"/>
  <c r="E10" i="264"/>
  <c r="G10" i="264"/>
  <c r="F21" i="264"/>
  <c r="L21" i="264" s="1"/>
  <c r="D21" i="264"/>
  <c r="J21" i="264" s="1"/>
  <c r="B21" i="264"/>
  <c r="H21" i="264" s="1"/>
  <c r="B20" i="264"/>
  <c r="D20" i="264"/>
  <c r="J20" i="264" s="1"/>
  <c r="F20" i="264"/>
  <c r="L20" i="264" s="1"/>
  <c r="F19" i="264"/>
  <c r="L19" i="264" s="1"/>
  <c r="D19" i="264"/>
  <c r="J19" i="264" s="1"/>
  <c r="B19" i="264"/>
  <c r="H19" i="264" s="1"/>
  <c r="B18" i="264"/>
  <c r="D18" i="264"/>
  <c r="J18" i="264" s="1"/>
  <c r="F18" i="264"/>
  <c r="L18" i="264" s="1"/>
  <c r="F17" i="264"/>
  <c r="L17" i="264" s="1"/>
  <c r="D17" i="264"/>
  <c r="B17" i="264"/>
  <c r="H17" i="264" s="1"/>
  <c r="B16" i="264"/>
  <c r="D16" i="264"/>
  <c r="J16" i="264" s="1"/>
  <c r="F16" i="264"/>
  <c r="L16" i="264" s="1"/>
  <c r="F15" i="264"/>
  <c r="D15" i="264"/>
  <c r="B15" i="264"/>
  <c r="H15" i="264" s="1"/>
  <c r="B14" i="264"/>
  <c r="H14" i="264" s="1"/>
  <c r="D14" i="264"/>
  <c r="J14" i="264" s="1"/>
  <c r="F14" i="264"/>
  <c r="L14" i="264" s="1"/>
  <c r="F13" i="264"/>
  <c r="L13" i="264" s="1"/>
  <c r="D13" i="264"/>
  <c r="J13" i="264" s="1"/>
  <c r="B13" i="264"/>
  <c r="H13" i="264" s="1"/>
  <c r="B12" i="264"/>
  <c r="H12" i="264" s="1"/>
  <c r="D12" i="264"/>
  <c r="J12" i="264" s="1"/>
  <c r="F12" i="264"/>
  <c r="L12" i="264" s="1"/>
  <c r="F11" i="264"/>
  <c r="L11" i="264" s="1"/>
  <c r="D11" i="264"/>
  <c r="J11" i="264" s="1"/>
  <c r="B11" i="264"/>
  <c r="H11" i="264" s="1"/>
  <c r="B10" i="264"/>
  <c r="H10" i="264" s="1"/>
  <c r="D10" i="264"/>
  <c r="J10" i="264" s="1"/>
  <c r="F10" i="264"/>
  <c r="L10" i="264" s="1"/>
  <c r="F9" i="264"/>
  <c r="D9" i="264"/>
  <c r="J9" i="264" s="1"/>
  <c r="B9" i="264"/>
  <c r="H9" i="264" s="1"/>
  <c r="BG135" i="1"/>
  <c r="BH135" i="1" s="1"/>
  <c r="BG134" i="1"/>
  <c r="BH134" i="1" s="1"/>
  <c r="BG133" i="1"/>
  <c r="BH133" i="1" s="1"/>
  <c r="BG132" i="1"/>
  <c r="BH132" i="1" s="1"/>
  <c r="BG131" i="1"/>
  <c r="BH131" i="1" s="1"/>
  <c r="BG130" i="1"/>
  <c r="BH130" i="1" s="1"/>
  <c r="BG128" i="1"/>
  <c r="BH128" i="1" s="1"/>
  <c r="BG87" i="1"/>
  <c r="BH87" i="1" s="1"/>
  <c r="BG122" i="1"/>
  <c r="BH122" i="1" s="1"/>
  <c r="L9" i="264"/>
  <c r="L40" i="264"/>
  <c r="M40" i="264" s="1"/>
  <c r="K40" i="264"/>
  <c r="J40" i="264"/>
  <c r="H40" i="264"/>
  <c r="I40" i="264" s="1"/>
  <c r="S39" i="264"/>
  <c r="T39" i="264" s="1"/>
  <c r="Q39" i="264"/>
  <c r="R39" i="264" s="1"/>
  <c r="P39" i="264"/>
  <c r="O39" i="264"/>
  <c r="L39" i="264"/>
  <c r="M39" i="264" s="1"/>
  <c r="J39" i="264"/>
  <c r="K39" i="264" s="1"/>
  <c r="H39" i="264"/>
  <c r="I39" i="264" s="1"/>
  <c r="T38" i="264"/>
  <c r="S38" i="264"/>
  <c r="Q38" i="264"/>
  <c r="R38" i="264" s="1"/>
  <c r="O38" i="264"/>
  <c r="P38" i="264" s="1"/>
  <c r="L38" i="264"/>
  <c r="M38" i="264" s="1"/>
  <c r="K38" i="264"/>
  <c r="J38" i="264"/>
  <c r="H38" i="264"/>
  <c r="I38" i="264" s="1"/>
  <c r="S37" i="264"/>
  <c r="T37" i="264" s="1"/>
  <c r="Q37" i="264"/>
  <c r="R37" i="264" s="1"/>
  <c r="P37" i="264"/>
  <c r="O37" i="264"/>
  <c r="L37" i="264"/>
  <c r="M37" i="264" s="1"/>
  <c r="J37" i="264"/>
  <c r="K37" i="264" s="1"/>
  <c r="H37" i="264"/>
  <c r="I37" i="264" s="1"/>
  <c r="T36" i="264"/>
  <c r="S36" i="264"/>
  <c r="Q36" i="264"/>
  <c r="R36" i="264" s="1"/>
  <c r="O36" i="264"/>
  <c r="P36" i="264" s="1"/>
  <c r="L36" i="264"/>
  <c r="M36" i="264" s="1"/>
  <c r="K36" i="264"/>
  <c r="J36" i="264"/>
  <c r="H36" i="264"/>
  <c r="I36" i="264" s="1"/>
  <c r="S35" i="264"/>
  <c r="T35" i="264" s="1"/>
  <c r="Q35" i="264"/>
  <c r="R35" i="264" s="1"/>
  <c r="P35" i="264"/>
  <c r="O35" i="264"/>
  <c r="L35" i="264"/>
  <c r="M35" i="264" s="1"/>
  <c r="J35" i="264"/>
  <c r="K35" i="264" s="1"/>
  <c r="H35" i="264"/>
  <c r="I35" i="264" s="1"/>
  <c r="T34" i="264"/>
  <c r="S34" i="264"/>
  <c r="Q34" i="264"/>
  <c r="R34" i="264" s="1"/>
  <c r="O34" i="264"/>
  <c r="P34" i="264" s="1"/>
  <c r="L34" i="264"/>
  <c r="M34" i="264" s="1"/>
  <c r="K34" i="264"/>
  <c r="J34" i="264"/>
  <c r="H34" i="264"/>
  <c r="I34" i="264" s="1"/>
  <c r="S33" i="264"/>
  <c r="T33" i="264" s="1"/>
  <c r="Q33" i="264"/>
  <c r="R33" i="264" s="1"/>
  <c r="P33" i="264"/>
  <c r="O33" i="264"/>
  <c r="L33" i="264"/>
  <c r="M33" i="264" s="1"/>
  <c r="J33" i="264"/>
  <c r="K33" i="264" s="1"/>
  <c r="H33" i="264"/>
  <c r="I33" i="264" s="1"/>
  <c r="T32" i="264"/>
  <c r="S32" i="264"/>
  <c r="Q32" i="264"/>
  <c r="R32" i="264" s="1"/>
  <c r="O32" i="264"/>
  <c r="P32" i="264" s="1"/>
  <c r="L32" i="264"/>
  <c r="M32" i="264" s="1"/>
  <c r="K32" i="264"/>
  <c r="J32" i="264"/>
  <c r="H32" i="264"/>
  <c r="I32" i="264" s="1"/>
  <c r="S31" i="264"/>
  <c r="T31" i="264" s="1"/>
  <c r="Q31" i="264"/>
  <c r="R31" i="264" s="1"/>
  <c r="P31" i="264"/>
  <c r="O31" i="264"/>
  <c r="L31" i="264"/>
  <c r="M31" i="264" s="1"/>
  <c r="J31" i="264"/>
  <c r="K31" i="264" s="1"/>
  <c r="H31" i="264"/>
  <c r="I31" i="264" s="1"/>
  <c r="T30" i="264"/>
  <c r="S30" i="264"/>
  <c r="Q30" i="264"/>
  <c r="R30" i="264" s="1"/>
  <c r="O30" i="264"/>
  <c r="P30" i="264" s="1"/>
  <c r="L30" i="264"/>
  <c r="M30" i="264" s="1"/>
  <c r="K30" i="264"/>
  <c r="J30" i="264"/>
  <c r="H30" i="264"/>
  <c r="I30" i="264" s="1"/>
  <c r="S29" i="264"/>
  <c r="T29" i="264" s="1"/>
  <c r="Q29" i="264"/>
  <c r="R29" i="264" s="1"/>
  <c r="P29" i="264"/>
  <c r="O29" i="264"/>
  <c r="L29" i="264"/>
  <c r="M29" i="264" s="1"/>
  <c r="J29" i="264"/>
  <c r="K29" i="264" s="1"/>
  <c r="H29" i="264"/>
  <c r="I29" i="264" s="1"/>
  <c r="T28" i="264"/>
  <c r="S28" i="264"/>
  <c r="Q28" i="264"/>
  <c r="R28" i="264" s="1"/>
  <c r="O28" i="264"/>
  <c r="P28" i="264" s="1"/>
  <c r="H20" i="264"/>
  <c r="H18" i="264"/>
  <c r="J17" i="264"/>
  <c r="H16" i="264"/>
  <c r="L15" i="264"/>
  <c r="J15" i="264"/>
  <c r="BE97" i="1" l="1"/>
  <c r="AC140" i="1"/>
  <c r="AC137" i="1"/>
  <c r="AC134" i="1"/>
  <c r="AC133" i="1"/>
  <c r="AC135" i="1"/>
  <c r="AC131" i="1"/>
  <c r="AC295" i="1" s="1"/>
  <c r="AC132" i="1"/>
  <c r="AC324" i="1" l="1"/>
  <c r="AA108" i="1" l="1"/>
  <c r="AC365" i="1"/>
  <c r="BB213" i="1"/>
  <c r="AW213" i="1"/>
  <c r="AR213" i="1"/>
  <c r="AM213" i="1"/>
  <c r="AH213" i="1"/>
  <c r="AC213" i="1"/>
  <c r="AH412" i="1" l="1"/>
  <c r="AH409" i="1"/>
  <c r="AM409" i="1" s="1"/>
  <c r="AH408" i="1"/>
  <c r="AM408" i="1" s="1"/>
  <c r="AH407" i="1"/>
  <c r="AM407" i="1" s="1"/>
  <c r="AH404" i="1"/>
  <c r="AM404" i="1" s="1"/>
  <c r="AR404" i="1" s="1"/>
  <c r="AW404" i="1" s="1"/>
  <c r="BB404" i="1" s="1"/>
  <c r="AH402" i="1"/>
  <c r="AM402" i="1" s="1"/>
  <c r="AR402" i="1" s="1"/>
  <c r="AW402" i="1" s="1"/>
  <c r="BB402" i="1" s="1"/>
  <c r="AH400" i="1"/>
  <c r="AM400" i="1" s="1"/>
  <c r="AR400" i="1" s="1"/>
  <c r="AW400" i="1" s="1"/>
  <c r="BB400" i="1" s="1"/>
  <c r="AH399" i="1"/>
  <c r="AM399" i="1" s="1"/>
  <c r="AR399" i="1" s="1"/>
  <c r="AW399" i="1" s="1"/>
  <c r="BB399" i="1" s="1"/>
  <c r="AH398" i="1"/>
  <c r="AM398" i="1" s="1"/>
  <c r="AR398" i="1" s="1"/>
  <c r="AW398" i="1" s="1"/>
  <c r="BB398" i="1" s="1"/>
  <c r="AH397" i="1"/>
  <c r="AM397" i="1" s="1"/>
  <c r="AR397" i="1" s="1"/>
  <c r="AW397" i="1" s="1"/>
  <c r="BB397" i="1" s="1"/>
  <c r="AH395" i="1"/>
  <c r="AM395" i="1" s="1"/>
  <c r="AR395" i="1" s="1"/>
  <c r="AW395" i="1" s="1"/>
  <c r="BB395" i="1" s="1"/>
  <c r="AH394" i="1"/>
  <c r="AM394" i="1" s="1"/>
  <c r="AR394" i="1" s="1"/>
  <c r="AW394" i="1" s="1"/>
  <c r="BB394" i="1" s="1"/>
  <c r="AH393" i="1"/>
  <c r="AM393" i="1" s="1"/>
  <c r="AR393" i="1" s="1"/>
  <c r="AW393" i="1" s="1"/>
  <c r="BB393" i="1" s="1"/>
  <c r="AH392" i="1"/>
  <c r="AM392" i="1" s="1"/>
  <c r="AR392" i="1" s="1"/>
  <c r="AW392" i="1" s="1"/>
  <c r="BB392" i="1" s="1"/>
  <c r="AH389" i="1"/>
  <c r="AM389" i="1" s="1"/>
  <c r="AR389" i="1" s="1"/>
  <c r="AW389" i="1" s="1"/>
  <c r="BB389" i="1" s="1"/>
  <c r="AH388" i="1"/>
  <c r="AM388" i="1" s="1"/>
  <c r="AR388" i="1" s="1"/>
  <c r="AW388" i="1" s="1"/>
  <c r="BB388" i="1" s="1"/>
  <c r="AH387" i="1"/>
  <c r="AM387" i="1" s="1"/>
  <c r="AR387" i="1" s="1"/>
  <c r="AW387" i="1" s="1"/>
  <c r="BB387" i="1" s="1"/>
  <c r="AH386" i="1"/>
  <c r="AM386" i="1" s="1"/>
  <c r="AR386" i="1" s="1"/>
  <c r="AW386" i="1" s="1"/>
  <c r="BB386" i="1" s="1"/>
  <c r="AH385" i="1"/>
  <c r="AM385" i="1" s="1"/>
  <c r="AR385" i="1" s="1"/>
  <c r="AW385" i="1" s="1"/>
  <c r="BB385" i="1" s="1"/>
  <c r="AH382" i="1"/>
  <c r="AM382" i="1" s="1"/>
  <c r="AR382" i="1" s="1"/>
  <c r="AW382" i="1" s="1"/>
  <c r="BB382" i="1" s="1"/>
  <c r="AH381" i="1"/>
  <c r="AM381" i="1" s="1"/>
  <c r="AR381" i="1" s="1"/>
  <c r="AW381" i="1" s="1"/>
  <c r="BB381" i="1" s="1"/>
  <c r="AH380" i="1"/>
  <c r="AM380" i="1" s="1"/>
  <c r="AR380" i="1" s="1"/>
  <c r="AW380" i="1" s="1"/>
  <c r="BB380" i="1" s="1"/>
  <c r="AH378" i="1"/>
  <c r="AM378" i="1" s="1"/>
  <c r="AR378" i="1" s="1"/>
  <c r="AW378" i="1" s="1"/>
  <c r="BB378" i="1" s="1"/>
  <c r="AH376" i="1"/>
  <c r="AM376" i="1" s="1"/>
  <c r="AR376" i="1" s="1"/>
  <c r="AW376" i="1" s="1"/>
  <c r="BB376" i="1" s="1"/>
  <c r="AH372" i="1"/>
  <c r="AM372" i="1" s="1"/>
  <c r="AR372" i="1" s="1"/>
  <c r="AW372" i="1" s="1"/>
  <c r="BB372" i="1" s="1"/>
  <c r="AH371" i="1"/>
  <c r="AM371" i="1" s="1"/>
  <c r="AR371" i="1" s="1"/>
  <c r="AW371" i="1" s="1"/>
  <c r="BB371" i="1" s="1"/>
  <c r="AH361" i="1"/>
  <c r="AM361" i="1" s="1"/>
  <c r="AR361" i="1" s="1"/>
  <c r="AW361" i="1" s="1"/>
  <c r="BB361" i="1" s="1"/>
  <c r="AH360" i="1"/>
  <c r="AM360" i="1" s="1"/>
  <c r="AR360" i="1" s="1"/>
  <c r="AW360" i="1" s="1"/>
  <c r="BB360" i="1" s="1"/>
  <c r="AH350" i="1"/>
  <c r="AH347" i="1"/>
  <c r="AM347" i="1" s="1"/>
  <c r="AR347" i="1" s="1"/>
  <c r="AW347" i="1" s="1"/>
  <c r="BB347" i="1" s="1"/>
  <c r="AH346" i="1"/>
  <c r="AM346" i="1" s="1"/>
  <c r="AR346" i="1" s="1"/>
  <c r="AW346" i="1" s="1"/>
  <c r="BB346" i="1" s="1"/>
  <c r="AM345" i="1"/>
  <c r="AR345" i="1" s="1"/>
  <c r="AW345" i="1" s="1"/>
  <c r="BB345" i="1" s="1"/>
  <c r="AM344" i="1"/>
  <c r="AR344" i="1" s="1"/>
  <c r="AW344" i="1" s="1"/>
  <c r="BB344" i="1" s="1"/>
  <c r="AH343" i="1"/>
  <c r="AM343" i="1" s="1"/>
  <c r="AR343" i="1" s="1"/>
  <c r="AW343" i="1" s="1"/>
  <c r="BB343" i="1" s="1"/>
  <c r="AH342" i="1"/>
  <c r="AM342" i="1" s="1"/>
  <c r="AR342" i="1" s="1"/>
  <c r="AW342" i="1" s="1"/>
  <c r="BB342" i="1" s="1"/>
  <c r="AH341" i="1"/>
  <c r="AM341" i="1" s="1"/>
  <c r="AR341" i="1" s="1"/>
  <c r="AW341" i="1" s="1"/>
  <c r="BB341" i="1" s="1"/>
  <c r="AH340" i="1"/>
  <c r="AM340" i="1" s="1"/>
  <c r="AR340" i="1" s="1"/>
  <c r="AW340" i="1" s="1"/>
  <c r="BB340" i="1" s="1"/>
  <c r="AH339" i="1"/>
  <c r="AM339" i="1" s="1"/>
  <c r="AH338" i="1"/>
  <c r="AM338" i="1" s="1"/>
  <c r="AR338" i="1" s="1"/>
  <c r="AW338" i="1" s="1"/>
  <c r="BB338" i="1" s="1"/>
  <c r="AH331" i="1"/>
  <c r="AM331" i="1" s="1"/>
  <c r="AR331" i="1" s="1"/>
  <c r="AW331" i="1" s="1"/>
  <c r="BB331" i="1" s="1"/>
  <c r="AH326" i="1"/>
  <c r="AM326" i="1" s="1"/>
  <c r="AR326" i="1" s="1"/>
  <c r="AW326" i="1" s="1"/>
  <c r="BB326" i="1" s="1"/>
  <c r="AH301" i="1"/>
  <c r="AM301" i="1" s="1"/>
  <c r="AR301" i="1" s="1"/>
  <c r="AW301" i="1" s="1"/>
  <c r="BB301" i="1" s="1"/>
  <c r="AH302" i="1"/>
  <c r="AM302" i="1" s="1"/>
  <c r="AR302" i="1" s="1"/>
  <c r="AW302" i="1" s="1"/>
  <c r="BB302" i="1" s="1"/>
  <c r="AM303" i="1"/>
  <c r="AR303" i="1" s="1"/>
  <c r="AW303" i="1" s="1"/>
  <c r="BB303" i="1" s="1"/>
  <c r="AM304" i="1"/>
  <c r="AR304" i="1" s="1"/>
  <c r="AW304" i="1" s="1"/>
  <c r="BB304" i="1" s="1"/>
  <c r="AM305" i="1"/>
  <c r="AR305" i="1" s="1"/>
  <c r="AW305" i="1" s="1"/>
  <c r="BB305" i="1" s="1"/>
  <c r="AM306" i="1"/>
  <c r="AR306" i="1" s="1"/>
  <c r="AW306" i="1" s="1"/>
  <c r="BB306" i="1" s="1"/>
  <c r="AH308" i="1"/>
  <c r="AM308" i="1" s="1"/>
  <c r="AR308" i="1" s="1"/>
  <c r="AW308" i="1" s="1"/>
  <c r="BB308" i="1" s="1"/>
  <c r="AH309" i="1"/>
  <c r="AM309" i="1" s="1"/>
  <c r="AR309" i="1" s="1"/>
  <c r="AW309" i="1" s="1"/>
  <c r="BB309" i="1" s="1"/>
  <c r="AH310" i="1"/>
  <c r="AM310" i="1" s="1"/>
  <c r="AR310" i="1" s="1"/>
  <c r="AW310" i="1" s="1"/>
  <c r="BB310" i="1" s="1"/>
  <c r="AH311" i="1"/>
  <c r="AM311" i="1" s="1"/>
  <c r="AR311" i="1" s="1"/>
  <c r="AW311" i="1" s="1"/>
  <c r="BB311" i="1" s="1"/>
  <c r="AH312" i="1"/>
  <c r="AM312" i="1" s="1"/>
  <c r="AR312" i="1" s="1"/>
  <c r="AW312" i="1" s="1"/>
  <c r="BB312" i="1" s="1"/>
  <c r="AH313" i="1"/>
  <c r="AM313" i="1" s="1"/>
  <c r="AR313" i="1" s="1"/>
  <c r="AW313" i="1" s="1"/>
  <c r="BB313" i="1" s="1"/>
  <c r="AH314" i="1"/>
  <c r="AM314" i="1" s="1"/>
  <c r="AR314" i="1" s="1"/>
  <c r="AW314" i="1" s="1"/>
  <c r="BB314" i="1" s="1"/>
  <c r="AH315" i="1"/>
  <c r="AM315" i="1" s="1"/>
  <c r="AR315" i="1" s="1"/>
  <c r="AW315" i="1" s="1"/>
  <c r="BB315" i="1" s="1"/>
  <c r="AH316" i="1"/>
  <c r="AM316" i="1" s="1"/>
  <c r="AR316" i="1" s="1"/>
  <c r="AW316" i="1" s="1"/>
  <c r="BB316" i="1" s="1"/>
  <c r="AH317" i="1"/>
  <c r="AM317" i="1" s="1"/>
  <c r="AR317" i="1" s="1"/>
  <c r="AW317" i="1" s="1"/>
  <c r="BB317" i="1" s="1"/>
  <c r="AH318" i="1"/>
  <c r="AM318" i="1" s="1"/>
  <c r="AR318" i="1" s="1"/>
  <c r="AW318" i="1" s="1"/>
  <c r="BB318" i="1" s="1"/>
  <c r="AH319" i="1"/>
  <c r="AM319" i="1" s="1"/>
  <c r="AR319" i="1" s="1"/>
  <c r="AW319" i="1" s="1"/>
  <c r="BB319" i="1" s="1"/>
  <c r="AH320" i="1"/>
  <c r="AM320" i="1" s="1"/>
  <c r="AR320" i="1" s="1"/>
  <c r="AW320" i="1" s="1"/>
  <c r="BB320" i="1" s="1"/>
  <c r="AM412" i="1" l="1"/>
  <c r="AR412" i="1" s="1"/>
  <c r="AW412" i="1" s="1"/>
  <c r="BB412" i="1" s="1"/>
  <c r="AM410" i="1"/>
  <c r="AM348" i="1"/>
  <c r="AR339" i="1"/>
  <c r="AW339" i="1" s="1"/>
  <c r="BB339" i="1" s="1"/>
  <c r="AH351" i="1"/>
  <c r="AM350" i="1"/>
  <c r="AM390" i="1"/>
  <c r="AM358" i="1"/>
  <c r="AM363" i="1"/>
  <c r="AH358" i="1"/>
  <c r="AH348" i="1"/>
  <c r="AG108" i="1"/>
  <c r="AC296" i="1"/>
  <c r="AH296" i="1" s="1"/>
  <c r="AM296" i="1" s="1"/>
  <c r="AR296" i="1" s="1"/>
  <c r="AW296" i="1" s="1"/>
  <c r="BB296" i="1" s="1"/>
  <c r="AM413" i="1" l="1"/>
  <c r="AM351" i="1"/>
  <c r="AR350" i="1"/>
  <c r="AW350" i="1" s="1"/>
  <c r="BB350" i="1" s="1"/>
  <c r="AL108" i="1"/>
  <c r="AM307" i="1"/>
  <c r="AR307" i="1" s="1"/>
  <c r="AW307" i="1" s="1"/>
  <c r="BB307" i="1" s="1"/>
  <c r="AQ108" i="1" l="1"/>
  <c r="AA122" i="1"/>
  <c r="AE112" i="1"/>
  <c r="AA112" i="1"/>
  <c r="AF112" i="1" s="1"/>
  <c r="AA95" i="1"/>
  <c r="AF98" i="1"/>
  <c r="AA99" i="1"/>
  <c r="AF99" i="1" s="1"/>
  <c r="AA100" i="1"/>
  <c r="AF100" i="1" s="1"/>
  <c r="AA101" i="1"/>
  <c r="AF101" i="1" s="1"/>
  <c r="AA102" i="1"/>
  <c r="AF102" i="1" s="1"/>
  <c r="AA103" i="1"/>
  <c r="AF103" i="1" s="1"/>
  <c r="AA104" i="1"/>
  <c r="AF104" i="1" s="1"/>
  <c r="AA105" i="1"/>
  <c r="AF105" i="1" s="1"/>
  <c r="AA106" i="1"/>
  <c r="AF107" i="1"/>
  <c r="AA109" i="1"/>
  <c r="AA110" i="1"/>
  <c r="AF110" i="1" s="1"/>
  <c r="AA111" i="1"/>
  <c r="AF111" i="1" s="1"/>
  <c r="AA94" i="1"/>
  <c r="AF94" i="1" s="1"/>
  <c r="AJ107" i="1"/>
  <c r="AT107" i="1" s="1"/>
  <c r="BD107" i="1" s="1"/>
  <c r="AE107" i="1"/>
  <c r="AO107" i="1" s="1"/>
  <c r="AY107" i="1" s="1"/>
  <c r="AK107" i="1" l="1"/>
  <c r="AP107" i="1" s="1"/>
  <c r="AU107" i="1" s="1"/>
  <c r="AZ107" i="1" s="1"/>
  <c r="BE107" i="1" s="1"/>
  <c r="AV108" i="1"/>
  <c r="BA108" i="1" s="1"/>
  <c r="AG107" i="1"/>
  <c r="Y55" i="1"/>
  <c r="BB220" i="1"/>
  <c r="AW220" i="1"/>
  <c r="BB217" i="1"/>
  <c r="AW217" i="1"/>
  <c r="AR217" i="1"/>
  <c r="AM217" i="1"/>
  <c r="AH217" i="1"/>
  <c r="AC217" i="1"/>
  <c r="BB216" i="1"/>
  <c r="AW216" i="1"/>
  <c r="AR216" i="1"/>
  <c r="AM216" i="1"/>
  <c r="AH216" i="1"/>
  <c r="AC216" i="1"/>
  <c r="T213" i="1"/>
  <c r="T52" i="1"/>
  <c r="AE122" i="1"/>
  <c r="AB122" i="1"/>
  <c r="AJ112" i="1"/>
  <c r="AT112" i="1" s="1"/>
  <c r="BD112" i="1" s="1"/>
  <c r="AJ111" i="1"/>
  <c r="AT111" i="1" s="1"/>
  <c r="BD111" i="1" s="1"/>
  <c r="AJ110" i="1"/>
  <c r="AT110" i="1" s="1"/>
  <c r="BD110" i="1" s="1"/>
  <c r="AJ109" i="1"/>
  <c r="AT109" i="1" s="1"/>
  <c r="BD109" i="1" s="1"/>
  <c r="AJ106" i="1"/>
  <c r="AT106" i="1" s="1"/>
  <c r="BD106" i="1" s="1"/>
  <c r="AJ105" i="1"/>
  <c r="AT105" i="1" s="1"/>
  <c r="BD105" i="1" s="1"/>
  <c r="AJ104" i="1"/>
  <c r="AT104" i="1" s="1"/>
  <c r="BD104" i="1" s="1"/>
  <c r="AJ103" i="1"/>
  <c r="AT103" i="1" s="1"/>
  <c r="BD103" i="1" s="1"/>
  <c r="AJ102" i="1"/>
  <c r="AT102" i="1" s="1"/>
  <c r="BD102" i="1" s="1"/>
  <c r="AJ101" i="1"/>
  <c r="AT101" i="1" s="1"/>
  <c r="BD101" i="1" s="1"/>
  <c r="AJ100" i="1"/>
  <c r="AT100" i="1" s="1"/>
  <c r="BD100" i="1" s="1"/>
  <c r="AJ99" i="1"/>
  <c r="AT99" i="1" s="1"/>
  <c r="BD99" i="1" s="1"/>
  <c r="AJ98" i="1"/>
  <c r="AT98" i="1" s="1"/>
  <c r="BD98" i="1" s="1"/>
  <c r="AJ95" i="1"/>
  <c r="AT95" i="1" s="1"/>
  <c r="BD95" i="1" s="1"/>
  <c r="AJ94" i="1"/>
  <c r="AT94" i="1" s="1"/>
  <c r="BD94" i="1" s="1"/>
  <c r="AO112" i="1"/>
  <c r="AY112" i="1" s="1"/>
  <c r="AG112" i="1"/>
  <c r="AE111" i="1"/>
  <c r="AO111" i="1" s="1"/>
  <c r="AY111" i="1" s="1"/>
  <c r="AG111" i="1"/>
  <c r="AE110" i="1"/>
  <c r="AO110" i="1" s="1"/>
  <c r="AY110" i="1" s="1"/>
  <c r="AB110" i="1"/>
  <c r="AE109" i="1"/>
  <c r="AO109" i="1" s="1"/>
  <c r="AY109" i="1" s="1"/>
  <c r="AB109" i="1"/>
  <c r="AE106" i="1"/>
  <c r="AO106" i="1" s="1"/>
  <c r="AY106" i="1" s="1"/>
  <c r="AG106" i="1"/>
  <c r="AE105" i="1"/>
  <c r="AO105" i="1" s="1"/>
  <c r="AY105" i="1" s="1"/>
  <c r="AG105" i="1"/>
  <c r="AE104" i="1"/>
  <c r="AO104" i="1" s="1"/>
  <c r="AY104" i="1" s="1"/>
  <c r="AB104" i="1"/>
  <c r="AE103" i="1"/>
  <c r="AO103" i="1" s="1"/>
  <c r="AY103" i="1" s="1"/>
  <c r="AB103" i="1"/>
  <c r="AE102" i="1"/>
  <c r="AO102" i="1" s="1"/>
  <c r="AY102" i="1" s="1"/>
  <c r="AB102" i="1"/>
  <c r="AE101" i="1"/>
  <c r="AO101" i="1" s="1"/>
  <c r="AY101" i="1" s="1"/>
  <c r="AB101" i="1"/>
  <c r="AE100" i="1"/>
  <c r="AO100" i="1" s="1"/>
  <c r="AY100" i="1" s="1"/>
  <c r="AB100" i="1"/>
  <c r="AE99" i="1"/>
  <c r="AO99" i="1" s="1"/>
  <c r="AY99" i="1" s="1"/>
  <c r="AE98" i="1"/>
  <c r="AO98" i="1" s="1"/>
  <c r="AY98" i="1" s="1"/>
  <c r="AB98" i="1"/>
  <c r="AE95" i="1"/>
  <c r="AO95" i="1" s="1"/>
  <c r="AY95" i="1" s="1"/>
  <c r="AB95" i="1"/>
  <c r="AD95" i="1" s="1"/>
  <c r="AB94" i="1"/>
  <c r="AE94" i="1"/>
  <c r="BL180" i="1"/>
  <c r="BL200" i="1" s="1"/>
  <c r="BK180" i="1"/>
  <c r="BL179" i="1"/>
  <c r="BK179" i="1"/>
  <c r="BJ179" i="1"/>
  <c r="BL178" i="1"/>
  <c r="BM178" i="1" s="1"/>
  <c r="BN178" i="1" s="1"/>
  <c r="BO178" i="1" s="1"/>
  <c r="BO198" i="1" s="1"/>
  <c r="BK178" i="1"/>
  <c r="BJ178" i="1"/>
  <c r="BJ198" i="1" s="1"/>
  <c r="BL177" i="1"/>
  <c r="BM177" i="1" s="1"/>
  <c r="BK177" i="1"/>
  <c r="BK197" i="1" s="1"/>
  <c r="BJ177" i="1"/>
  <c r="BL176" i="1"/>
  <c r="BM176" i="1" s="1"/>
  <c r="BN176" i="1" s="1"/>
  <c r="BO176" i="1" s="1"/>
  <c r="BO196" i="1" s="1"/>
  <c r="BK176" i="1"/>
  <c r="BK196" i="1" s="1"/>
  <c r="BJ176" i="1"/>
  <c r="BJ196" i="1" s="1"/>
  <c r="BL175" i="1"/>
  <c r="BM175" i="1" s="1"/>
  <c r="BK175" i="1"/>
  <c r="BK195" i="1" s="1"/>
  <c r="BJ175" i="1"/>
  <c r="BJ195" i="1" s="1"/>
  <c r="BL174" i="1"/>
  <c r="BM174" i="1" s="1"/>
  <c r="BN174" i="1" s="1"/>
  <c r="BK174" i="1"/>
  <c r="BK194" i="1" s="1"/>
  <c r="BJ174" i="1"/>
  <c r="BJ194" i="1" s="1"/>
  <c r="BL173" i="1"/>
  <c r="BM173" i="1" s="1"/>
  <c r="BK173" i="1"/>
  <c r="BJ173" i="1"/>
  <c r="BJ193" i="1" s="1"/>
  <c r="BL172" i="1"/>
  <c r="BK172" i="1"/>
  <c r="BK192" i="1" s="1"/>
  <c r="BJ172" i="1"/>
  <c r="BL171" i="1"/>
  <c r="BM171" i="1" s="1"/>
  <c r="BK171" i="1"/>
  <c r="BJ171" i="1"/>
  <c r="BL170" i="1"/>
  <c r="BM170" i="1" s="1"/>
  <c r="BN170" i="1" s="1"/>
  <c r="BO170" i="1" s="1"/>
  <c r="BO190" i="1" s="1"/>
  <c r="BK170" i="1"/>
  <c r="BK190" i="1" s="1"/>
  <c r="BJ170" i="1"/>
  <c r="BL169" i="1"/>
  <c r="BM169" i="1" s="1"/>
  <c r="BK169" i="1"/>
  <c r="BK189" i="1" s="1"/>
  <c r="BJ169" i="1"/>
  <c r="BJ189" i="1" s="1"/>
  <c r="BL168" i="1"/>
  <c r="BM168" i="1" s="1"/>
  <c r="BN168" i="1" s="1"/>
  <c r="BO168" i="1" s="1"/>
  <c r="BO188" i="1" s="1"/>
  <c r="BK168" i="1"/>
  <c r="BK188" i="1" s="1"/>
  <c r="BJ168" i="1"/>
  <c r="BM159" i="1"/>
  <c r="BN159" i="1" s="1"/>
  <c r="BO159" i="1" s="1"/>
  <c r="BM158" i="1"/>
  <c r="BN158" i="1" s="1"/>
  <c r="BO158" i="1" s="1"/>
  <c r="BM157" i="1"/>
  <c r="BN157" i="1" s="1"/>
  <c r="BO157" i="1" s="1"/>
  <c r="BM156" i="1"/>
  <c r="BN156" i="1" s="1"/>
  <c r="BO156" i="1" s="1"/>
  <c r="BM155" i="1"/>
  <c r="BN155" i="1" s="1"/>
  <c r="BO155" i="1" s="1"/>
  <c r="BM154" i="1"/>
  <c r="BN154" i="1" s="1"/>
  <c r="BO154" i="1" s="1"/>
  <c r="BM153" i="1"/>
  <c r="BN153" i="1" s="1"/>
  <c r="BO153" i="1" s="1"/>
  <c r="BM152" i="1"/>
  <c r="BN152" i="1" s="1"/>
  <c r="BO152" i="1" s="1"/>
  <c r="BM151" i="1"/>
  <c r="BN151" i="1" s="1"/>
  <c r="BO151" i="1" s="1"/>
  <c r="BM150" i="1"/>
  <c r="BN150" i="1" s="1"/>
  <c r="BO150" i="1" s="1"/>
  <c r="BM149" i="1"/>
  <c r="BN149" i="1" s="1"/>
  <c r="BO149" i="1" s="1"/>
  <c r="BM148" i="1"/>
  <c r="BN148" i="1" s="1"/>
  <c r="BO148" i="1" s="1"/>
  <c r="BM147" i="1"/>
  <c r="BN147" i="1" s="1"/>
  <c r="BO147" i="1" s="1"/>
  <c r="BO174" i="1" l="1"/>
  <c r="BO194" i="1" s="1"/>
  <c r="BM172" i="1"/>
  <c r="BN172" i="1" s="1"/>
  <c r="BO172" i="1" s="1"/>
  <c r="BO192" i="1" s="1"/>
  <c r="AI97" i="1"/>
  <c r="AH97" i="1" s="1"/>
  <c r="AS97" i="1" s="1"/>
  <c r="AR97" i="1" s="1"/>
  <c r="AI96" i="1"/>
  <c r="AH96" i="1" s="1"/>
  <c r="AS96" i="1" s="1"/>
  <c r="AR96" i="1" s="1"/>
  <c r="AN96" i="1"/>
  <c r="AM96" i="1" s="1"/>
  <c r="AN97" i="1"/>
  <c r="AM97" i="1" s="1"/>
  <c r="AD107" i="1"/>
  <c r="AC107" i="1" s="1"/>
  <c r="AB117" i="1"/>
  <c r="BJ197" i="1"/>
  <c r="AD104" i="1"/>
  <c r="AC104" i="1" s="1"/>
  <c r="BG104" i="1" s="1"/>
  <c r="BH104" i="1" s="1"/>
  <c r="AB160" i="1"/>
  <c r="AB161" i="1"/>
  <c r="AO94" i="1"/>
  <c r="AY94" i="1" s="1"/>
  <c r="AB148" i="1"/>
  <c r="AB146" i="1"/>
  <c r="BK198" i="1"/>
  <c r="AD100" i="1"/>
  <c r="AC100" i="1" s="1"/>
  <c r="AD94" i="1"/>
  <c r="AC94" i="1" s="1"/>
  <c r="AD109" i="1"/>
  <c r="AC109" i="1" s="1"/>
  <c r="BG109" i="1" s="1"/>
  <c r="BH109" i="1" s="1"/>
  <c r="AD110" i="1"/>
  <c r="AD111" i="1"/>
  <c r="AC111" i="1" s="1"/>
  <c r="BG111" i="1" s="1"/>
  <c r="BH111" i="1" s="1"/>
  <c r="AD99" i="1"/>
  <c r="AD101" i="1"/>
  <c r="AG102" i="1"/>
  <c r="AL102" i="1" s="1"/>
  <c r="AD102" i="1"/>
  <c r="AD103" i="1"/>
  <c r="AD112" i="1"/>
  <c r="AC112" i="1" s="1"/>
  <c r="AD108" i="1"/>
  <c r="AC108" i="1" s="1"/>
  <c r="AH108" i="1" s="1"/>
  <c r="AM108" i="1" s="1"/>
  <c r="AR108" i="1" s="1"/>
  <c r="AW108" i="1" s="1"/>
  <c r="BB108" i="1" s="1"/>
  <c r="AD106" i="1"/>
  <c r="AG98" i="1"/>
  <c r="AL98" i="1" s="1"/>
  <c r="AD98" i="1"/>
  <c r="AD105" i="1"/>
  <c r="AC105" i="1" s="1"/>
  <c r="BJ190" i="1"/>
  <c r="U108" i="1"/>
  <c r="BK193" i="1"/>
  <c r="BJ192" i="1"/>
  <c r="AG109" i="1"/>
  <c r="AL109" i="1" s="1"/>
  <c r="AQ109" i="1" s="1"/>
  <c r="AV109" i="1" s="1"/>
  <c r="AG110" i="1"/>
  <c r="AL110" i="1" s="1"/>
  <c r="AQ110" i="1" s="1"/>
  <c r="AV110" i="1" s="1"/>
  <c r="BK200" i="1"/>
  <c r="BM179" i="1"/>
  <c r="BN179" i="1" s="1"/>
  <c r="AI108" i="1"/>
  <c r="AL107" i="1"/>
  <c r="AQ107" i="1" s="1"/>
  <c r="AI107" i="1"/>
  <c r="AH107" i="1" s="1"/>
  <c r="BK191" i="1"/>
  <c r="BK199" i="1"/>
  <c r="BJ191" i="1"/>
  <c r="U112" i="1"/>
  <c r="BJ199" i="1"/>
  <c r="U94" i="1"/>
  <c r="BJ188" i="1"/>
  <c r="U107" i="1"/>
  <c r="U109" i="1"/>
  <c r="U110" i="1"/>
  <c r="U98" i="1"/>
  <c r="AL111" i="1"/>
  <c r="AL105" i="1"/>
  <c r="AL112" i="1"/>
  <c r="AL106" i="1"/>
  <c r="U111" i="1"/>
  <c r="U99" i="1"/>
  <c r="AG99" i="1"/>
  <c r="U100" i="1"/>
  <c r="U122" i="1"/>
  <c r="AG100" i="1"/>
  <c r="U101" i="1"/>
  <c r="AG101" i="1"/>
  <c r="U102" i="1"/>
  <c r="U103" i="1"/>
  <c r="AG103" i="1"/>
  <c r="U104" i="1"/>
  <c r="AG94" i="1"/>
  <c r="AG104" i="1"/>
  <c r="U95" i="1"/>
  <c r="AG95" i="1"/>
  <c r="U105" i="1"/>
  <c r="U106" i="1"/>
  <c r="BL194" i="1"/>
  <c r="BN192" i="1"/>
  <c r="BL195" i="1"/>
  <c r="BM194" i="1"/>
  <c r="BM196" i="1"/>
  <c r="BN196" i="1"/>
  <c r="BN188" i="1"/>
  <c r="BM188" i="1"/>
  <c r="BL190" i="1"/>
  <c r="BL192" i="1"/>
  <c r="BL196" i="1"/>
  <c r="BM190" i="1"/>
  <c r="BN190" i="1"/>
  <c r="BM192" i="1"/>
  <c r="BL198" i="1"/>
  <c r="BM198" i="1"/>
  <c r="BN198" i="1"/>
  <c r="BL188" i="1"/>
  <c r="BN171" i="1"/>
  <c r="BM191" i="1"/>
  <c r="BN175" i="1"/>
  <c r="BM195" i="1"/>
  <c r="BL191" i="1"/>
  <c r="BL197" i="1"/>
  <c r="BN169" i="1"/>
  <c r="BM189" i="1"/>
  <c r="BN173" i="1"/>
  <c r="BM193" i="1"/>
  <c r="BN177" i="1"/>
  <c r="BM197" i="1"/>
  <c r="BL193" i="1"/>
  <c r="BL189" i="1"/>
  <c r="BL199" i="1"/>
  <c r="BN194" i="1"/>
  <c r="BM180" i="1"/>
  <c r="AC110" i="1" l="1"/>
  <c r="BG110" i="1" s="1"/>
  <c r="BH110" i="1" s="1"/>
  <c r="AC146" i="1"/>
  <c r="BM199" i="1"/>
  <c r="AN107" i="1"/>
  <c r="AM107" i="1" s="1"/>
  <c r="AS108" i="1"/>
  <c r="AN108" i="1"/>
  <c r="AV107" i="1"/>
  <c r="BA107" i="1"/>
  <c r="AS107" i="1"/>
  <c r="AR107" i="1" s="1"/>
  <c r="BA109" i="1"/>
  <c r="BA110" i="1"/>
  <c r="AL95" i="1"/>
  <c r="AL99" i="1"/>
  <c r="AL103" i="1"/>
  <c r="AQ111" i="1"/>
  <c r="AQ98" i="1"/>
  <c r="AL104" i="1"/>
  <c r="AL100" i="1"/>
  <c r="AQ105" i="1"/>
  <c r="AL94" i="1"/>
  <c r="AQ102" i="1"/>
  <c r="AL101" i="1"/>
  <c r="AQ106" i="1"/>
  <c r="AV106" i="1" s="1"/>
  <c r="AQ112" i="1"/>
  <c r="BO173" i="1"/>
  <c r="BO193" i="1" s="1"/>
  <c r="BN193" i="1"/>
  <c r="BO175" i="1"/>
  <c r="BN195" i="1"/>
  <c r="BO171" i="1"/>
  <c r="BO191" i="1" s="1"/>
  <c r="BN191" i="1"/>
  <c r="BN180" i="1"/>
  <c r="BM200" i="1"/>
  <c r="BO177" i="1"/>
  <c r="BO197" i="1" s="1"/>
  <c r="BN197" i="1"/>
  <c r="BO169" i="1"/>
  <c r="BO189" i="1" s="1"/>
  <c r="BN189" i="1"/>
  <c r="BO179" i="1"/>
  <c r="BO199" i="1" s="1"/>
  <c r="BN199" i="1"/>
  <c r="BO195" i="1" l="1"/>
  <c r="AX96" i="1"/>
  <c r="AW96" i="1" s="1"/>
  <c r="AX97" i="1"/>
  <c r="AW97" i="1" s="1"/>
  <c r="AX108" i="1"/>
  <c r="AX107" i="1"/>
  <c r="AW107" i="1" s="1"/>
  <c r="AQ100" i="1"/>
  <c r="AQ99" i="1"/>
  <c r="AV112" i="1"/>
  <c r="BA112" i="1"/>
  <c r="AV105" i="1"/>
  <c r="BA105" i="1"/>
  <c r="AQ95" i="1"/>
  <c r="AQ103" i="1"/>
  <c r="AQ104" i="1"/>
  <c r="BA106" i="1"/>
  <c r="AV98" i="1"/>
  <c r="BA98" i="1"/>
  <c r="AQ94" i="1"/>
  <c r="BA111" i="1"/>
  <c r="AV111" i="1"/>
  <c r="AQ101" i="1"/>
  <c r="BA102" i="1"/>
  <c r="AV102" i="1"/>
  <c r="BO180" i="1"/>
  <c r="BO200" i="1" s="1"/>
  <c r="BN200" i="1"/>
  <c r="BA104" i="1" l="1"/>
  <c r="AV104" i="1"/>
  <c r="AV101" i="1"/>
  <c r="BA101" i="1"/>
  <c r="BA94" i="1"/>
  <c r="AV94" i="1"/>
  <c r="AV99" i="1"/>
  <c r="BA99" i="1"/>
  <c r="AV103" i="1"/>
  <c r="BA103" i="1"/>
  <c r="AV95" i="1"/>
  <c r="BA95" i="1"/>
  <c r="BA100" i="1"/>
  <c r="AV100" i="1"/>
  <c r="I12" i="257" l="1"/>
  <c r="M40" i="257" s="1"/>
  <c r="I12" i="249"/>
  <c r="M40" i="249" s="1"/>
  <c r="I12" i="241"/>
  <c r="I12" i="233"/>
  <c r="I12" i="225"/>
  <c r="M40" i="241"/>
  <c r="M40" i="233"/>
  <c r="M40" i="225"/>
  <c r="M40" i="217"/>
  <c r="AJ144" i="264"/>
  <c r="AJ143" i="264"/>
  <c r="AJ142" i="264"/>
  <c r="AJ141" i="264"/>
  <c r="AJ140" i="264"/>
  <c r="AJ139" i="264"/>
  <c r="AJ138" i="264"/>
  <c r="AJ137" i="264"/>
  <c r="AJ136" i="264"/>
  <c r="AJ135" i="264"/>
  <c r="AJ111" i="264"/>
  <c r="AJ110" i="264"/>
  <c r="AJ109" i="264"/>
  <c r="AJ108" i="264"/>
  <c r="AJ107" i="264"/>
  <c r="AJ106" i="264"/>
  <c r="AJ105" i="264"/>
  <c r="AJ104" i="264"/>
  <c r="AJ103" i="264"/>
  <c r="AJ102" i="264"/>
  <c r="BF90" i="264"/>
  <c r="BG90" i="264" s="1"/>
  <c r="BC90" i="264"/>
  <c r="BB90" i="264"/>
  <c r="AX90" i="264"/>
  <c r="AY90" i="264" s="1"/>
  <c r="BG89" i="264"/>
  <c r="BF89" i="264"/>
  <c r="BB89" i="264"/>
  <c r="BC89" i="264" s="1"/>
  <c r="AX89" i="264"/>
  <c r="AY89" i="264" s="1"/>
  <c r="BF88" i="264"/>
  <c r="BG88" i="264" s="1"/>
  <c r="BC88" i="264"/>
  <c r="BB88" i="264"/>
  <c r="AX88" i="264"/>
  <c r="AY88" i="264" s="1"/>
  <c r="BF87" i="264"/>
  <c r="BG87" i="264" s="1"/>
  <c r="BC87" i="264"/>
  <c r="BB87" i="264"/>
  <c r="AX87" i="264"/>
  <c r="AY87" i="264" s="1"/>
  <c r="BF86" i="264"/>
  <c r="BG86" i="264" s="1"/>
  <c r="BC86" i="264"/>
  <c r="BB86" i="264"/>
  <c r="AX86" i="264"/>
  <c r="AY86" i="264" s="1"/>
  <c r="BF85" i="264"/>
  <c r="BG85" i="264" s="1"/>
  <c r="BC85" i="264"/>
  <c r="BB85" i="264"/>
  <c r="AX85" i="264"/>
  <c r="AY85" i="264" s="1"/>
  <c r="BF84" i="264"/>
  <c r="BG84" i="264" s="1"/>
  <c r="BB84" i="264"/>
  <c r="BC84" i="264" s="1"/>
  <c r="AX84" i="264"/>
  <c r="AY84" i="264" s="1"/>
  <c r="BF83" i="264"/>
  <c r="BG83" i="264" s="1"/>
  <c r="BC83" i="264"/>
  <c r="BB83" i="264"/>
  <c r="AX83" i="264"/>
  <c r="AY83" i="264" s="1"/>
  <c r="BF82" i="264"/>
  <c r="BG82" i="264" s="1"/>
  <c r="BB82" i="264"/>
  <c r="BC82" i="264" s="1"/>
  <c r="AX82" i="264"/>
  <c r="AY82" i="264" s="1"/>
  <c r="BF81" i="264"/>
  <c r="BG81" i="264" s="1"/>
  <c r="BC81" i="264"/>
  <c r="BB81" i="264"/>
  <c r="AX81" i="264"/>
  <c r="AY81" i="264" s="1"/>
  <c r="BF80" i="264"/>
  <c r="BG80" i="264" s="1"/>
  <c r="BB80" i="264"/>
  <c r="BC80" i="264" s="1"/>
  <c r="AX80" i="264"/>
  <c r="AY80" i="264" s="1"/>
  <c r="BF79" i="264"/>
  <c r="BG79" i="264" s="1"/>
  <c r="BC79" i="264"/>
  <c r="BB79" i="264"/>
  <c r="AX79" i="264"/>
  <c r="AY79" i="264" s="1"/>
  <c r="AN75" i="264"/>
  <c r="BF71" i="264"/>
  <c r="BG71" i="264" s="1"/>
  <c r="BC71" i="264"/>
  <c r="BB71" i="264"/>
  <c r="AX71" i="264"/>
  <c r="AY71" i="264" s="1"/>
  <c r="BF70" i="264"/>
  <c r="BG70" i="264" s="1"/>
  <c r="BB70" i="264"/>
  <c r="BC70" i="264" s="1"/>
  <c r="AY70" i="264"/>
  <c r="AX70" i="264"/>
  <c r="BF69" i="264"/>
  <c r="BG69" i="264" s="1"/>
  <c r="BB69" i="264"/>
  <c r="BC69" i="264" s="1"/>
  <c r="AX69" i="264"/>
  <c r="AY69" i="264" s="1"/>
  <c r="BG68" i="264"/>
  <c r="BF68" i="264"/>
  <c r="BC68" i="264"/>
  <c r="BB68" i="264"/>
  <c r="AX68" i="264"/>
  <c r="AY68" i="264" s="1"/>
  <c r="BF67" i="264"/>
  <c r="BG67" i="264" s="1"/>
  <c r="BC67" i="264"/>
  <c r="BB67" i="264"/>
  <c r="AX67" i="264"/>
  <c r="AY67" i="264" s="1"/>
  <c r="BF66" i="264"/>
  <c r="BG66" i="264" s="1"/>
  <c r="BB66" i="264"/>
  <c r="BC66" i="264" s="1"/>
  <c r="AY66" i="264"/>
  <c r="AX66" i="264"/>
  <c r="BF65" i="264"/>
  <c r="BG65" i="264" s="1"/>
  <c r="BB65" i="264"/>
  <c r="BC65" i="264" s="1"/>
  <c r="AX65" i="264"/>
  <c r="AY65" i="264" s="1"/>
  <c r="BF64" i="264"/>
  <c r="BG64" i="264" s="1"/>
  <c r="BB64" i="264"/>
  <c r="BC64" i="264" s="1"/>
  <c r="AX64" i="264"/>
  <c r="AY64" i="264" s="1"/>
  <c r="BF63" i="264"/>
  <c r="BG63" i="264" s="1"/>
  <c r="BC63" i="264"/>
  <c r="BB63" i="264"/>
  <c r="AX63" i="264"/>
  <c r="AY63" i="264" s="1"/>
  <c r="AT63" i="264"/>
  <c r="BF62" i="264"/>
  <c r="BG62" i="264" s="1"/>
  <c r="BB62" i="264"/>
  <c r="BC62" i="264" s="1"/>
  <c r="AX62" i="264"/>
  <c r="AY62" i="264" s="1"/>
  <c r="AS62" i="264"/>
  <c r="AT62" i="264" s="1"/>
  <c r="BF61" i="264"/>
  <c r="BG61" i="264" s="1"/>
  <c r="BC61" i="264"/>
  <c r="BB61" i="264"/>
  <c r="AX61" i="264"/>
  <c r="AY61" i="264" s="1"/>
  <c r="AS61" i="264"/>
  <c r="AT61" i="264" s="1"/>
  <c r="BF60" i="264"/>
  <c r="BG60" i="264" s="1"/>
  <c r="BB60" i="264"/>
  <c r="BC60" i="264" s="1"/>
  <c r="AX60" i="264"/>
  <c r="AY60" i="264" s="1"/>
  <c r="AT60" i="264"/>
  <c r="AS60" i="264"/>
  <c r="BF59" i="264"/>
  <c r="BG59" i="264" s="1"/>
  <c r="BB59" i="264"/>
  <c r="BC59" i="264" s="1"/>
  <c r="AX59" i="264"/>
  <c r="AY59" i="264" s="1"/>
  <c r="AS59" i="264"/>
  <c r="AT59" i="264" s="1"/>
  <c r="BF58" i="264"/>
  <c r="BG58" i="264" s="1"/>
  <c r="BC58" i="264"/>
  <c r="BB58" i="264"/>
  <c r="AX58" i="264"/>
  <c r="AY58" i="264" s="1"/>
  <c r="AS58" i="264"/>
  <c r="AT58" i="264" s="1"/>
  <c r="AO58" i="264"/>
  <c r="AP58" i="264" s="1"/>
  <c r="AQ58" i="264" s="1"/>
  <c r="BF57" i="264"/>
  <c r="BG57" i="264" s="1"/>
  <c r="BB57" i="264"/>
  <c r="BC57" i="264" s="1"/>
  <c r="AX57" i="264"/>
  <c r="AY57" i="264" s="1"/>
  <c r="AT57" i="264"/>
  <c r="AS57" i="264"/>
  <c r="AS56" i="264"/>
  <c r="AT56" i="264" s="1"/>
  <c r="AT55" i="264"/>
  <c r="AS55" i="264"/>
  <c r="AT54" i="264"/>
  <c r="AS54" i="264"/>
  <c r="AT64" i="264" l="1"/>
  <c r="AO81" i="264"/>
  <c r="AP81" i="264" s="1"/>
  <c r="AQ81" i="264" s="1"/>
  <c r="AO80" i="264"/>
  <c r="AP80" i="264" s="1"/>
  <c r="AQ80" i="264" s="1"/>
  <c r="AO84" i="264"/>
  <c r="AP84" i="264" s="1"/>
  <c r="AQ84" i="264" s="1"/>
  <c r="AO86" i="264"/>
  <c r="AP86" i="264" s="1"/>
  <c r="AQ86" i="264" s="1"/>
  <c r="AO60" i="264"/>
  <c r="AP60" i="264" s="1"/>
  <c r="AQ60" i="264" s="1"/>
  <c r="Y49" i="217"/>
  <c r="Y47" i="217"/>
  <c r="Y45" i="217"/>
  <c r="Y43" i="217"/>
  <c r="BP159" i="1"/>
  <c r="BP158" i="1"/>
  <c r="BP157" i="1"/>
  <c r="BP156" i="1"/>
  <c r="BP155" i="1"/>
  <c r="BP154" i="1"/>
  <c r="BP153" i="1"/>
  <c r="BP152" i="1"/>
  <c r="BP151" i="1"/>
  <c r="BP150" i="1"/>
  <c r="BP149" i="1"/>
  <c r="BP148" i="1"/>
  <c r="BP147" i="1"/>
  <c r="Y15" i="1"/>
  <c r="Y13" i="1"/>
  <c r="AC5" i="1"/>
  <c r="AH5" i="1" s="1"/>
  <c r="AM5" i="1" s="1"/>
  <c r="AR5" i="1" s="1"/>
  <c r="AW5" i="1" s="1"/>
  <c r="BB5" i="1" s="1"/>
  <c r="AH11" i="1"/>
  <c r="AO54" i="264" l="1"/>
  <c r="AP54" i="264" s="1"/>
  <c r="AQ54" i="264" s="1"/>
  <c r="AO61" i="264"/>
  <c r="AP61" i="264" s="1"/>
  <c r="AQ61" i="264" s="1"/>
  <c r="AO79" i="264"/>
  <c r="AP79" i="264" s="1"/>
  <c r="AQ79" i="264" s="1"/>
  <c r="AO78" i="264"/>
  <c r="AP78" i="264" s="1"/>
  <c r="AQ78" i="264" s="1"/>
  <c r="AO59" i="264"/>
  <c r="AP59" i="264" s="1"/>
  <c r="AQ59" i="264" s="1"/>
  <c r="AF122" i="1"/>
  <c r="AD122" i="1" s="1"/>
  <c r="BB279" i="1"/>
  <c r="AW279" i="1"/>
  <c r="AR279" i="1"/>
  <c r="AM279" i="1"/>
  <c r="AH279" i="1"/>
  <c r="AC279" i="1"/>
  <c r="T279" i="1"/>
  <c r="AK101" i="1" l="1"/>
  <c r="AC101" i="1"/>
  <c r="AK102" i="1"/>
  <c r="AC102" i="1"/>
  <c r="BG102" i="1" s="1"/>
  <c r="BH102" i="1" s="1"/>
  <c r="AK103" i="1"/>
  <c r="AC103" i="1"/>
  <c r="BG103" i="1" s="1"/>
  <c r="BH103" i="1" s="1"/>
  <c r="AK94" i="1"/>
  <c r="AK104" i="1"/>
  <c r="AK100" i="1"/>
  <c r="AK105" i="1"/>
  <c r="AK95" i="1"/>
  <c r="AI95" i="1" s="1"/>
  <c r="AC95" i="1"/>
  <c r="AK106" i="1"/>
  <c r="AC106" i="1"/>
  <c r="AK98" i="1"/>
  <c r="AC98" i="1"/>
  <c r="BG98" i="1" s="1"/>
  <c r="BH98" i="1" s="1"/>
  <c r="AK109" i="1"/>
  <c r="AK110" i="1"/>
  <c r="AK122" i="1"/>
  <c r="AP122" i="1" s="1"/>
  <c r="AU122" i="1" s="1"/>
  <c r="AZ122" i="1" s="1"/>
  <c r="BE122" i="1" s="1"/>
  <c r="AK111" i="1"/>
  <c r="AK99" i="1"/>
  <c r="AC99" i="1"/>
  <c r="BG99" i="1" s="1"/>
  <c r="BH99" i="1" s="1"/>
  <c r="AK112" i="1"/>
  <c r="AO82" i="264"/>
  <c r="AP82" i="264" s="1"/>
  <c r="AQ82" i="264" s="1"/>
  <c r="AO85" i="264"/>
  <c r="AP85" i="264" s="1"/>
  <c r="AQ85" i="264" s="1"/>
  <c r="H38" i="258"/>
  <c r="G38" i="258"/>
  <c r="F38" i="258"/>
  <c r="E38" i="258"/>
  <c r="D38" i="258"/>
  <c r="C38" i="258"/>
  <c r="B38" i="258"/>
  <c r="H38" i="250"/>
  <c r="G38" i="250"/>
  <c r="F38" i="250"/>
  <c r="E38" i="250"/>
  <c r="D38" i="250"/>
  <c r="C38" i="250"/>
  <c r="B38" i="250"/>
  <c r="H37" i="258"/>
  <c r="G37" i="258"/>
  <c r="F37" i="258"/>
  <c r="E37" i="258"/>
  <c r="D37" i="258"/>
  <c r="C37" i="258"/>
  <c r="B37" i="258"/>
  <c r="H36" i="258"/>
  <c r="G36" i="258"/>
  <c r="F36" i="258"/>
  <c r="E36" i="258"/>
  <c r="D36" i="258"/>
  <c r="C36" i="258"/>
  <c r="B36" i="258"/>
  <c r="H35" i="258"/>
  <c r="G35" i="258"/>
  <c r="F35" i="258"/>
  <c r="E35" i="258"/>
  <c r="D35" i="258"/>
  <c r="C35" i="258"/>
  <c r="B35" i="258"/>
  <c r="H34" i="258"/>
  <c r="G34" i="258"/>
  <c r="F34" i="258"/>
  <c r="E34" i="258"/>
  <c r="D34" i="258"/>
  <c r="C34" i="258"/>
  <c r="B34" i="258"/>
  <c r="H33" i="258"/>
  <c r="G33" i="258"/>
  <c r="F33" i="258"/>
  <c r="E33" i="258"/>
  <c r="D33" i="258"/>
  <c r="C33" i="258"/>
  <c r="B33" i="258"/>
  <c r="H32" i="258"/>
  <c r="G32" i="258"/>
  <c r="F32" i="258"/>
  <c r="E32" i="258"/>
  <c r="D32" i="258"/>
  <c r="C32" i="258"/>
  <c r="B32" i="258"/>
  <c r="H31" i="258"/>
  <c r="G31" i="258"/>
  <c r="F31" i="258"/>
  <c r="E31" i="258"/>
  <c r="D31" i="258"/>
  <c r="C31" i="258"/>
  <c r="B31" i="258"/>
  <c r="H30" i="258"/>
  <c r="G30" i="258"/>
  <c r="F30" i="258"/>
  <c r="E30" i="258"/>
  <c r="D30" i="258"/>
  <c r="C30" i="258"/>
  <c r="B30" i="258"/>
  <c r="H29" i="258"/>
  <c r="G29" i="258"/>
  <c r="F29" i="258"/>
  <c r="E29" i="258"/>
  <c r="D29" i="258"/>
  <c r="C29" i="258"/>
  <c r="B29" i="258"/>
  <c r="H28" i="258"/>
  <c r="G28" i="258"/>
  <c r="F28" i="258"/>
  <c r="E28" i="258"/>
  <c r="D28" i="258"/>
  <c r="C28" i="258"/>
  <c r="B28" i="258"/>
  <c r="H27" i="258"/>
  <c r="G27" i="258"/>
  <c r="F27" i="258"/>
  <c r="E27" i="258"/>
  <c r="D27" i="258"/>
  <c r="C27" i="258"/>
  <c r="B27" i="258"/>
  <c r="H26" i="258"/>
  <c r="G26" i="258"/>
  <c r="F26" i="258"/>
  <c r="E26" i="258"/>
  <c r="D26" i="258"/>
  <c r="C26" i="258"/>
  <c r="B26" i="258"/>
  <c r="H25" i="258"/>
  <c r="G25" i="258"/>
  <c r="F25" i="258"/>
  <c r="E25" i="258"/>
  <c r="D25" i="258"/>
  <c r="C25" i="258"/>
  <c r="B25" i="258"/>
  <c r="H37" i="250"/>
  <c r="G37" i="250"/>
  <c r="F37" i="250"/>
  <c r="E37" i="250"/>
  <c r="D37" i="250"/>
  <c r="C37" i="250"/>
  <c r="B37" i="250"/>
  <c r="H36" i="250"/>
  <c r="G36" i="250"/>
  <c r="F36" i="250"/>
  <c r="E36" i="250"/>
  <c r="D36" i="250"/>
  <c r="C36" i="250"/>
  <c r="B36" i="250"/>
  <c r="H35" i="250"/>
  <c r="G35" i="250"/>
  <c r="F35" i="250"/>
  <c r="E35" i="250"/>
  <c r="D35" i="250"/>
  <c r="C35" i="250"/>
  <c r="B35" i="250"/>
  <c r="H34" i="250"/>
  <c r="G34" i="250"/>
  <c r="F34" i="250"/>
  <c r="E34" i="250"/>
  <c r="D34" i="250"/>
  <c r="C34" i="250"/>
  <c r="B34" i="250"/>
  <c r="H33" i="250"/>
  <c r="G33" i="250"/>
  <c r="F33" i="250"/>
  <c r="E33" i="250"/>
  <c r="D33" i="250"/>
  <c r="C33" i="250"/>
  <c r="B33" i="250"/>
  <c r="H32" i="250"/>
  <c r="G32" i="250"/>
  <c r="F32" i="250"/>
  <c r="E32" i="250"/>
  <c r="D32" i="250"/>
  <c r="C32" i="250"/>
  <c r="B32" i="250"/>
  <c r="H31" i="250"/>
  <c r="G31" i="250"/>
  <c r="F31" i="250"/>
  <c r="E31" i="250"/>
  <c r="D31" i="250"/>
  <c r="C31" i="250"/>
  <c r="B31" i="250"/>
  <c r="H30" i="250"/>
  <c r="G30" i="250"/>
  <c r="F30" i="250"/>
  <c r="E30" i="250"/>
  <c r="D30" i="250"/>
  <c r="C30" i="250"/>
  <c r="B30" i="250"/>
  <c r="H29" i="250"/>
  <c r="G29" i="250"/>
  <c r="F29" i="250"/>
  <c r="E29" i="250"/>
  <c r="D29" i="250"/>
  <c r="C29" i="250"/>
  <c r="B29" i="250"/>
  <c r="H28" i="250"/>
  <c r="G28" i="250"/>
  <c r="F28" i="250"/>
  <c r="E28" i="250"/>
  <c r="D28" i="250"/>
  <c r="C28" i="250"/>
  <c r="B28" i="250"/>
  <c r="H27" i="250"/>
  <c r="G27" i="250"/>
  <c r="F27" i="250"/>
  <c r="E27" i="250"/>
  <c r="D27" i="250"/>
  <c r="C27" i="250"/>
  <c r="B27" i="250"/>
  <c r="H26" i="250"/>
  <c r="G26" i="250"/>
  <c r="F26" i="250"/>
  <c r="E26" i="250"/>
  <c r="D26" i="250"/>
  <c r="C26" i="250"/>
  <c r="B26" i="250"/>
  <c r="H25" i="250"/>
  <c r="G25" i="250"/>
  <c r="F25" i="250"/>
  <c r="E25" i="250"/>
  <c r="D25" i="250"/>
  <c r="C25" i="250"/>
  <c r="B25" i="250"/>
  <c r="H38" i="242"/>
  <c r="G38" i="242"/>
  <c r="F38" i="242"/>
  <c r="E38" i="242"/>
  <c r="D38" i="242"/>
  <c r="C38" i="242"/>
  <c r="B38" i="242"/>
  <c r="H37" i="242"/>
  <c r="G37" i="242"/>
  <c r="F37" i="242"/>
  <c r="E37" i="242"/>
  <c r="D37" i="242"/>
  <c r="C37" i="242"/>
  <c r="B37" i="242"/>
  <c r="H36" i="242"/>
  <c r="G36" i="242"/>
  <c r="F36" i="242"/>
  <c r="E36" i="242"/>
  <c r="D36" i="242"/>
  <c r="C36" i="242"/>
  <c r="B36" i="242"/>
  <c r="H35" i="242"/>
  <c r="G35" i="242"/>
  <c r="F35" i="242"/>
  <c r="E35" i="242"/>
  <c r="D35" i="242"/>
  <c r="C35" i="242"/>
  <c r="B35" i="242"/>
  <c r="H34" i="242"/>
  <c r="G34" i="242"/>
  <c r="F34" i="242"/>
  <c r="E34" i="242"/>
  <c r="D34" i="242"/>
  <c r="C34" i="242"/>
  <c r="B34" i="242"/>
  <c r="H33" i="242"/>
  <c r="G33" i="242"/>
  <c r="F33" i="242"/>
  <c r="E33" i="242"/>
  <c r="D33" i="242"/>
  <c r="C33" i="242"/>
  <c r="B33" i="242"/>
  <c r="H32" i="242"/>
  <c r="G32" i="242"/>
  <c r="F32" i="242"/>
  <c r="E32" i="242"/>
  <c r="D32" i="242"/>
  <c r="C32" i="242"/>
  <c r="B32" i="242"/>
  <c r="H31" i="242"/>
  <c r="G31" i="242"/>
  <c r="F31" i="242"/>
  <c r="E31" i="242"/>
  <c r="D31" i="242"/>
  <c r="C31" i="242"/>
  <c r="B31" i="242"/>
  <c r="H30" i="242"/>
  <c r="G30" i="242"/>
  <c r="F30" i="242"/>
  <c r="E30" i="242"/>
  <c r="D30" i="242"/>
  <c r="C30" i="242"/>
  <c r="B30" i="242"/>
  <c r="H29" i="242"/>
  <c r="G29" i="242"/>
  <c r="F29" i="242"/>
  <c r="E29" i="242"/>
  <c r="D29" i="242"/>
  <c r="C29" i="242"/>
  <c r="B29" i="242"/>
  <c r="H28" i="242"/>
  <c r="G28" i="242"/>
  <c r="F28" i="242"/>
  <c r="E28" i="242"/>
  <c r="D28" i="242"/>
  <c r="C28" i="242"/>
  <c r="B28" i="242"/>
  <c r="H27" i="242"/>
  <c r="G27" i="242"/>
  <c r="F27" i="242"/>
  <c r="E27" i="242"/>
  <c r="D27" i="242"/>
  <c r="C27" i="242"/>
  <c r="B27" i="242"/>
  <c r="H26" i="242"/>
  <c r="G26" i="242"/>
  <c r="F26" i="242"/>
  <c r="E26" i="242"/>
  <c r="D26" i="242"/>
  <c r="C26" i="242"/>
  <c r="B26" i="242"/>
  <c r="H25" i="242"/>
  <c r="G25" i="242"/>
  <c r="F25" i="242"/>
  <c r="E25" i="242"/>
  <c r="D25" i="242"/>
  <c r="C25" i="242"/>
  <c r="B25" i="242"/>
  <c r="H38" i="234"/>
  <c r="G38" i="234"/>
  <c r="F38" i="234"/>
  <c r="E38" i="234"/>
  <c r="D38" i="234"/>
  <c r="C38" i="234"/>
  <c r="B38" i="234"/>
  <c r="H37" i="234"/>
  <c r="G37" i="234"/>
  <c r="F37" i="234"/>
  <c r="E37" i="234"/>
  <c r="D37" i="234"/>
  <c r="C37" i="234"/>
  <c r="B37" i="234"/>
  <c r="H36" i="234"/>
  <c r="G36" i="234"/>
  <c r="F36" i="234"/>
  <c r="E36" i="234"/>
  <c r="D36" i="234"/>
  <c r="C36" i="234"/>
  <c r="B36" i="234"/>
  <c r="H35" i="234"/>
  <c r="G35" i="234"/>
  <c r="F35" i="234"/>
  <c r="E35" i="234"/>
  <c r="D35" i="234"/>
  <c r="C35" i="234"/>
  <c r="B35" i="234"/>
  <c r="H34" i="234"/>
  <c r="G34" i="234"/>
  <c r="F34" i="234"/>
  <c r="E34" i="234"/>
  <c r="D34" i="234"/>
  <c r="C34" i="234"/>
  <c r="B34" i="234"/>
  <c r="H33" i="234"/>
  <c r="G33" i="234"/>
  <c r="F33" i="234"/>
  <c r="E33" i="234"/>
  <c r="D33" i="234"/>
  <c r="C33" i="234"/>
  <c r="B33" i="234"/>
  <c r="H32" i="234"/>
  <c r="G32" i="234"/>
  <c r="F32" i="234"/>
  <c r="E32" i="234"/>
  <c r="D32" i="234"/>
  <c r="C32" i="234"/>
  <c r="B32" i="234"/>
  <c r="H31" i="234"/>
  <c r="G31" i="234"/>
  <c r="F31" i="234"/>
  <c r="E31" i="234"/>
  <c r="D31" i="234"/>
  <c r="C31" i="234"/>
  <c r="B31" i="234"/>
  <c r="H30" i="234"/>
  <c r="G30" i="234"/>
  <c r="F30" i="234"/>
  <c r="E30" i="234"/>
  <c r="D30" i="234"/>
  <c r="C30" i="234"/>
  <c r="B30" i="234"/>
  <c r="H29" i="234"/>
  <c r="G29" i="234"/>
  <c r="F29" i="234"/>
  <c r="E29" i="234"/>
  <c r="D29" i="234"/>
  <c r="C29" i="234"/>
  <c r="B29" i="234"/>
  <c r="H28" i="234"/>
  <c r="G28" i="234"/>
  <c r="F28" i="234"/>
  <c r="E28" i="234"/>
  <c r="D28" i="234"/>
  <c r="C28" i="234"/>
  <c r="B28" i="234"/>
  <c r="H27" i="234"/>
  <c r="G27" i="234"/>
  <c r="F27" i="234"/>
  <c r="E27" i="234"/>
  <c r="D27" i="234"/>
  <c r="C27" i="234"/>
  <c r="B27" i="234"/>
  <c r="H26" i="234"/>
  <c r="G26" i="234"/>
  <c r="F26" i="234"/>
  <c r="E26" i="234"/>
  <c r="D26" i="234"/>
  <c r="C26" i="234"/>
  <c r="B26" i="234"/>
  <c r="H25" i="234"/>
  <c r="G25" i="234"/>
  <c r="F25" i="234"/>
  <c r="E25" i="234"/>
  <c r="D25" i="234"/>
  <c r="C25" i="234"/>
  <c r="B25" i="234"/>
  <c r="H38" i="226"/>
  <c r="G38" i="226"/>
  <c r="F38" i="226"/>
  <c r="E38" i="226"/>
  <c r="D38" i="226"/>
  <c r="C38" i="226"/>
  <c r="B38" i="226"/>
  <c r="H37" i="226"/>
  <c r="G37" i="226"/>
  <c r="F37" i="226"/>
  <c r="E37" i="226"/>
  <c r="D37" i="226"/>
  <c r="C37" i="226"/>
  <c r="B37" i="226"/>
  <c r="H36" i="226"/>
  <c r="G36" i="226"/>
  <c r="F36" i="226"/>
  <c r="E36" i="226"/>
  <c r="D36" i="226"/>
  <c r="C36" i="226"/>
  <c r="B36" i="226"/>
  <c r="H35" i="226"/>
  <c r="G35" i="226"/>
  <c r="F35" i="226"/>
  <c r="E35" i="226"/>
  <c r="D35" i="226"/>
  <c r="C35" i="226"/>
  <c r="B35" i="226"/>
  <c r="H34" i="226"/>
  <c r="G34" i="226"/>
  <c r="F34" i="226"/>
  <c r="E34" i="226"/>
  <c r="D34" i="226"/>
  <c r="C34" i="226"/>
  <c r="B34" i="226"/>
  <c r="H33" i="226"/>
  <c r="G33" i="226"/>
  <c r="F33" i="226"/>
  <c r="E33" i="226"/>
  <c r="D33" i="226"/>
  <c r="C33" i="226"/>
  <c r="B33" i="226"/>
  <c r="H32" i="226"/>
  <c r="G32" i="226"/>
  <c r="F32" i="226"/>
  <c r="E32" i="226"/>
  <c r="D32" i="226"/>
  <c r="C32" i="226"/>
  <c r="B32" i="226"/>
  <c r="H31" i="226"/>
  <c r="G31" i="226"/>
  <c r="F31" i="226"/>
  <c r="E31" i="226"/>
  <c r="D31" i="226"/>
  <c r="C31" i="226"/>
  <c r="B31" i="226"/>
  <c r="H30" i="226"/>
  <c r="G30" i="226"/>
  <c r="F30" i="226"/>
  <c r="E30" i="226"/>
  <c r="D30" i="226"/>
  <c r="C30" i="226"/>
  <c r="B30" i="226"/>
  <c r="H29" i="226"/>
  <c r="G29" i="226"/>
  <c r="F29" i="226"/>
  <c r="E29" i="226"/>
  <c r="D29" i="226"/>
  <c r="C29" i="226"/>
  <c r="B29" i="226"/>
  <c r="H28" i="226"/>
  <c r="G28" i="226"/>
  <c r="F28" i="226"/>
  <c r="E28" i="226"/>
  <c r="D28" i="226"/>
  <c r="C28" i="226"/>
  <c r="B28" i="226"/>
  <c r="H27" i="226"/>
  <c r="G27" i="226"/>
  <c r="F27" i="226"/>
  <c r="E27" i="226"/>
  <c r="D27" i="226"/>
  <c r="C27" i="226"/>
  <c r="B27" i="226"/>
  <c r="H26" i="226"/>
  <c r="G26" i="226"/>
  <c r="F26" i="226"/>
  <c r="E26" i="226"/>
  <c r="D26" i="226"/>
  <c r="C26" i="226"/>
  <c r="B26" i="226"/>
  <c r="H25" i="226"/>
  <c r="G25" i="226"/>
  <c r="F25" i="226"/>
  <c r="E25" i="226"/>
  <c r="D25" i="226"/>
  <c r="C25" i="226"/>
  <c r="B25" i="226"/>
  <c r="T220" i="1"/>
  <c r="Y220" i="1"/>
  <c r="BB650" i="1"/>
  <c r="BB611" i="1"/>
  <c r="BB607" i="1"/>
  <c r="BB603" i="1"/>
  <c r="BB596" i="1"/>
  <c r="BB591" i="1"/>
  <c r="BB583" i="1"/>
  <c r="BB573" i="1"/>
  <c r="BB547" i="1"/>
  <c r="BB536" i="1"/>
  <c r="BB525" i="1"/>
  <c r="BB511" i="1"/>
  <c r="BB501" i="1"/>
  <c r="BB491" i="1"/>
  <c r="BB481" i="1"/>
  <c r="BB463" i="1"/>
  <c r="BB451" i="1"/>
  <c r="BB445" i="1"/>
  <c r="AW650" i="1"/>
  <c r="AW611" i="1"/>
  <c r="AW607" i="1"/>
  <c r="AW603" i="1"/>
  <c r="AW596" i="1"/>
  <c r="AW591" i="1"/>
  <c r="AW583" i="1"/>
  <c r="AW573" i="1"/>
  <c r="AW547" i="1"/>
  <c r="AW536" i="1"/>
  <c r="AW525" i="1"/>
  <c r="AW511" i="1"/>
  <c r="AW501" i="1"/>
  <c r="AW491" i="1"/>
  <c r="AW481" i="1"/>
  <c r="AW463" i="1"/>
  <c r="AW451" i="1"/>
  <c r="AW445" i="1"/>
  <c r="AR650" i="1"/>
  <c r="AR611" i="1"/>
  <c r="AR607" i="1"/>
  <c r="AR603" i="1"/>
  <c r="AR596" i="1"/>
  <c r="AR591" i="1"/>
  <c r="AR583" i="1"/>
  <c r="AR573" i="1"/>
  <c r="AR547" i="1"/>
  <c r="AR536" i="1"/>
  <c r="AR525" i="1"/>
  <c r="AR511" i="1"/>
  <c r="AR501" i="1"/>
  <c r="AR491" i="1"/>
  <c r="AR481" i="1"/>
  <c r="AR463" i="1"/>
  <c r="AR451" i="1"/>
  <c r="AR445" i="1"/>
  <c r="AM650" i="1"/>
  <c r="AM611" i="1"/>
  <c r="AM607" i="1"/>
  <c r="AM603" i="1"/>
  <c r="AM596" i="1"/>
  <c r="AM591" i="1"/>
  <c r="AM583" i="1"/>
  <c r="AM573" i="1"/>
  <c r="AM547" i="1"/>
  <c r="AM536" i="1"/>
  <c r="AM525" i="1"/>
  <c r="AM511" i="1"/>
  <c r="AM501" i="1"/>
  <c r="AM491" i="1"/>
  <c r="AM481" i="1"/>
  <c r="AM463" i="1"/>
  <c r="AM451" i="1"/>
  <c r="AM445" i="1"/>
  <c r="AH650" i="1"/>
  <c r="AH611" i="1"/>
  <c r="AH607" i="1"/>
  <c r="AH603" i="1"/>
  <c r="AH596" i="1"/>
  <c r="AH591" i="1"/>
  <c r="AH583" i="1"/>
  <c r="AH573" i="1"/>
  <c r="AH547" i="1"/>
  <c r="AH536" i="1"/>
  <c r="AH525" i="1"/>
  <c r="AH511" i="1"/>
  <c r="AH501" i="1"/>
  <c r="AH491" i="1"/>
  <c r="AH481" i="1"/>
  <c r="AH463" i="1"/>
  <c r="AH451" i="1"/>
  <c r="AH445" i="1"/>
  <c r="AC650" i="1"/>
  <c r="AC611" i="1"/>
  <c r="AC607" i="1"/>
  <c r="AC603" i="1"/>
  <c r="AC596" i="1"/>
  <c r="AC591" i="1"/>
  <c r="AC583" i="1"/>
  <c r="AC573" i="1"/>
  <c r="AC547" i="1"/>
  <c r="AC536" i="1"/>
  <c r="AC525" i="1"/>
  <c r="AC511" i="1"/>
  <c r="AC501" i="1"/>
  <c r="AC491" i="1"/>
  <c r="AC481" i="1"/>
  <c r="AC463" i="1"/>
  <c r="AC451" i="1"/>
  <c r="Y650" i="1"/>
  <c r="Y611" i="1"/>
  <c r="Y607" i="1"/>
  <c r="Y603" i="1"/>
  <c r="Y596" i="1"/>
  <c r="Y591" i="1"/>
  <c r="Y583" i="1"/>
  <c r="Y573" i="1"/>
  <c r="Y547" i="1"/>
  <c r="Y536" i="1"/>
  <c r="Y525" i="1"/>
  <c r="Y511" i="1"/>
  <c r="Y501" i="1"/>
  <c r="Y491" i="1"/>
  <c r="Y481" i="1"/>
  <c r="Y463" i="1"/>
  <c r="Y451" i="1"/>
  <c r="Y445" i="1"/>
  <c r="T650" i="1"/>
  <c r="T611" i="1"/>
  <c r="T607" i="1"/>
  <c r="T603" i="1"/>
  <c r="T596" i="1"/>
  <c r="T591" i="1"/>
  <c r="T583" i="1"/>
  <c r="T573" i="1"/>
  <c r="T547" i="1"/>
  <c r="T536" i="1"/>
  <c r="T525" i="1"/>
  <c r="T511" i="1"/>
  <c r="T501" i="1"/>
  <c r="T491" i="1"/>
  <c r="T481" i="1"/>
  <c r="T463" i="1"/>
  <c r="T451" i="1"/>
  <c r="T445" i="1"/>
  <c r="Q650" i="1"/>
  <c r="Q611" i="1"/>
  <c r="Q607" i="1"/>
  <c r="Q603" i="1"/>
  <c r="Q596" i="1"/>
  <c r="Q591" i="1"/>
  <c r="Q583" i="1"/>
  <c r="Q573" i="1"/>
  <c r="Q547" i="1"/>
  <c r="Q536" i="1"/>
  <c r="Q525" i="1"/>
  <c r="Q511" i="1"/>
  <c r="Q501" i="1"/>
  <c r="Q491" i="1"/>
  <c r="Q481" i="1"/>
  <c r="Q463" i="1"/>
  <c r="Q451" i="1"/>
  <c r="Q445" i="1"/>
  <c r="O650" i="1"/>
  <c r="O611" i="1"/>
  <c r="O607" i="1"/>
  <c r="O603" i="1"/>
  <c r="O596" i="1"/>
  <c r="O591" i="1"/>
  <c r="O583" i="1"/>
  <c r="O573" i="1"/>
  <c r="O547" i="1"/>
  <c r="O536" i="1"/>
  <c r="O525" i="1"/>
  <c r="O511" i="1"/>
  <c r="O501" i="1"/>
  <c r="O491" i="1"/>
  <c r="O481" i="1"/>
  <c r="O463" i="1"/>
  <c r="O451" i="1"/>
  <c r="O445" i="1"/>
  <c r="M596" i="1"/>
  <c r="M591" i="1"/>
  <c r="M583" i="1"/>
  <c r="M536" i="1"/>
  <c r="M491" i="1"/>
  <c r="M463" i="1"/>
  <c r="AC117" i="1" l="1"/>
  <c r="AC294" i="1"/>
  <c r="AC298" i="1" s="1"/>
  <c r="AC323" i="1"/>
  <c r="BG101" i="1"/>
  <c r="BH101" i="1" s="1"/>
  <c r="AC148" i="1"/>
  <c r="AP110" i="1"/>
  <c r="AI110" i="1"/>
  <c r="AH110" i="1" s="1"/>
  <c r="AP106" i="1"/>
  <c r="AI106" i="1"/>
  <c r="AH106" i="1" s="1"/>
  <c r="AP104" i="1"/>
  <c r="AI104" i="1"/>
  <c r="AH104" i="1" s="1"/>
  <c r="AP111" i="1"/>
  <c r="AI111" i="1"/>
  <c r="AH111" i="1" s="1"/>
  <c r="AP95" i="1"/>
  <c r="AH95" i="1"/>
  <c r="AP94" i="1"/>
  <c r="AI94" i="1"/>
  <c r="AH94" i="1" s="1"/>
  <c r="AP102" i="1"/>
  <c r="AI102" i="1"/>
  <c r="AH102" i="1" s="1"/>
  <c r="AP109" i="1"/>
  <c r="AI109" i="1"/>
  <c r="AH109" i="1" s="1"/>
  <c r="AP112" i="1"/>
  <c r="AI112" i="1"/>
  <c r="AH112" i="1" s="1"/>
  <c r="AP98" i="1"/>
  <c r="AI98" i="1"/>
  <c r="AH98" i="1" s="1"/>
  <c r="AP100" i="1"/>
  <c r="AI100" i="1"/>
  <c r="AH100" i="1" s="1"/>
  <c r="AP99" i="1"/>
  <c r="AI99" i="1"/>
  <c r="AH99" i="1" s="1"/>
  <c r="AP105" i="1"/>
  <c r="AI105" i="1"/>
  <c r="AH105" i="1" s="1"/>
  <c r="AP103" i="1"/>
  <c r="AI103" i="1"/>
  <c r="AH103" i="1" s="1"/>
  <c r="AP101" i="1"/>
  <c r="AI101" i="1"/>
  <c r="AH101" i="1" s="1"/>
  <c r="BB256" i="1"/>
  <c r="BB244" i="1"/>
  <c r="AW256" i="1"/>
  <c r="AW244" i="1"/>
  <c r="AR256" i="1"/>
  <c r="AR244" i="1"/>
  <c r="AM256" i="1"/>
  <c r="AM244" i="1"/>
  <c r="AH256" i="1"/>
  <c r="AH244" i="1"/>
  <c r="AC256" i="1"/>
  <c r="AC244" i="1"/>
  <c r="Y244" i="1"/>
  <c r="M285" i="1"/>
  <c r="M279" i="1"/>
  <c r="M256" i="1"/>
  <c r="M244" i="1"/>
  <c r="M233" i="1"/>
  <c r="O285" i="1"/>
  <c r="O279" i="1"/>
  <c r="O256" i="1"/>
  <c r="O244" i="1"/>
  <c r="O233" i="1"/>
  <c r="Q285" i="1"/>
  <c r="Q279" i="1"/>
  <c r="Q256" i="1"/>
  <c r="Q244" i="1"/>
  <c r="Q233" i="1"/>
  <c r="AH323" i="1" l="1"/>
  <c r="AH294" i="1"/>
  <c r="AH117" i="1"/>
  <c r="AU99" i="1"/>
  <c r="AN99" i="1"/>
  <c r="AM99" i="1" s="1"/>
  <c r="AU111" i="1"/>
  <c r="AN111" i="1"/>
  <c r="AM111" i="1" s="1"/>
  <c r="AU101" i="1"/>
  <c r="AN101" i="1"/>
  <c r="AM101" i="1" s="1"/>
  <c r="AU112" i="1"/>
  <c r="AN112" i="1"/>
  <c r="AM112" i="1" s="1"/>
  <c r="AU102" i="1"/>
  <c r="AN102" i="1"/>
  <c r="AM102" i="1" s="1"/>
  <c r="AU103" i="1"/>
  <c r="AN103" i="1"/>
  <c r="AM103" i="1" s="1"/>
  <c r="AU94" i="1"/>
  <c r="AN94" i="1"/>
  <c r="AM94" i="1" s="1"/>
  <c r="AU104" i="1"/>
  <c r="AN104" i="1"/>
  <c r="AM104" i="1" s="1"/>
  <c r="AU105" i="1"/>
  <c r="AN105" i="1"/>
  <c r="AM105" i="1" s="1"/>
  <c r="AU100" i="1"/>
  <c r="AN100" i="1"/>
  <c r="AM100" i="1" s="1"/>
  <c r="AU106" i="1"/>
  <c r="AN106" i="1"/>
  <c r="AM106" i="1" s="1"/>
  <c r="AU109" i="1"/>
  <c r="AN109" i="1"/>
  <c r="AM109" i="1" s="1"/>
  <c r="AU95" i="1"/>
  <c r="AN95" i="1"/>
  <c r="AM95" i="1" s="1"/>
  <c r="AU110" i="1"/>
  <c r="AN110" i="1"/>
  <c r="AM110" i="1" s="1"/>
  <c r="AU98" i="1"/>
  <c r="AN98" i="1"/>
  <c r="AM98" i="1" s="1"/>
  <c r="AO62" i="264"/>
  <c r="AP62" i="264" s="1"/>
  <c r="AQ62" i="264" s="1"/>
  <c r="Q281" i="1"/>
  <c r="Q286" i="1" s="1"/>
  <c r="M281" i="1"/>
  <c r="M286" i="1" s="1"/>
  <c r="O281" i="1"/>
  <c r="O286" i="1" s="1"/>
  <c r="T256" i="1"/>
  <c r="BB36" i="1"/>
  <c r="BB38" i="1" s="1"/>
  <c r="BB32" i="1"/>
  <c r="AW36" i="1"/>
  <c r="AW38" i="1" s="1"/>
  <c r="AW32" i="1"/>
  <c r="AR36" i="1"/>
  <c r="AR38" i="1" s="1"/>
  <c r="AR32" i="1"/>
  <c r="AM36" i="1"/>
  <c r="AM38" i="1" s="1"/>
  <c r="AM32" i="1"/>
  <c r="AH36" i="1"/>
  <c r="AH38" i="1" s="1"/>
  <c r="AH32" i="1"/>
  <c r="AC36" i="1"/>
  <c r="AC38" i="1" s="1"/>
  <c r="AC32" i="1"/>
  <c r="Y36" i="1"/>
  <c r="Y38" i="1" s="1"/>
  <c r="Y32" i="1"/>
  <c r="T36" i="1"/>
  <c r="T38" i="1" s="1"/>
  <c r="T32" i="1"/>
  <c r="Q36" i="1"/>
  <c r="Q38" i="1" s="1"/>
  <c r="Q32" i="1"/>
  <c r="O36" i="1"/>
  <c r="O38" i="1" s="1"/>
  <c r="O32" i="1"/>
  <c r="M36" i="1"/>
  <c r="M38" i="1" s="1"/>
  <c r="M32" i="1"/>
  <c r="U164" i="263"/>
  <c r="J76" i="263"/>
  <c r="AU75" i="263"/>
  <c r="L75" i="263"/>
  <c r="J75" i="263"/>
  <c r="AS66" i="263"/>
  <c r="AO66" i="263"/>
  <c r="AK66" i="263"/>
  <c r="AG66" i="263"/>
  <c r="AC66" i="263"/>
  <c r="Y66" i="263"/>
  <c r="U66" i="263"/>
  <c r="N66" i="263"/>
  <c r="L66" i="263"/>
  <c r="J66" i="263"/>
  <c r="AU63" i="263"/>
  <c r="AS63" i="263"/>
  <c r="AO63" i="263"/>
  <c r="AK63" i="263"/>
  <c r="AG63" i="263"/>
  <c r="AC63" i="263"/>
  <c r="Y63" i="263"/>
  <c r="U63" i="263"/>
  <c r="N63" i="263"/>
  <c r="L63" i="263"/>
  <c r="J63" i="263"/>
  <c r="AS67" i="263"/>
  <c r="AS62" i="263"/>
  <c r="AS55" i="263"/>
  <c r="AS16" i="263"/>
  <c r="J164" i="263"/>
  <c r="U161" i="263"/>
  <c r="N161" i="263"/>
  <c r="L161" i="263"/>
  <c r="J161" i="263"/>
  <c r="AG146" i="263"/>
  <c r="L142" i="263"/>
  <c r="J142" i="263"/>
  <c r="N121" i="263"/>
  <c r="L121" i="263"/>
  <c r="J121" i="263"/>
  <c r="N114" i="263"/>
  <c r="L114" i="263"/>
  <c r="J114" i="263"/>
  <c r="N126" i="263"/>
  <c r="N128" i="263" s="1"/>
  <c r="N131" i="263" s="1"/>
  <c r="L126" i="263"/>
  <c r="L128" i="263" s="1"/>
  <c r="L131" i="263" s="1"/>
  <c r="J126" i="263"/>
  <c r="J128" i="263" s="1"/>
  <c r="J131" i="263" s="1"/>
  <c r="L67" i="263"/>
  <c r="AO62" i="263"/>
  <c r="AK62" i="263"/>
  <c r="AG62" i="263"/>
  <c r="AC62" i="263"/>
  <c r="Y62" i="263"/>
  <c r="U62" i="263"/>
  <c r="N62" i="263"/>
  <c r="L62" i="263"/>
  <c r="J62" i="263"/>
  <c r="AO55" i="263"/>
  <c r="AK55" i="263"/>
  <c r="AG55" i="263"/>
  <c r="AC55" i="263"/>
  <c r="Y55" i="263"/>
  <c r="U55" i="263"/>
  <c r="N55" i="263"/>
  <c r="L55" i="263"/>
  <c r="J55" i="263"/>
  <c r="L24" i="263"/>
  <c r="L72" i="263" s="1"/>
  <c r="J24" i="263"/>
  <c r="J72" i="263" s="1"/>
  <c r="U142" i="263"/>
  <c r="L144" i="263"/>
  <c r="J144" i="263"/>
  <c r="L140" i="263"/>
  <c r="J140" i="263"/>
  <c r="AM294" i="1" l="1"/>
  <c r="AM323" i="1"/>
  <c r="AZ94" i="1"/>
  <c r="AS94" i="1"/>
  <c r="AR94" i="1" s="1"/>
  <c r="AZ109" i="1"/>
  <c r="AS109" i="1"/>
  <c r="AR109" i="1" s="1"/>
  <c r="AZ98" i="1"/>
  <c r="AS98" i="1"/>
  <c r="AR98" i="1" s="1"/>
  <c r="AZ100" i="1"/>
  <c r="AS100" i="1"/>
  <c r="AR100" i="1" s="1"/>
  <c r="AZ112" i="1"/>
  <c r="AS112" i="1"/>
  <c r="AR112" i="1" s="1"/>
  <c r="AZ105" i="1"/>
  <c r="AS105" i="1"/>
  <c r="AR105" i="1" s="1"/>
  <c r="AZ103" i="1"/>
  <c r="AS103" i="1"/>
  <c r="AR103" i="1" s="1"/>
  <c r="AZ101" i="1"/>
  <c r="AS101" i="1"/>
  <c r="AR101" i="1" s="1"/>
  <c r="AZ111" i="1"/>
  <c r="AS111" i="1"/>
  <c r="AR111" i="1" s="1"/>
  <c r="AZ110" i="1"/>
  <c r="AS110" i="1"/>
  <c r="AR110" i="1" s="1"/>
  <c r="AZ95" i="1"/>
  <c r="AS95" i="1"/>
  <c r="AR95" i="1" s="1"/>
  <c r="AZ106" i="1"/>
  <c r="AS106" i="1"/>
  <c r="AR106" i="1" s="1"/>
  <c r="AZ104" i="1"/>
  <c r="AS104" i="1"/>
  <c r="AR104" i="1" s="1"/>
  <c r="AZ102" i="1"/>
  <c r="AS102" i="1"/>
  <c r="AR102" i="1" s="1"/>
  <c r="AZ99" i="1"/>
  <c r="AS99" i="1"/>
  <c r="AR99" i="1" s="1"/>
  <c r="AO56" i="264"/>
  <c r="AP56" i="264" s="1"/>
  <c r="AQ56" i="264" s="1"/>
  <c r="AO55" i="264"/>
  <c r="AP55" i="264" s="1"/>
  <c r="AQ55" i="264" s="1"/>
  <c r="AS49" i="263"/>
  <c r="AS74" i="263" s="1"/>
  <c r="AS24" i="263"/>
  <c r="AS25" i="263" s="1"/>
  <c r="AS35" i="263"/>
  <c r="AS41" i="263"/>
  <c r="AS56" i="263" s="1"/>
  <c r="U114" i="263"/>
  <c r="AC41" i="263"/>
  <c r="U140" i="263"/>
  <c r="AU41" i="263"/>
  <c r="N123" i="263"/>
  <c r="AG49" i="263"/>
  <c r="AG74" i="263" s="1"/>
  <c r="N35" i="263"/>
  <c r="L107" i="263"/>
  <c r="AG16" i="263"/>
  <c r="AO35" i="263"/>
  <c r="AU49" i="263"/>
  <c r="L123" i="263"/>
  <c r="J41" i="263"/>
  <c r="AK49" i="263"/>
  <c r="AK74" i="263" s="1"/>
  <c r="AO24" i="263"/>
  <c r="AO72" i="263" s="1"/>
  <c r="AO16" i="263"/>
  <c r="N140" i="263"/>
  <c r="AU62" i="263"/>
  <c r="Y41" i="263"/>
  <c r="U144" i="263"/>
  <c r="N142" i="263"/>
  <c r="AC49" i="263"/>
  <c r="AC74" i="263" s="1"/>
  <c r="AU55" i="263"/>
  <c r="AO49" i="263"/>
  <c r="AO74" i="263" s="1"/>
  <c r="U41" i="263"/>
  <c r="AG35" i="263"/>
  <c r="Y16" i="263"/>
  <c r="N144" i="263"/>
  <c r="AK35" i="263"/>
  <c r="AO41" i="263"/>
  <c r="U35" i="263"/>
  <c r="AG41" i="263"/>
  <c r="AK41" i="263"/>
  <c r="AC35" i="263"/>
  <c r="AU35" i="263"/>
  <c r="J49" i="263"/>
  <c r="J74" i="263" s="1"/>
  <c r="AK16" i="263"/>
  <c r="Y35" i="263"/>
  <c r="N41" i="263"/>
  <c r="AU16" i="263"/>
  <c r="AC16" i="263"/>
  <c r="L49" i="263"/>
  <c r="N49" i="263"/>
  <c r="N74" i="263" s="1"/>
  <c r="J123" i="263"/>
  <c r="J35" i="263"/>
  <c r="J149" i="263" s="1"/>
  <c r="U49" i="263"/>
  <c r="U74" i="263" s="1"/>
  <c r="L41" i="263"/>
  <c r="U16" i="263"/>
  <c r="U24" i="263"/>
  <c r="L35" i="263"/>
  <c r="Y49" i="263"/>
  <c r="Y74" i="263" s="1"/>
  <c r="N107" i="263"/>
  <c r="L141" i="263"/>
  <c r="L146" i="263" s="1"/>
  <c r="L16" i="263"/>
  <c r="L25" i="263" s="1"/>
  <c r="N16" i="263"/>
  <c r="N141" i="263"/>
  <c r="Y24" i="263"/>
  <c r="J16" i="263"/>
  <c r="J25" i="263" s="1"/>
  <c r="N24" i="263"/>
  <c r="AG24" i="263"/>
  <c r="AK24" i="263"/>
  <c r="Y121" i="263"/>
  <c r="AU24" i="263"/>
  <c r="J141" i="263"/>
  <c r="J146" i="263" s="1"/>
  <c r="J107" i="263"/>
  <c r="AC24" i="263"/>
  <c r="AR294" i="1" l="1"/>
  <c r="AR323" i="1"/>
  <c r="BE105" i="1"/>
  <c r="AX105" i="1"/>
  <c r="AW105" i="1" s="1"/>
  <c r="BE98" i="1"/>
  <c r="AX98" i="1"/>
  <c r="AW98" i="1" s="1"/>
  <c r="BE106" i="1"/>
  <c r="AX106" i="1"/>
  <c r="AW106" i="1" s="1"/>
  <c r="BE109" i="1"/>
  <c r="AX109" i="1"/>
  <c r="AW109" i="1" s="1"/>
  <c r="BE104" i="1"/>
  <c r="AX104" i="1"/>
  <c r="AW104" i="1" s="1"/>
  <c r="BE95" i="1"/>
  <c r="AX95" i="1"/>
  <c r="AW95" i="1" s="1"/>
  <c r="BE112" i="1"/>
  <c r="AX112" i="1"/>
  <c r="AW112" i="1" s="1"/>
  <c r="BE94" i="1"/>
  <c r="AX94" i="1"/>
  <c r="AW94" i="1" s="1"/>
  <c r="BE110" i="1"/>
  <c r="AX110" i="1"/>
  <c r="AW110" i="1" s="1"/>
  <c r="BE101" i="1"/>
  <c r="AX101" i="1"/>
  <c r="AW101" i="1" s="1"/>
  <c r="BE99" i="1"/>
  <c r="AX99" i="1"/>
  <c r="AW99" i="1" s="1"/>
  <c r="BE102" i="1"/>
  <c r="AX102" i="1"/>
  <c r="AW102" i="1" s="1"/>
  <c r="BE111" i="1"/>
  <c r="AX111" i="1"/>
  <c r="AW111" i="1" s="1"/>
  <c r="BE103" i="1"/>
  <c r="AX103" i="1"/>
  <c r="AW103" i="1" s="1"/>
  <c r="BE100" i="1"/>
  <c r="AX100" i="1"/>
  <c r="AW100" i="1" s="1"/>
  <c r="AO83" i="264"/>
  <c r="AP83" i="264" s="1"/>
  <c r="AQ83" i="264" s="1"/>
  <c r="AO77" i="264"/>
  <c r="AP77" i="264" s="1"/>
  <c r="AQ77" i="264" s="1"/>
  <c r="AS64" i="263"/>
  <c r="AS70" i="263"/>
  <c r="AS72" i="263"/>
  <c r="AS71" i="263"/>
  <c r="AS73" i="263" s="1"/>
  <c r="AS75" i="263" s="1"/>
  <c r="AS68" i="263"/>
  <c r="AC56" i="263"/>
  <c r="N149" i="263"/>
  <c r="AC124" i="263"/>
  <c r="U25" i="263"/>
  <c r="AO25" i="263"/>
  <c r="AO71" i="263" s="1"/>
  <c r="AO73" i="263" s="1"/>
  <c r="AO75" i="263" s="1"/>
  <c r="U150" i="263"/>
  <c r="AG124" i="263"/>
  <c r="U72" i="263"/>
  <c r="U141" i="263"/>
  <c r="U146" i="263" s="1"/>
  <c r="U149" i="263"/>
  <c r="N146" i="263"/>
  <c r="L149" i="263"/>
  <c r="U56" i="263"/>
  <c r="AU56" i="263"/>
  <c r="AU64" i="263" s="1"/>
  <c r="AK56" i="263"/>
  <c r="L56" i="263"/>
  <c r="AG56" i="263"/>
  <c r="N56" i="263"/>
  <c r="AO56" i="263"/>
  <c r="Y124" i="263"/>
  <c r="Y56" i="263"/>
  <c r="J56" i="263"/>
  <c r="L150" i="263"/>
  <c r="N150" i="263"/>
  <c r="L74" i="263"/>
  <c r="J150" i="263"/>
  <c r="J154" i="263" s="1"/>
  <c r="J156" i="263" s="1"/>
  <c r="AG25" i="263"/>
  <c r="AG72" i="263"/>
  <c r="AC25" i="263"/>
  <c r="AC72" i="263"/>
  <c r="L71" i="263"/>
  <c r="L73" i="263" s="1"/>
  <c r="L76" i="263" s="1"/>
  <c r="AU25" i="263"/>
  <c r="J71" i="263"/>
  <c r="J73" i="263" s="1"/>
  <c r="J26" i="263"/>
  <c r="N72" i="263"/>
  <c r="N25" i="263"/>
  <c r="Y25" i="263"/>
  <c r="Y72" i="263"/>
  <c r="AK72" i="263"/>
  <c r="AK25" i="263"/>
  <c r="AW294" i="1" l="1"/>
  <c r="AW323" i="1"/>
  <c r="AO63" i="264"/>
  <c r="AP63" i="264" s="1"/>
  <c r="AQ63" i="264" s="1"/>
  <c r="AC70" i="263"/>
  <c r="AC64" i="263"/>
  <c r="AO64" i="263"/>
  <c r="AO70" i="263"/>
  <c r="AG70" i="263"/>
  <c r="AG64" i="263"/>
  <c r="L64" i="263"/>
  <c r="L70" i="263"/>
  <c r="L129" i="263" s="1"/>
  <c r="U64" i="263"/>
  <c r="U70" i="263"/>
  <c r="J70" i="263"/>
  <c r="J129" i="263" s="1"/>
  <c r="J64" i="263"/>
  <c r="N64" i="263"/>
  <c r="N70" i="263"/>
  <c r="N129" i="263" s="1"/>
  <c r="Y64" i="263"/>
  <c r="Y70" i="263"/>
  <c r="AK70" i="263"/>
  <c r="AK64" i="263"/>
  <c r="AS76" i="263"/>
  <c r="N154" i="263"/>
  <c r="N156" i="263" s="1"/>
  <c r="N168" i="263" s="1"/>
  <c r="N171" i="263" s="1"/>
  <c r="N174" i="263" s="1"/>
  <c r="L68" i="263"/>
  <c r="N67" i="263" s="1"/>
  <c r="U71" i="263"/>
  <c r="U73" i="263" s="1"/>
  <c r="U75" i="263" s="1"/>
  <c r="U154" i="263"/>
  <c r="U156" i="263" s="1"/>
  <c r="L78" i="263"/>
  <c r="L154" i="263"/>
  <c r="L156" i="263" s="1"/>
  <c r="L162" i="263" s="1"/>
  <c r="J78" i="263"/>
  <c r="Y71" i="263"/>
  <c r="Y73" i="263" s="1"/>
  <c r="Y75" i="263" s="1"/>
  <c r="AC146" i="263"/>
  <c r="J168" i="263"/>
  <c r="J171" i="263" s="1"/>
  <c r="J174" i="263" s="1"/>
  <c r="J162" i="263"/>
  <c r="J165" i="263" s="1"/>
  <c r="AO76" i="263"/>
  <c r="AU79" i="263"/>
  <c r="N78" i="263"/>
  <c r="N71" i="263"/>
  <c r="N73" i="263" s="1"/>
  <c r="N75" i="263" s="1"/>
  <c r="AC71" i="263"/>
  <c r="AC73" i="263" s="1"/>
  <c r="AC75" i="263" s="1"/>
  <c r="AK71" i="263"/>
  <c r="AK73" i="263" s="1"/>
  <c r="AK75" i="263" s="1"/>
  <c r="AG71" i="263"/>
  <c r="AG73" i="263" s="1"/>
  <c r="AG75" i="263" s="1"/>
  <c r="Y146" i="263"/>
  <c r="AO75" i="264" l="1"/>
  <c r="AP75" i="264" s="1"/>
  <c r="AQ75" i="264" s="1"/>
  <c r="L168" i="263"/>
  <c r="L171" i="263" s="1"/>
  <c r="L174" i="263" s="1"/>
  <c r="N162" i="263"/>
  <c r="AC121" i="263"/>
  <c r="N68" i="263"/>
  <c r="AG121" i="263" s="1"/>
  <c r="U162" i="263"/>
  <c r="U165" i="263" s="1"/>
  <c r="U168" i="263"/>
  <c r="U171" i="263" s="1"/>
  <c r="U174" i="263" s="1"/>
  <c r="U76" i="263"/>
  <c r="Y76" i="263"/>
  <c r="AG76" i="263"/>
  <c r="AC76" i="263"/>
  <c r="L164" i="263"/>
  <c r="L165" i="263" s="1"/>
  <c r="N76" i="263"/>
  <c r="AK76" i="263"/>
  <c r="AO76" i="264" l="1"/>
  <c r="AP76" i="264" s="1"/>
  <c r="AQ76" i="264" s="1"/>
  <c r="U67" i="263"/>
  <c r="U68" i="263"/>
  <c r="Y67" i="263" s="1"/>
  <c r="U121" i="263"/>
  <c r="U123" i="263" s="1"/>
  <c r="U107" i="263" s="1"/>
  <c r="N164" i="263"/>
  <c r="N165" i="263" s="1"/>
  <c r="Y68" i="263" l="1"/>
  <c r="AC68" i="263" s="1"/>
  <c r="AC67" i="263" l="1"/>
  <c r="AG67" i="263"/>
  <c r="AG68" i="263"/>
  <c r="AK67" i="263" l="1"/>
  <c r="AK68" i="263"/>
  <c r="AO67" i="263" l="1"/>
  <c r="AO68" i="263"/>
  <c r="AO57" i="264" l="1"/>
  <c r="AP57" i="264" s="1"/>
  <c r="AQ57" i="264" s="1"/>
  <c r="AQ64" i="264" s="1"/>
  <c r="M611" i="1"/>
  <c r="M607" i="1"/>
  <c r="M603" i="1"/>
  <c r="M650" i="1"/>
  <c r="M511" i="1"/>
  <c r="M501" i="1"/>
  <c r="M547" i="1"/>
  <c r="M525" i="1"/>
  <c r="M573" i="1"/>
  <c r="M481" i="1"/>
  <c r="M451" i="1"/>
  <c r="M445" i="1"/>
  <c r="M413" i="1"/>
  <c r="M410" i="1"/>
  <c r="M405" i="1"/>
  <c r="M390" i="1"/>
  <c r="M383" i="1"/>
  <c r="M363" i="1"/>
  <c r="M358" i="1"/>
  <c r="M351" i="1"/>
  <c r="M348" i="1"/>
  <c r="M336" i="1"/>
  <c r="M321" i="1"/>
  <c r="O413" i="1"/>
  <c r="O410" i="1"/>
  <c r="O405" i="1"/>
  <c r="O390" i="1"/>
  <c r="O383" i="1"/>
  <c r="O363" i="1"/>
  <c r="O358" i="1"/>
  <c r="O351" i="1"/>
  <c r="O348" i="1"/>
  <c r="O336" i="1"/>
  <c r="O321" i="1"/>
  <c r="Q413" i="1"/>
  <c r="Q410" i="1"/>
  <c r="Q405" i="1"/>
  <c r="Q390" i="1"/>
  <c r="Q383" i="1"/>
  <c r="Q363" i="1"/>
  <c r="Q358" i="1"/>
  <c r="Q351" i="1"/>
  <c r="Q348" i="1"/>
  <c r="Q336" i="1"/>
  <c r="Q321" i="1"/>
  <c r="T207" i="1"/>
  <c r="T413" i="1"/>
  <c r="T410" i="1"/>
  <c r="T405" i="1"/>
  <c r="T390" i="1"/>
  <c r="T383" i="1"/>
  <c r="T363" i="1"/>
  <c r="T358" i="1"/>
  <c r="T351" i="1"/>
  <c r="T348" i="1"/>
  <c r="T336" i="1"/>
  <c r="T321" i="1"/>
  <c r="Y207" i="1"/>
  <c r="Y413" i="1"/>
  <c r="Y410" i="1"/>
  <c r="Y390" i="1"/>
  <c r="Y383" i="1"/>
  <c r="Y363" i="1"/>
  <c r="Y351" i="1"/>
  <c r="Y348" i="1"/>
  <c r="Y321" i="1"/>
  <c r="AC207" i="1"/>
  <c r="AC410" i="1"/>
  <c r="AC390" i="1"/>
  <c r="AC363" i="1"/>
  <c r="AC351" i="1"/>
  <c r="AC348" i="1"/>
  <c r="BB413" i="1"/>
  <c r="BB410" i="1"/>
  <c r="BB390" i="1"/>
  <c r="BB363" i="1"/>
  <c r="BB358" i="1"/>
  <c r="BB351" i="1"/>
  <c r="BB348" i="1"/>
  <c r="AW207" i="1"/>
  <c r="AW413" i="1"/>
  <c r="AW410" i="1"/>
  <c r="AW390" i="1"/>
  <c r="AW363" i="1"/>
  <c r="AW358" i="1"/>
  <c r="AW351" i="1"/>
  <c r="AW348" i="1"/>
  <c r="AR207" i="1"/>
  <c r="AR413" i="1"/>
  <c r="AR410" i="1"/>
  <c r="AR390" i="1"/>
  <c r="AR363" i="1"/>
  <c r="AR358" i="1"/>
  <c r="AR351" i="1"/>
  <c r="AR348" i="1"/>
  <c r="AM207" i="1"/>
  <c r="BA188" i="1"/>
  <c r="BA190" i="1"/>
  <c r="BA189" i="1"/>
  <c r="X190" i="1"/>
  <c r="X189" i="1"/>
  <c r="X188" i="1"/>
  <c r="S190" i="1"/>
  <c r="S189" i="1"/>
  <c r="S188" i="1"/>
  <c r="BA186" i="1"/>
  <c r="BB186" i="1" s="1"/>
  <c r="BA185" i="1"/>
  <c r="BA184" i="1"/>
  <c r="BB184" i="1" s="1"/>
  <c r="BA183" i="1"/>
  <c r="BB183" i="1" s="1"/>
  <c r="BA182" i="1"/>
  <c r="BB182" i="1" s="1"/>
  <c r="BA181" i="1"/>
  <c r="BB181" i="1" s="1"/>
  <c r="BA180" i="1"/>
  <c r="BA179" i="1"/>
  <c r="BB179" i="1" s="1"/>
  <c r="BA178" i="1"/>
  <c r="BB178" i="1" s="1"/>
  <c r="BA177" i="1"/>
  <c r="BB177" i="1" s="1"/>
  <c r="BA176" i="1"/>
  <c r="BB176" i="1" s="1"/>
  <c r="BA175" i="1"/>
  <c r="BB175" i="1" s="1"/>
  <c r="BA174" i="1"/>
  <c r="BB174" i="1" s="1"/>
  <c r="AV186" i="1"/>
  <c r="AW186" i="1" s="1"/>
  <c r="AV185" i="1"/>
  <c r="AW185" i="1" s="1"/>
  <c r="AV183" i="1"/>
  <c r="AW183" i="1" s="1"/>
  <c r="AV182" i="1"/>
  <c r="AW182" i="1" s="1"/>
  <c r="AV181" i="1"/>
  <c r="AW181" i="1" s="1"/>
  <c r="AV180" i="1"/>
  <c r="AW180" i="1" s="1"/>
  <c r="AV178" i="1"/>
  <c r="AW178" i="1" s="1"/>
  <c r="AV177" i="1"/>
  <c r="AW177" i="1" s="1"/>
  <c r="AV176" i="1"/>
  <c r="AW176" i="1" s="1"/>
  <c r="AV175" i="1"/>
  <c r="AW175" i="1" s="1"/>
  <c r="AV174" i="1"/>
  <c r="AW174" i="1" s="1"/>
  <c r="AQ186" i="1"/>
  <c r="AR186" i="1" s="1"/>
  <c r="AQ185" i="1"/>
  <c r="AR185" i="1" s="1"/>
  <c r="AQ184" i="1"/>
  <c r="AR184" i="1" s="1"/>
  <c r="AQ182" i="1"/>
  <c r="AR182" i="1" s="1"/>
  <c r="AQ181" i="1"/>
  <c r="AR181" i="1" s="1"/>
  <c r="AQ180" i="1"/>
  <c r="AR180" i="1" s="1"/>
  <c r="AQ179" i="1"/>
  <c r="AR179" i="1" s="1"/>
  <c r="AQ177" i="1"/>
  <c r="AR177" i="1" s="1"/>
  <c r="AQ176" i="1"/>
  <c r="AR176" i="1" s="1"/>
  <c r="AQ175" i="1"/>
  <c r="AR175" i="1" s="1"/>
  <c r="AQ174" i="1"/>
  <c r="AR174" i="1" s="1"/>
  <c r="AL186" i="1"/>
  <c r="AM186" i="1" s="1"/>
  <c r="AL185" i="1"/>
  <c r="AM185" i="1" s="1"/>
  <c r="AL184" i="1"/>
  <c r="AM184" i="1" s="1"/>
  <c r="AL183" i="1"/>
  <c r="AM183" i="1" s="1"/>
  <c r="AL181" i="1"/>
  <c r="AM181" i="1" s="1"/>
  <c r="AL180" i="1"/>
  <c r="AM180" i="1" s="1"/>
  <c r="AL179" i="1"/>
  <c r="AM179" i="1" s="1"/>
  <c r="AL178" i="1"/>
  <c r="AM178" i="1" s="1"/>
  <c r="AL176" i="1"/>
  <c r="AM176" i="1" s="1"/>
  <c r="AL175" i="1"/>
  <c r="AM175" i="1" s="1"/>
  <c r="AL174" i="1"/>
  <c r="AM174" i="1" s="1"/>
  <c r="AG186" i="1"/>
  <c r="AH186" i="1" s="1"/>
  <c r="AG185" i="1"/>
  <c r="AH185" i="1" s="1"/>
  <c r="AG184" i="1"/>
  <c r="AH184" i="1" s="1"/>
  <c r="AG183" i="1"/>
  <c r="AH183" i="1" s="1"/>
  <c r="AG182" i="1"/>
  <c r="AH182" i="1" s="1"/>
  <c r="AG180" i="1"/>
  <c r="AH180" i="1" s="1"/>
  <c r="AG179" i="1"/>
  <c r="AH179" i="1" s="1"/>
  <c r="AG178" i="1"/>
  <c r="AH178" i="1" s="1"/>
  <c r="AG177" i="1"/>
  <c r="AH177" i="1" s="1"/>
  <c r="AG175" i="1"/>
  <c r="AH175" i="1" s="1"/>
  <c r="AG174" i="1"/>
  <c r="AH174" i="1" s="1"/>
  <c r="AB186" i="1"/>
  <c r="AC186" i="1" s="1"/>
  <c r="AB185" i="1"/>
  <c r="AC185" i="1" s="1"/>
  <c r="AB184" i="1"/>
  <c r="AC184" i="1" s="1"/>
  <c r="AB183" i="1"/>
  <c r="AC183" i="1" s="1"/>
  <c r="AB182" i="1"/>
  <c r="AC182" i="1" s="1"/>
  <c r="AB181" i="1"/>
  <c r="AC181" i="1" s="1"/>
  <c r="AB180" i="1"/>
  <c r="AC180" i="1" s="1"/>
  <c r="AB179" i="1"/>
  <c r="AC179" i="1" s="1"/>
  <c r="AB178" i="1"/>
  <c r="AC178" i="1" s="1"/>
  <c r="AB177" i="1"/>
  <c r="AC177" i="1" s="1"/>
  <c r="AB176" i="1"/>
  <c r="AC176" i="1" s="1"/>
  <c r="AB174" i="1"/>
  <c r="AC174" i="1" s="1"/>
  <c r="X186" i="1"/>
  <c r="Y186" i="1" s="1"/>
  <c r="X185" i="1"/>
  <c r="Y185" i="1" s="1"/>
  <c r="X184" i="1"/>
  <c r="Y184" i="1" s="1"/>
  <c r="X183" i="1"/>
  <c r="Y183" i="1" s="1"/>
  <c r="X182" i="1"/>
  <c r="Y182" i="1" s="1"/>
  <c r="X181" i="1"/>
  <c r="Y181" i="1" s="1"/>
  <c r="X180" i="1"/>
  <c r="Y180" i="1" s="1"/>
  <c r="X179" i="1"/>
  <c r="Y179" i="1" s="1"/>
  <c r="X178" i="1"/>
  <c r="Y178" i="1" s="1"/>
  <c r="X177" i="1"/>
  <c r="Y177" i="1" s="1"/>
  <c r="X176" i="1"/>
  <c r="Y176" i="1" s="1"/>
  <c r="X175" i="1"/>
  <c r="Y175" i="1" s="1"/>
  <c r="X174" i="1"/>
  <c r="Y174" i="1" s="1"/>
  <c r="S186" i="1"/>
  <c r="T186" i="1" s="1"/>
  <c r="S185" i="1"/>
  <c r="T185" i="1" s="1"/>
  <c r="S184" i="1"/>
  <c r="T184" i="1" s="1"/>
  <c r="S183" i="1"/>
  <c r="T183" i="1" s="1"/>
  <c r="S182" i="1"/>
  <c r="T182" i="1" s="1"/>
  <c r="S181" i="1"/>
  <c r="T181" i="1" s="1"/>
  <c r="S180" i="1"/>
  <c r="T180" i="1" s="1"/>
  <c r="S179" i="1"/>
  <c r="T179" i="1" s="1"/>
  <c r="S178" i="1"/>
  <c r="T178" i="1" s="1"/>
  <c r="S177" i="1"/>
  <c r="T177" i="1" s="1"/>
  <c r="S176" i="1"/>
  <c r="T176" i="1" s="1"/>
  <c r="S175" i="1"/>
  <c r="T175" i="1" s="1"/>
  <c r="S174" i="1"/>
  <c r="T174" i="1" s="1"/>
  <c r="AB158" i="1"/>
  <c r="AC158" i="1" s="1"/>
  <c r="AB157" i="1"/>
  <c r="AC157" i="1" s="1"/>
  <c r="AB156" i="1"/>
  <c r="AC156" i="1" s="1"/>
  <c r="AB155" i="1"/>
  <c r="AC155" i="1" s="1"/>
  <c r="AB154" i="1"/>
  <c r="AC154" i="1" s="1"/>
  <c r="AB153" i="1"/>
  <c r="AC153" i="1" s="1"/>
  <c r="AB152" i="1"/>
  <c r="AC152" i="1" s="1"/>
  <c r="AB151" i="1"/>
  <c r="AC151" i="1" s="1"/>
  <c r="AB150" i="1"/>
  <c r="AC150" i="1" s="1"/>
  <c r="AB149" i="1"/>
  <c r="AC149" i="1" s="1"/>
  <c r="X162" i="1"/>
  <c r="X161" i="1"/>
  <c r="X160" i="1"/>
  <c r="X158" i="1"/>
  <c r="Y158" i="1" s="1"/>
  <c r="X157" i="1"/>
  <c r="Y157" i="1" s="1"/>
  <c r="X156" i="1"/>
  <c r="Y156" i="1" s="1"/>
  <c r="X155" i="1"/>
  <c r="Y155" i="1" s="1"/>
  <c r="X154" i="1"/>
  <c r="Y154" i="1" s="1"/>
  <c r="X153" i="1"/>
  <c r="Y153" i="1" s="1"/>
  <c r="X152" i="1"/>
  <c r="Y152" i="1" s="1"/>
  <c r="X151" i="1"/>
  <c r="Y151" i="1" s="1"/>
  <c r="X150" i="1"/>
  <c r="Y150" i="1" s="1"/>
  <c r="X149" i="1"/>
  <c r="Y149" i="1" s="1"/>
  <c r="X148" i="1"/>
  <c r="Y148" i="1" s="1"/>
  <c r="X147" i="1"/>
  <c r="Y147" i="1" s="1"/>
  <c r="X146" i="1"/>
  <c r="BA123" i="1"/>
  <c r="AC123" i="1"/>
  <c r="AC325" i="1" s="1"/>
  <c r="Y123" i="1"/>
  <c r="Y325" i="1" s="1"/>
  <c r="Y336" i="1" s="1"/>
  <c r="X123" i="1"/>
  <c r="T123" i="1"/>
  <c r="S123" i="1"/>
  <c r="AG122" i="1"/>
  <c r="AG181" i="1" s="1"/>
  <c r="K43" i="214"/>
  <c r="K42" i="214"/>
  <c r="K41" i="214"/>
  <c r="K40" i="214"/>
  <c r="K39" i="214"/>
  <c r="K38" i="214"/>
  <c r="K37" i="214"/>
  <c r="K36" i="214"/>
  <c r="K35" i="214"/>
  <c r="K34" i="214"/>
  <c r="K33" i="214"/>
  <c r="K31" i="214"/>
  <c r="K29" i="214"/>
  <c r="C38" i="212"/>
  <c r="C32" i="212"/>
  <c r="C31" i="212"/>
  <c r="C25" i="212"/>
  <c r="C24" i="212"/>
  <c r="C23" i="212"/>
  <c r="C22" i="212"/>
  <c r="C21" i="212"/>
  <c r="C20" i="212"/>
  <c r="C19" i="212"/>
  <c r="C18" i="212"/>
  <c r="C17" i="212"/>
  <c r="C16" i="212"/>
  <c r="C15" i="212"/>
  <c r="C14" i="212"/>
  <c r="C13" i="212"/>
  <c r="X87" i="1"/>
  <c r="X90" i="1" s="1"/>
  <c r="AH87" i="1"/>
  <c r="AH90" i="1" s="1"/>
  <c r="AH365" i="1" s="1"/>
  <c r="S162" i="1"/>
  <c r="S161" i="1"/>
  <c r="S160" i="1"/>
  <c r="BA24" i="1"/>
  <c r="AV24" i="1"/>
  <c r="AQ24" i="1"/>
  <c r="AL24" i="1"/>
  <c r="AG24" i="1"/>
  <c r="AB24" i="1"/>
  <c r="X24" i="1"/>
  <c r="S24" i="1"/>
  <c r="P24" i="1"/>
  <c r="N24" i="1"/>
  <c r="BA62" i="1"/>
  <c r="AV62" i="1"/>
  <c r="AQ62" i="1"/>
  <c r="AL62" i="1"/>
  <c r="AG62" i="1"/>
  <c r="AB62" i="1"/>
  <c r="X62" i="1"/>
  <c r="BP180" i="1"/>
  <c r="BP200" i="1" s="1"/>
  <c r="BP179" i="1"/>
  <c r="BP178" i="1"/>
  <c r="BP198" i="1" s="1"/>
  <c r="BP177" i="1"/>
  <c r="BP197" i="1" s="1"/>
  <c r="BP176" i="1"/>
  <c r="BP175" i="1"/>
  <c r="BP195" i="1" s="1"/>
  <c r="BP174" i="1"/>
  <c r="BP173" i="1"/>
  <c r="BP193" i="1" s="1"/>
  <c r="BP172" i="1"/>
  <c r="BP192" i="1" s="1"/>
  <c r="BP171" i="1"/>
  <c r="BP191" i="1" s="1"/>
  <c r="BP170" i="1"/>
  <c r="BP190" i="1" s="1"/>
  <c r="BP169" i="1"/>
  <c r="BP189" i="1" s="1"/>
  <c r="BP168" i="1"/>
  <c r="BP188" i="1" s="1"/>
  <c r="AC330" i="1" l="1"/>
  <c r="AC328" i="1"/>
  <c r="BP196" i="1"/>
  <c r="BC96" i="1"/>
  <c r="BB96" i="1" s="1"/>
  <c r="BC97" i="1"/>
  <c r="BB97" i="1" s="1"/>
  <c r="AM87" i="1"/>
  <c r="AM90" i="1" s="1"/>
  <c r="AM365" i="1" s="1"/>
  <c r="BP199" i="1"/>
  <c r="BC108" i="1"/>
  <c r="BC107" i="1"/>
  <c r="BB107" i="1" s="1"/>
  <c r="AL122" i="1"/>
  <c r="AL182" i="1" s="1"/>
  <c r="AI122" i="1"/>
  <c r="AH181" i="1" s="1"/>
  <c r="BP194" i="1"/>
  <c r="BC105" i="1"/>
  <c r="BB105" i="1" s="1"/>
  <c r="BC99" i="1"/>
  <c r="BB99" i="1" s="1"/>
  <c r="BC94" i="1"/>
  <c r="BB94" i="1" s="1"/>
  <c r="BC103" i="1"/>
  <c r="BB103" i="1" s="1"/>
  <c r="BC112" i="1"/>
  <c r="BB112" i="1" s="1"/>
  <c r="BC110" i="1"/>
  <c r="BB110" i="1" s="1"/>
  <c r="BC102" i="1"/>
  <c r="BB102" i="1" s="1"/>
  <c r="BC100" i="1"/>
  <c r="BB100" i="1" s="1"/>
  <c r="BC95" i="1"/>
  <c r="BB95" i="1" s="1"/>
  <c r="BC98" i="1"/>
  <c r="BB98" i="1" s="1"/>
  <c r="BC106" i="1"/>
  <c r="BB106" i="1" s="1"/>
  <c r="BC111" i="1"/>
  <c r="BB111" i="1" s="1"/>
  <c r="BC109" i="1"/>
  <c r="BB109" i="1" s="1"/>
  <c r="BC101" i="1"/>
  <c r="BB101" i="1" s="1"/>
  <c r="BC104" i="1"/>
  <c r="BB104" i="1" s="1"/>
  <c r="Y205" i="1"/>
  <c r="T205" i="1"/>
  <c r="T415" i="1"/>
  <c r="T652" i="1" s="1"/>
  <c r="T285" i="1" s="1"/>
  <c r="Q415" i="1"/>
  <c r="Q652" i="1" s="1"/>
  <c r="AW205" i="1"/>
  <c r="AR205" i="1"/>
  <c r="BB205" i="1"/>
  <c r="O415" i="1"/>
  <c r="O652" i="1" s="1"/>
  <c r="BB207" i="1"/>
  <c r="M415" i="1"/>
  <c r="M652" i="1" s="1"/>
  <c r="AM205" i="1"/>
  <c r="AB190" i="1"/>
  <c r="AB175" i="1"/>
  <c r="AC175" i="1" s="1"/>
  <c r="AB188" i="1"/>
  <c r="AB189" i="1"/>
  <c r="AG176" i="1"/>
  <c r="AG188" i="1"/>
  <c r="AG189" i="1"/>
  <c r="AG190" i="1"/>
  <c r="Y146" i="1"/>
  <c r="Y163" i="1" s="1"/>
  <c r="Y165" i="1" s="1"/>
  <c r="Y170" i="1" s="1"/>
  <c r="X163" i="1"/>
  <c r="X165" i="1" s="1"/>
  <c r="X170" i="1" s="1"/>
  <c r="AB123" i="1"/>
  <c r="AG123" i="1"/>
  <c r="C38" i="260"/>
  <c r="C38" i="252"/>
  <c r="C38" i="244"/>
  <c r="C38" i="228"/>
  <c r="BA158" i="1"/>
  <c r="BA157" i="1"/>
  <c r="BA156" i="1"/>
  <c r="BA155" i="1"/>
  <c r="BA154" i="1"/>
  <c r="BA153" i="1"/>
  <c r="BA152" i="1"/>
  <c r="BA151" i="1"/>
  <c r="BA150" i="1"/>
  <c r="BB150" i="1" s="1"/>
  <c r="BA149" i="1"/>
  <c r="BB149" i="1" s="1"/>
  <c r="BA148" i="1"/>
  <c r="BB148" i="1" s="1"/>
  <c r="BA147" i="1"/>
  <c r="BB147" i="1" s="1"/>
  <c r="BA146" i="1"/>
  <c r="BB146" i="1" s="1"/>
  <c r="S158" i="1"/>
  <c r="T158" i="1" s="1"/>
  <c r="S157" i="1"/>
  <c r="T157" i="1" s="1"/>
  <c r="S156" i="1"/>
  <c r="T156" i="1" s="1"/>
  <c r="S155" i="1"/>
  <c r="T155" i="1" s="1"/>
  <c r="S154" i="1"/>
  <c r="T154" i="1" s="1"/>
  <c r="S153" i="1"/>
  <c r="T153" i="1" s="1"/>
  <c r="S152" i="1"/>
  <c r="T152" i="1" s="1"/>
  <c r="S151" i="1"/>
  <c r="T151" i="1" s="1"/>
  <c r="S150" i="1"/>
  <c r="T150" i="1" s="1"/>
  <c r="S149" i="1"/>
  <c r="T149" i="1" s="1"/>
  <c r="S148" i="1"/>
  <c r="T148" i="1" s="1"/>
  <c r="S147" i="1"/>
  <c r="T147" i="1" s="1"/>
  <c r="S146" i="1"/>
  <c r="T146" i="1" s="1"/>
  <c r="AH15" i="1"/>
  <c r="AM15" i="1" s="1"/>
  <c r="AR15" i="1" s="1"/>
  <c r="AW15" i="1" s="1"/>
  <c r="BB15" i="1" s="1"/>
  <c r="AH13" i="1"/>
  <c r="AM13" i="1" s="1"/>
  <c r="AR13" i="1" s="1"/>
  <c r="AW13" i="1" s="1"/>
  <c r="BB13" i="1" s="1"/>
  <c r="S62" i="1"/>
  <c r="P62" i="1"/>
  <c r="N62" i="1"/>
  <c r="L62" i="1"/>
  <c r="Q77" i="1"/>
  <c r="Q53" i="1"/>
  <c r="Q52" i="1"/>
  <c r="Q48" i="1"/>
  <c r="Q47" i="1"/>
  <c r="Q41" i="1"/>
  <c r="O77" i="1"/>
  <c r="O53" i="1"/>
  <c r="O52" i="1"/>
  <c r="O48" i="1"/>
  <c r="O47" i="1"/>
  <c r="O41" i="1"/>
  <c r="M77" i="1"/>
  <c r="M53" i="1"/>
  <c r="M52" i="1"/>
  <c r="M48" i="1"/>
  <c r="M47" i="1"/>
  <c r="M41" i="1"/>
  <c r="T117" i="1"/>
  <c r="S117" i="1"/>
  <c r="AV158" i="1"/>
  <c r="AW158" i="1" s="1"/>
  <c r="AV157" i="1"/>
  <c r="AW157" i="1" s="1"/>
  <c r="AV156" i="1"/>
  <c r="AW156" i="1" s="1"/>
  <c r="AV155" i="1"/>
  <c r="AW155" i="1" s="1"/>
  <c r="AV154" i="1"/>
  <c r="AW154" i="1" s="1"/>
  <c r="AV153" i="1"/>
  <c r="AW153" i="1" s="1"/>
  <c r="AV152" i="1"/>
  <c r="AW152" i="1" s="1"/>
  <c r="AV150" i="1"/>
  <c r="AW150" i="1" s="1"/>
  <c r="AV149" i="1"/>
  <c r="AW149" i="1" s="1"/>
  <c r="AV148" i="1"/>
  <c r="AW148" i="1" s="1"/>
  <c r="AV147" i="1"/>
  <c r="AW147" i="1" s="1"/>
  <c r="AV146" i="1"/>
  <c r="AW146" i="1" s="1"/>
  <c r="AQ158" i="1"/>
  <c r="AR158" i="1" s="1"/>
  <c r="AQ157" i="1"/>
  <c r="AR157" i="1" s="1"/>
  <c r="AQ156" i="1"/>
  <c r="AR156" i="1" s="1"/>
  <c r="AQ155" i="1"/>
  <c r="AR155" i="1" s="1"/>
  <c r="AQ154" i="1"/>
  <c r="AR154" i="1" s="1"/>
  <c r="AQ153" i="1"/>
  <c r="AR153" i="1" s="1"/>
  <c r="AQ152" i="1"/>
  <c r="AR152" i="1" s="1"/>
  <c r="AQ151" i="1"/>
  <c r="AR151" i="1" s="1"/>
  <c r="AQ149" i="1"/>
  <c r="AR149" i="1" s="1"/>
  <c r="AQ148" i="1"/>
  <c r="AR148" i="1" s="1"/>
  <c r="AQ147" i="1"/>
  <c r="AR147" i="1" s="1"/>
  <c r="AQ146" i="1"/>
  <c r="AR146" i="1" s="1"/>
  <c r="AL158" i="1"/>
  <c r="AM158" i="1" s="1"/>
  <c r="AL157" i="1"/>
  <c r="AM157" i="1" s="1"/>
  <c r="AL156" i="1"/>
  <c r="AM156" i="1" s="1"/>
  <c r="AL155" i="1"/>
  <c r="AM155" i="1" s="1"/>
  <c r="AL154" i="1"/>
  <c r="AM154" i="1" s="1"/>
  <c r="AL153" i="1"/>
  <c r="AM153" i="1" s="1"/>
  <c r="AL152" i="1"/>
  <c r="AM152" i="1" s="1"/>
  <c r="AL151" i="1"/>
  <c r="AM151" i="1" s="1"/>
  <c r="AL150" i="1"/>
  <c r="AM150" i="1" s="1"/>
  <c r="AL148" i="1"/>
  <c r="AM148" i="1" s="1"/>
  <c r="AL147" i="1"/>
  <c r="AM147" i="1" s="1"/>
  <c r="AL146" i="1"/>
  <c r="AM146" i="1" s="1"/>
  <c r="AG158" i="1"/>
  <c r="AH158" i="1" s="1"/>
  <c r="AG157" i="1"/>
  <c r="AH157" i="1" s="1"/>
  <c r="AG156" i="1"/>
  <c r="AH156" i="1" s="1"/>
  <c r="AG155" i="1"/>
  <c r="AH155" i="1" s="1"/>
  <c r="AG154" i="1"/>
  <c r="AH154" i="1" s="1"/>
  <c r="AG153" i="1"/>
  <c r="AH153" i="1" s="1"/>
  <c r="AG152" i="1"/>
  <c r="AH152" i="1" s="1"/>
  <c r="AG151" i="1"/>
  <c r="AH151" i="1" s="1"/>
  <c r="AG150" i="1"/>
  <c r="AH150" i="1" s="1"/>
  <c r="AG149" i="1"/>
  <c r="AH149" i="1" s="1"/>
  <c r="AG147" i="1"/>
  <c r="AH147" i="1" s="1"/>
  <c r="AG146" i="1"/>
  <c r="AH146" i="1" s="1"/>
  <c r="AH207" i="1"/>
  <c r="AH413" i="1"/>
  <c r="AH410" i="1"/>
  <c r="AH390" i="1"/>
  <c r="AH363" i="1"/>
  <c r="Q78" i="1" l="1"/>
  <c r="O78" i="1"/>
  <c r="BB323" i="1"/>
  <c r="BB294" i="1"/>
  <c r="AR87" i="1"/>
  <c r="AR90" i="1" s="1"/>
  <c r="AR365" i="1" s="1"/>
  <c r="BB154" i="1"/>
  <c r="BB151" i="1"/>
  <c r="BB153" i="1"/>
  <c r="BB156" i="1"/>
  <c r="BB157" i="1"/>
  <c r="BB155" i="1"/>
  <c r="BB158" i="1"/>
  <c r="AL188" i="1"/>
  <c r="AL123" i="1"/>
  <c r="AL177" i="1"/>
  <c r="AL190" i="1"/>
  <c r="AH176" i="1"/>
  <c r="BB152" i="1"/>
  <c r="AH123" i="1"/>
  <c r="AH325" i="1" s="1"/>
  <c r="AL189" i="1"/>
  <c r="AQ122" i="1"/>
  <c r="AQ183" i="1" s="1"/>
  <c r="AN122" i="1"/>
  <c r="AM182" i="1" s="1"/>
  <c r="T227" i="1"/>
  <c r="T226" i="1"/>
  <c r="T222" i="1"/>
  <c r="AH205" i="1"/>
  <c r="O283" i="1"/>
  <c r="O288" i="1"/>
  <c r="O234" i="1"/>
  <c r="O282" i="1"/>
  <c r="M283" i="1"/>
  <c r="M234" i="1"/>
  <c r="M282" i="1"/>
  <c r="M288" i="1"/>
  <c r="Q283" i="1"/>
  <c r="Q234" i="1"/>
  <c r="Q288" i="1"/>
  <c r="Q282" i="1"/>
  <c r="AB147" i="1"/>
  <c r="Q51" i="1"/>
  <c r="BA163" i="1"/>
  <c r="BA165" i="1" s="1"/>
  <c r="BA170" i="1" s="1"/>
  <c r="M51" i="1"/>
  <c r="Q49" i="1"/>
  <c r="Q54" i="1" s="1"/>
  <c r="Q59" i="1" s="1"/>
  <c r="M49" i="1"/>
  <c r="M54" i="1" s="1"/>
  <c r="O49" i="1"/>
  <c r="O54" i="1" s="1"/>
  <c r="O51" i="1"/>
  <c r="AG148" i="1"/>
  <c r="AH148" i="1" s="1"/>
  <c r="AG117" i="1"/>
  <c r="AM117" i="1"/>
  <c r="AC147" i="1" l="1"/>
  <c r="AC163" i="1" s="1"/>
  <c r="AC165" i="1" s="1"/>
  <c r="AC170" i="1" s="1"/>
  <c r="AC118" i="1" s="1"/>
  <c r="AB163" i="1"/>
  <c r="AB165" i="1" s="1"/>
  <c r="AB170" i="1" s="1"/>
  <c r="AB118" i="1" s="1"/>
  <c r="AW87" i="1"/>
  <c r="AW90" i="1" s="1"/>
  <c r="AW365" i="1" s="1"/>
  <c r="AM123" i="1"/>
  <c r="AM325" i="1" s="1"/>
  <c r="AM177" i="1"/>
  <c r="AV122" i="1"/>
  <c r="AV184" i="1" s="1"/>
  <c r="AS122" i="1"/>
  <c r="AQ123" i="1"/>
  <c r="AQ188" i="1"/>
  <c r="AQ178" i="1"/>
  <c r="AQ189" i="1"/>
  <c r="AQ190" i="1"/>
  <c r="M56" i="1"/>
  <c r="M57" i="1" s="1"/>
  <c r="M58" i="1" s="1"/>
  <c r="M59" i="1"/>
  <c r="O56" i="1"/>
  <c r="O57" i="1" s="1"/>
  <c r="O58" i="1" s="1"/>
  <c r="O59" i="1"/>
  <c r="AH223" i="1"/>
  <c r="AH222" i="1"/>
  <c r="AC223" i="1"/>
  <c r="AC222" i="1"/>
  <c r="Q56" i="1"/>
  <c r="Q57" i="1" s="1"/>
  <c r="Q58" i="1" s="1"/>
  <c r="AL117" i="1"/>
  <c r="AL149" i="1"/>
  <c r="AM149" i="1" s="1"/>
  <c r="BB87" i="1" l="1"/>
  <c r="BB90" i="1" s="1"/>
  <c r="BB365" i="1" s="1"/>
  <c r="AX122" i="1"/>
  <c r="AV123" i="1"/>
  <c r="AV190" i="1"/>
  <c r="AV188" i="1"/>
  <c r="AV179" i="1"/>
  <c r="AV189" i="1"/>
  <c r="AM223" i="1"/>
  <c r="AM222" i="1"/>
  <c r="T55" i="1"/>
  <c r="Y134" i="1"/>
  <c r="X134" i="1"/>
  <c r="AB134" i="1" s="1"/>
  <c r="AG134" i="1" s="1"/>
  <c r="AL134" i="1" s="1"/>
  <c r="AQ134" i="1" s="1"/>
  <c r="AV134" i="1" s="1"/>
  <c r="BA134" i="1" s="1"/>
  <c r="Y133" i="1"/>
  <c r="X133" i="1"/>
  <c r="AB133" i="1" s="1"/>
  <c r="AG133" i="1" s="1"/>
  <c r="AL133" i="1" s="1"/>
  <c r="AQ133" i="1" s="1"/>
  <c r="AV133" i="1" s="1"/>
  <c r="BA133" i="1" s="1"/>
  <c r="Y128" i="1"/>
  <c r="X131" i="1"/>
  <c r="AB131" i="1" s="1"/>
  <c r="AG131" i="1" s="1"/>
  <c r="AL131" i="1" s="1"/>
  <c r="AQ131" i="1" s="1"/>
  <c r="AV131" i="1" s="1"/>
  <c r="BA131" i="1" s="1"/>
  <c r="Y131" i="1"/>
  <c r="AH131" i="1" s="1"/>
  <c r="AM131" i="1" s="1"/>
  <c r="AR131" i="1" s="1"/>
  <c r="AW131" i="1" s="1"/>
  <c r="BB131" i="1" s="1"/>
  <c r="X135" i="1"/>
  <c r="AG135" i="1" s="1"/>
  <c r="AL135" i="1" s="1"/>
  <c r="AQ135" i="1" s="1"/>
  <c r="AV135" i="1" s="1"/>
  <c r="BA135" i="1" s="1"/>
  <c r="Y135" i="1"/>
  <c r="AG136" i="1"/>
  <c r="AL136" i="1" s="1"/>
  <c r="AQ136" i="1" s="1"/>
  <c r="AV136" i="1" s="1"/>
  <c r="BA136" i="1" s="1"/>
  <c r="AL137" i="1"/>
  <c r="AQ137" i="1" s="1"/>
  <c r="AV137" i="1" s="1"/>
  <c r="BA137" i="1" s="1"/>
  <c r="AM137" i="1"/>
  <c r="AR137" i="1" s="1"/>
  <c r="AW137" i="1" s="1"/>
  <c r="BB137" i="1" s="1"/>
  <c r="AL140" i="1"/>
  <c r="AQ140" i="1" s="1"/>
  <c r="AV140" i="1" s="1"/>
  <c r="BA140" i="1" s="1"/>
  <c r="AM140" i="1"/>
  <c r="AR140" i="1" s="1"/>
  <c r="AW140" i="1" s="1"/>
  <c r="BB140" i="1" s="1"/>
  <c r="X129" i="1"/>
  <c r="AG129" i="1" s="1"/>
  <c r="AL129" i="1" s="1"/>
  <c r="AQ129" i="1" s="1"/>
  <c r="AV129" i="1" s="1"/>
  <c r="BA129" i="1" s="1"/>
  <c r="Y129" i="1"/>
  <c r="Y130" i="1"/>
  <c r="X130" i="1"/>
  <c r="AB130" i="1" s="1"/>
  <c r="AG130" i="1" s="1"/>
  <c r="AL130" i="1" s="1"/>
  <c r="AQ130" i="1" s="1"/>
  <c r="AV130" i="1" s="1"/>
  <c r="BA130" i="1" s="1"/>
  <c r="Y132" i="1"/>
  <c r="X132" i="1"/>
  <c r="AB132" i="1" s="1"/>
  <c r="AG132" i="1" s="1"/>
  <c r="AL132" i="1" s="1"/>
  <c r="AQ132" i="1" s="1"/>
  <c r="AV132" i="1" s="1"/>
  <c r="BA132" i="1" s="1"/>
  <c r="AQ150" i="1"/>
  <c r="AR150" i="1" s="1"/>
  <c r="AQ117" i="1"/>
  <c r="AR117" i="1"/>
  <c r="AW117" i="1"/>
  <c r="BC122" i="1" l="1"/>
  <c r="BB185" i="1" s="1"/>
  <c r="AR183" i="1"/>
  <c r="AW123" i="1"/>
  <c r="AW325" i="1" s="1"/>
  <c r="AW184" i="1"/>
  <c r="AH135" i="1"/>
  <c r="AM135" i="1" s="1"/>
  <c r="AR135" i="1" s="1"/>
  <c r="AW135" i="1" s="1"/>
  <c r="BB135" i="1" s="1"/>
  <c r="AH133" i="1"/>
  <c r="AM133" i="1" s="1"/>
  <c r="AR133" i="1" s="1"/>
  <c r="AW133" i="1" s="1"/>
  <c r="BB133" i="1" s="1"/>
  <c r="AH132" i="1"/>
  <c r="AM132" i="1" s="1"/>
  <c r="AR132" i="1" s="1"/>
  <c r="AW132" i="1" s="1"/>
  <c r="BB132" i="1" s="1"/>
  <c r="AH129" i="1"/>
  <c r="AM129" i="1" s="1"/>
  <c r="AR129" i="1" s="1"/>
  <c r="AW129" i="1" s="1"/>
  <c r="BB129" i="1" s="1"/>
  <c r="AH136" i="1"/>
  <c r="AM136" i="1" s="1"/>
  <c r="AR136" i="1" s="1"/>
  <c r="AW136" i="1" s="1"/>
  <c r="BB136" i="1" s="1"/>
  <c r="AW179" i="1"/>
  <c r="AR123" i="1"/>
  <c r="AR325" i="1" s="1"/>
  <c r="AR178" i="1"/>
  <c r="BB180" i="1"/>
  <c r="AR223" i="1"/>
  <c r="AR222" i="1"/>
  <c r="T141" i="1"/>
  <c r="Y141" i="1"/>
  <c r="S193" i="1"/>
  <c r="S141" i="1"/>
  <c r="Y193" i="1"/>
  <c r="T193" i="1"/>
  <c r="X128" i="1"/>
  <c r="AV117" i="1"/>
  <c r="AV151" i="1"/>
  <c r="AW151" i="1" s="1"/>
  <c r="AH134" i="1" l="1"/>
  <c r="AH130" i="1"/>
  <c r="AC300" i="1"/>
  <c r="AC366" i="1"/>
  <c r="BB123" i="1"/>
  <c r="BB325" i="1" s="1"/>
  <c r="AC141" i="1"/>
  <c r="AC142" i="1" s="1"/>
  <c r="AW222" i="1"/>
  <c r="AW223" i="1"/>
  <c r="X193" i="1"/>
  <c r="X141" i="1"/>
  <c r="AH128" i="1"/>
  <c r="AH366" i="1" s="1"/>
  <c r="AC193" i="1"/>
  <c r="AB128" i="1"/>
  <c r="AB141" i="1" s="1"/>
  <c r="AC370" i="1" l="1"/>
  <c r="AC368" i="1"/>
  <c r="AH368" i="1"/>
  <c r="AH370" i="1"/>
  <c r="AH369" i="1" a="1"/>
  <c r="AH369" i="1" s="1"/>
  <c r="AM130" i="1"/>
  <c r="AH295" i="1"/>
  <c r="AM134" i="1"/>
  <c r="AH324" i="1"/>
  <c r="AC329" i="1" a="1"/>
  <c r="AC329" i="1" s="1"/>
  <c r="AC299" i="1" a="1"/>
  <c r="AC299" i="1" s="1"/>
  <c r="AH297" i="1"/>
  <c r="AM297" i="1" s="1"/>
  <c r="AR297" i="1" s="1"/>
  <c r="AW297" i="1" s="1"/>
  <c r="BB297" i="1" s="1"/>
  <c r="AC327" i="1"/>
  <c r="AH327" i="1" s="1"/>
  <c r="AM327" i="1" s="1"/>
  <c r="AR327" i="1" s="1"/>
  <c r="AW327" i="1" s="1"/>
  <c r="BB327" i="1" s="1"/>
  <c r="AH141" i="1"/>
  <c r="AM128" i="1"/>
  <c r="AH193" i="1"/>
  <c r="AG128" i="1"/>
  <c r="AG141" i="1" s="1"/>
  <c r="AB193" i="1"/>
  <c r="T77" i="1"/>
  <c r="BB117" i="1"/>
  <c r="BA117" i="1"/>
  <c r="Y118" i="1"/>
  <c r="X117" i="1"/>
  <c r="T212" i="1" l="1"/>
  <c r="T78" i="1"/>
  <c r="AR134" i="1"/>
  <c r="AM324" i="1"/>
  <c r="AM141" i="1"/>
  <c r="AM366" i="1"/>
  <c r="AH298" i="1"/>
  <c r="AH299" i="1" a="1"/>
  <c r="AH299" i="1" s="1"/>
  <c r="AH300" i="1"/>
  <c r="AR130" i="1"/>
  <c r="AM295" i="1"/>
  <c r="AH328" i="1"/>
  <c r="AH336" i="1" s="1"/>
  <c r="AH329" i="1" a="1"/>
  <c r="AH329" i="1" s="1"/>
  <c r="AH330" i="1"/>
  <c r="AC336" i="1"/>
  <c r="AC321" i="1"/>
  <c r="BB222" i="1"/>
  <c r="BB223" i="1"/>
  <c r="X118" i="1"/>
  <c r="BA118" i="1"/>
  <c r="AR128" i="1"/>
  <c r="AM193" i="1"/>
  <c r="AL128" i="1"/>
  <c r="AL141" i="1" s="1"/>
  <c r="AG193" i="1"/>
  <c r="AB87" i="1"/>
  <c r="AB90" i="1" s="1"/>
  <c r="AG162" i="1"/>
  <c r="AL162" i="1" s="1"/>
  <c r="AQ162" i="1" s="1"/>
  <c r="AV162" i="1" s="1"/>
  <c r="BA162" i="1" s="1"/>
  <c r="AG161" i="1"/>
  <c r="AL161" i="1" s="1"/>
  <c r="AQ161" i="1" s="1"/>
  <c r="AV161" i="1" s="1"/>
  <c r="BA161" i="1" s="1"/>
  <c r="AG160" i="1"/>
  <c r="AL160" i="1" s="1"/>
  <c r="AQ160" i="1" s="1"/>
  <c r="AV160" i="1" s="1"/>
  <c r="BA160" i="1" s="1"/>
  <c r="AH321" i="1" l="1"/>
  <c r="AM369" i="1" a="1"/>
  <c r="AM369" i="1" s="1"/>
  <c r="AM368" i="1"/>
  <c r="AM370" i="1"/>
  <c r="AW130" i="1"/>
  <c r="AR295" i="1"/>
  <c r="AM329" i="1" a="1"/>
  <c r="AM329" i="1" s="1"/>
  <c r="AM330" i="1"/>
  <c r="AM328" i="1"/>
  <c r="AR141" i="1"/>
  <c r="AR366" i="1"/>
  <c r="AM299" i="1" a="1"/>
  <c r="AM299" i="1" s="1"/>
  <c r="AM298" i="1"/>
  <c r="AM300" i="1"/>
  <c r="AW134" i="1"/>
  <c r="AR324" i="1"/>
  <c r="H28" i="218"/>
  <c r="AW128" i="1"/>
  <c r="AR193" i="1"/>
  <c r="AQ128" i="1"/>
  <c r="AQ141" i="1" s="1"/>
  <c r="AL193" i="1"/>
  <c r="BB163" i="1"/>
  <c r="BB165" i="1" s="1"/>
  <c r="BB170" i="1" s="1"/>
  <c r="BB118" i="1" s="1"/>
  <c r="AW163" i="1"/>
  <c r="T163" i="1"/>
  <c r="AM163" i="1"/>
  <c r="AH163" i="1"/>
  <c r="AR163" i="1"/>
  <c r="T191" i="1"/>
  <c r="T124" i="1" s="1"/>
  <c r="AC191" i="1"/>
  <c r="AC124" i="1" s="1"/>
  <c r="Y191" i="1"/>
  <c r="Y124" i="1" s="1"/>
  <c r="AH191" i="1"/>
  <c r="AH124" i="1" s="1"/>
  <c r="AM336" i="1" l="1"/>
  <c r="AM321" i="1"/>
  <c r="AR330" i="1"/>
  <c r="AR328" i="1"/>
  <c r="AR336" i="1" s="1"/>
  <c r="AR329" i="1" a="1"/>
  <c r="AR329" i="1" s="1"/>
  <c r="BB134" i="1"/>
  <c r="BB324" i="1" s="1"/>
  <c r="AW324" i="1"/>
  <c r="AW141" i="1"/>
  <c r="AW366" i="1"/>
  <c r="AR300" i="1"/>
  <c r="AR299" i="1" a="1"/>
  <c r="AR299" i="1" s="1"/>
  <c r="AR298" i="1"/>
  <c r="AR321" i="1" s="1"/>
  <c r="BB130" i="1"/>
  <c r="BB295" i="1" s="1"/>
  <c r="AW295" i="1"/>
  <c r="AR368" i="1"/>
  <c r="AR369" i="1" a="1"/>
  <c r="AR369" i="1" s="1"/>
  <c r="AR370" i="1"/>
  <c r="AV128" i="1"/>
  <c r="AV141" i="1" s="1"/>
  <c r="AQ193" i="1"/>
  <c r="BB128" i="1"/>
  <c r="BB366" i="1" s="1"/>
  <c r="AW193" i="1"/>
  <c r="AM191" i="1"/>
  <c r="AM124" i="1" s="1"/>
  <c r="AR191" i="1"/>
  <c r="AR124" i="1" s="1"/>
  <c r="AW298" i="1" l="1"/>
  <c r="AW299" i="1" a="1"/>
  <c r="AW299" i="1" s="1"/>
  <c r="AW300" i="1"/>
  <c r="AW330" i="1"/>
  <c r="AW328" i="1"/>
  <c r="AW329" i="1" a="1"/>
  <c r="AW329" i="1" s="1"/>
  <c r="AW336" i="1" s="1"/>
  <c r="BB300" i="1"/>
  <c r="BB299" i="1" a="1"/>
  <c r="BB299" i="1" s="1"/>
  <c r="BB298" i="1"/>
  <c r="BB329" i="1" a="1"/>
  <c r="BB329" i="1" s="1"/>
  <c r="BB336" i="1" s="1"/>
  <c r="BB330" i="1"/>
  <c r="BB328" i="1"/>
  <c r="AW368" i="1"/>
  <c r="AW370" i="1"/>
  <c r="AW369" i="1" a="1"/>
  <c r="AW369" i="1" s="1"/>
  <c r="BB368" i="1"/>
  <c r="BB370" i="1"/>
  <c r="BB369" i="1" a="1"/>
  <c r="BB369" i="1" s="1"/>
  <c r="BB193" i="1"/>
  <c r="BB141" i="1"/>
  <c r="BA128" i="1"/>
  <c r="AV193" i="1"/>
  <c r="AW191" i="1"/>
  <c r="AW124" i="1" s="1"/>
  <c r="BB321" i="1" l="1"/>
  <c r="AW321" i="1"/>
  <c r="BA193" i="1"/>
  <c r="BA141" i="1"/>
  <c r="BB191" i="1"/>
  <c r="BB124" i="1" s="1"/>
  <c r="Y77" i="1" l="1"/>
  <c r="C32" i="236" l="1"/>
  <c r="C31" i="236"/>
  <c r="C25" i="236"/>
  <c r="C24" i="236"/>
  <c r="C23" i="236"/>
  <c r="C22" i="236"/>
  <c r="C21" i="236"/>
  <c r="C20" i="236"/>
  <c r="C19" i="236"/>
  <c r="C18" i="236"/>
  <c r="C17" i="236"/>
  <c r="C16" i="236"/>
  <c r="C15" i="236"/>
  <c r="C14" i="236"/>
  <c r="C13" i="236"/>
  <c r="K43" i="238"/>
  <c r="K42" i="238"/>
  <c r="K41" i="238"/>
  <c r="K40" i="238"/>
  <c r="K39" i="238"/>
  <c r="K38" i="238"/>
  <c r="K37" i="238"/>
  <c r="K36" i="238"/>
  <c r="K35" i="238"/>
  <c r="K34" i="238"/>
  <c r="K33" i="238"/>
  <c r="K31" i="238"/>
  <c r="K29" i="238"/>
  <c r="C32" i="244"/>
  <c r="C31" i="244"/>
  <c r="C25" i="244"/>
  <c r="C24" i="244"/>
  <c r="C23" i="244"/>
  <c r="C22" i="244"/>
  <c r="C21" i="244"/>
  <c r="C20" i="244"/>
  <c r="C19" i="244"/>
  <c r="C18" i="244"/>
  <c r="C17" i="244"/>
  <c r="C16" i="244"/>
  <c r="C15" i="244"/>
  <c r="C14" i="244"/>
  <c r="C13" i="244"/>
  <c r="K43" i="246"/>
  <c r="K42" i="246"/>
  <c r="K41" i="246"/>
  <c r="K40" i="246"/>
  <c r="K39" i="246"/>
  <c r="K38" i="246"/>
  <c r="K37" i="246"/>
  <c r="K36" i="246"/>
  <c r="K35" i="246"/>
  <c r="K34" i="246"/>
  <c r="K33" i="246"/>
  <c r="K31" i="246"/>
  <c r="K29" i="246"/>
  <c r="C32" i="252"/>
  <c r="C31" i="252"/>
  <c r="C25" i="252"/>
  <c r="C24" i="252"/>
  <c r="C23" i="252"/>
  <c r="C22" i="252"/>
  <c r="C21" i="252"/>
  <c r="C20" i="252"/>
  <c r="C19" i="252"/>
  <c r="C18" i="252"/>
  <c r="C17" i="252"/>
  <c r="C16" i="252"/>
  <c r="C15" i="252"/>
  <c r="C14" i="252"/>
  <c r="C13" i="252"/>
  <c r="K43" i="254"/>
  <c r="K42" i="254"/>
  <c r="K41" i="254"/>
  <c r="K40" i="254"/>
  <c r="K39" i="254"/>
  <c r="K38" i="254"/>
  <c r="K37" i="254"/>
  <c r="K36" i="254"/>
  <c r="K35" i="254"/>
  <c r="K34" i="254"/>
  <c r="K33" i="254"/>
  <c r="K31" i="254"/>
  <c r="K29" i="254"/>
  <c r="C32" i="260"/>
  <c r="C31" i="260"/>
  <c r="C25" i="260"/>
  <c r="C24" i="260"/>
  <c r="C23" i="260"/>
  <c r="C22" i="260"/>
  <c r="C21" i="260"/>
  <c r="C20" i="260"/>
  <c r="C19" i="260"/>
  <c r="C18" i="260"/>
  <c r="C17" i="260"/>
  <c r="C16" i="260"/>
  <c r="C15" i="260"/>
  <c r="C14" i="260"/>
  <c r="C13" i="260"/>
  <c r="K43" i="262"/>
  <c r="K42" i="262"/>
  <c r="K41" i="262"/>
  <c r="K40" i="262"/>
  <c r="K39" i="262"/>
  <c r="K38" i="262"/>
  <c r="K37" i="262"/>
  <c r="K36" i="262"/>
  <c r="K35" i="262"/>
  <c r="K34" i="262"/>
  <c r="K33" i="262"/>
  <c r="K31" i="262"/>
  <c r="K29" i="262"/>
  <c r="L50" i="222"/>
  <c r="L49" i="222"/>
  <c r="K43" i="222"/>
  <c r="K42" i="222"/>
  <c r="K41" i="222"/>
  <c r="K40" i="222"/>
  <c r="K39" i="222"/>
  <c r="K38" i="222"/>
  <c r="K37" i="222"/>
  <c r="K36" i="222"/>
  <c r="K35" i="222"/>
  <c r="K34" i="222"/>
  <c r="K33" i="222"/>
  <c r="K31" i="222"/>
  <c r="K29" i="222"/>
  <c r="C32" i="220"/>
  <c r="C31" i="220"/>
  <c r="C25" i="220"/>
  <c r="C24" i="220"/>
  <c r="C23" i="220"/>
  <c r="C22" i="220"/>
  <c r="C21" i="220"/>
  <c r="C20" i="220"/>
  <c r="C19" i="220"/>
  <c r="C18" i="220"/>
  <c r="C17" i="220"/>
  <c r="C16" i="220"/>
  <c r="C15" i="220"/>
  <c r="C14" i="220"/>
  <c r="C13" i="220"/>
  <c r="V5" i="106" l="1"/>
  <c r="B3" i="106"/>
  <c r="BG13" i="1"/>
  <c r="K5" i="106"/>
  <c r="BG10" i="1"/>
  <c r="B4" i="106" l="1"/>
  <c r="I12" i="201" l="1"/>
  <c r="I12" i="209"/>
  <c r="AC369" i="1" l="1" a="1"/>
  <c r="AC369" i="1" s="1"/>
  <c r="C7" i="166"/>
  <c r="AC383" i="1" l="1"/>
  <c r="B21" i="106"/>
  <c r="AR383" i="1" l="1"/>
  <c r="BB383" i="1"/>
  <c r="AW383" i="1"/>
  <c r="K3" i="106"/>
  <c r="V3" i="106" s="1"/>
  <c r="K9" i="106"/>
  <c r="K14" i="106"/>
  <c r="L50" i="230" l="1"/>
  <c r="L49" i="230"/>
  <c r="K43" i="230"/>
  <c r="K42" i="230"/>
  <c r="K41" i="230"/>
  <c r="K40" i="230"/>
  <c r="K39" i="230"/>
  <c r="K38" i="230"/>
  <c r="K37" i="230"/>
  <c r="K36" i="230"/>
  <c r="K35" i="230"/>
  <c r="K34" i="230"/>
  <c r="K33" i="230"/>
  <c r="K31" i="230"/>
  <c r="K29" i="230"/>
  <c r="C32" i="228"/>
  <c r="C31" i="228"/>
  <c r="C25" i="228"/>
  <c r="C24" i="228"/>
  <c r="C23" i="228"/>
  <c r="C22" i="228"/>
  <c r="C21" i="228"/>
  <c r="C20" i="228"/>
  <c r="C19" i="228"/>
  <c r="C18" i="228"/>
  <c r="C17" i="228"/>
  <c r="C16" i="228"/>
  <c r="C15" i="228"/>
  <c r="C14" i="228"/>
  <c r="C13" i="228"/>
  <c r="L50" i="214"/>
  <c r="L49" i="214"/>
  <c r="L50" i="206"/>
  <c r="L49" i="206"/>
  <c r="K43" i="206"/>
  <c r="K42" i="206"/>
  <c r="K41" i="206"/>
  <c r="K40" i="206"/>
  <c r="K39" i="206"/>
  <c r="K38" i="206"/>
  <c r="K37" i="206"/>
  <c r="K36" i="206"/>
  <c r="K35" i="206"/>
  <c r="K34" i="206"/>
  <c r="K33" i="206"/>
  <c r="K31" i="206"/>
  <c r="K29" i="206"/>
  <c r="C32" i="204"/>
  <c r="C31" i="204"/>
  <c r="C25" i="204"/>
  <c r="C24" i="204"/>
  <c r="C23" i="204"/>
  <c r="C22" i="204"/>
  <c r="C21" i="204"/>
  <c r="C20" i="204"/>
  <c r="C19" i="204"/>
  <c r="C18" i="204"/>
  <c r="C17" i="204"/>
  <c r="C16" i="204"/>
  <c r="C15" i="204"/>
  <c r="C14" i="204"/>
  <c r="C13" i="204"/>
  <c r="C10" i="138"/>
  <c r="T19" i="106" l="1"/>
  <c r="T18" i="106"/>
  <c r="T17" i="106"/>
  <c r="T16" i="106"/>
  <c r="K11" i="106"/>
  <c r="V11" i="106"/>
  <c r="V4" i="106"/>
  <c r="K4" i="106"/>
  <c r="S14" i="106" l="1"/>
  <c r="R14" i="106"/>
  <c r="L33" i="262"/>
  <c r="L31" i="262"/>
  <c r="L29" i="262"/>
  <c r="L29" i="254"/>
  <c r="L31" i="246"/>
  <c r="L29" i="246"/>
  <c r="L31" i="238"/>
  <c r="H38" i="210"/>
  <c r="G38" i="210"/>
  <c r="F38" i="210"/>
  <c r="E38" i="210"/>
  <c r="D38" i="210"/>
  <c r="C38" i="210"/>
  <c r="B38" i="210"/>
  <c r="H37" i="210"/>
  <c r="G37" i="210"/>
  <c r="F37" i="210"/>
  <c r="E37" i="210"/>
  <c r="D37" i="210"/>
  <c r="C37" i="210"/>
  <c r="B37" i="210"/>
  <c r="H36" i="210"/>
  <c r="G36" i="210"/>
  <c r="F36" i="210"/>
  <c r="E36" i="210"/>
  <c r="D36" i="210"/>
  <c r="C36" i="210"/>
  <c r="B36" i="210"/>
  <c r="H35" i="210"/>
  <c r="G35" i="210"/>
  <c r="F35" i="210"/>
  <c r="E35" i="210"/>
  <c r="D35" i="210"/>
  <c r="C35" i="210"/>
  <c r="B35" i="210"/>
  <c r="H34" i="210"/>
  <c r="G34" i="210"/>
  <c r="F34" i="210"/>
  <c r="E34" i="210"/>
  <c r="D34" i="210"/>
  <c r="C34" i="210"/>
  <c r="B34" i="210"/>
  <c r="H33" i="210"/>
  <c r="G33" i="210"/>
  <c r="F33" i="210"/>
  <c r="E33" i="210"/>
  <c r="D33" i="210"/>
  <c r="C33" i="210"/>
  <c r="B33" i="210"/>
  <c r="H32" i="210"/>
  <c r="G32" i="210"/>
  <c r="F32" i="210"/>
  <c r="E32" i="210"/>
  <c r="D32" i="210"/>
  <c r="C32" i="210"/>
  <c r="B32" i="210"/>
  <c r="H31" i="210"/>
  <c r="G31" i="210"/>
  <c r="F31" i="210"/>
  <c r="E31" i="210"/>
  <c r="D31" i="210"/>
  <c r="C31" i="210"/>
  <c r="B31" i="210"/>
  <c r="H30" i="210"/>
  <c r="G30" i="210"/>
  <c r="F30" i="210"/>
  <c r="E30" i="210"/>
  <c r="D30" i="210"/>
  <c r="C30" i="210"/>
  <c r="B30" i="210"/>
  <c r="H29" i="210"/>
  <c r="G29" i="210"/>
  <c r="F29" i="210"/>
  <c r="E29" i="210"/>
  <c r="D29" i="210"/>
  <c r="C29" i="210"/>
  <c r="B29" i="210"/>
  <c r="H28" i="210"/>
  <c r="G28" i="210"/>
  <c r="F28" i="210"/>
  <c r="E28" i="210"/>
  <c r="D28" i="210"/>
  <c r="C28" i="210"/>
  <c r="B28" i="210"/>
  <c r="H27" i="210"/>
  <c r="G27" i="210"/>
  <c r="F27" i="210"/>
  <c r="E27" i="210"/>
  <c r="D27" i="210"/>
  <c r="C27" i="210"/>
  <c r="B27" i="210"/>
  <c r="H26" i="210"/>
  <c r="G26" i="210"/>
  <c r="F26" i="210"/>
  <c r="E26" i="210"/>
  <c r="D26" i="210"/>
  <c r="C26" i="210"/>
  <c r="B26" i="210"/>
  <c r="H25" i="210"/>
  <c r="G25" i="210"/>
  <c r="F25" i="210"/>
  <c r="E25" i="210"/>
  <c r="D25" i="210"/>
  <c r="C25" i="210"/>
  <c r="B25" i="210"/>
  <c r="B38" i="260"/>
  <c r="B32" i="260"/>
  <c r="B31" i="260"/>
  <c r="B25" i="260"/>
  <c r="B24" i="260"/>
  <c r="B23" i="260"/>
  <c r="B22" i="260"/>
  <c r="B21" i="260"/>
  <c r="B20" i="260"/>
  <c r="B19" i="260"/>
  <c r="B18" i="260"/>
  <c r="B17" i="260"/>
  <c r="B16" i="260"/>
  <c r="B15" i="260"/>
  <c r="B14" i="260"/>
  <c r="B13" i="260"/>
  <c r="B38" i="252"/>
  <c r="B32" i="252"/>
  <c r="B31" i="252"/>
  <c r="B25" i="252"/>
  <c r="B24" i="252"/>
  <c r="B23" i="252"/>
  <c r="B22" i="252"/>
  <c r="B21" i="252"/>
  <c r="B20" i="252"/>
  <c r="B19" i="252"/>
  <c r="B18" i="252"/>
  <c r="B17" i="252"/>
  <c r="B16" i="252"/>
  <c r="B15" i="252"/>
  <c r="B14" i="252"/>
  <c r="B13" i="252"/>
  <c r="B38" i="244"/>
  <c r="B32" i="244"/>
  <c r="B31" i="244"/>
  <c r="B25" i="244"/>
  <c r="B24" i="244"/>
  <c r="B23" i="244"/>
  <c r="B22" i="244"/>
  <c r="B21" i="244"/>
  <c r="B20" i="244"/>
  <c r="B19" i="244"/>
  <c r="B18" i="244"/>
  <c r="B17" i="244"/>
  <c r="B16" i="244"/>
  <c r="B15" i="244"/>
  <c r="B14" i="244"/>
  <c r="B13" i="244"/>
  <c r="B38" i="236"/>
  <c r="B32" i="236"/>
  <c r="B31" i="236"/>
  <c r="B25" i="236"/>
  <c r="B24" i="236"/>
  <c r="B23" i="236"/>
  <c r="B22" i="236"/>
  <c r="B21" i="236"/>
  <c r="B20" i="236"/>
  <c r="B19" i="236"/>
  <c r="B18" i="236"/>
  <c r="B17" i="236"/>
  <c r="B16" i="236"/>
  <c r="B15" i="236"/>
  <c r="B14" i="236"/>
  <c r="B13" i="236"/>
  <c r="B38" i="228"/>
  <c r="B32" i="228"/>
  <c r="B31" i="228"/>
  <c r="B25" i="228"/>
  <c r="B24" i="228"/>
  <c r="B23" i="228"/>
  <c r="B22" i="228"/>
  <c r="B21" i="228"/>
  <c r="B20" i="228"/>
  <c r="B19" i="228"/>
  <c r="B18" i="228"/>
  <c r="B17" i="228"/>
  <c r="B16" i="228"/>
  <c r="B15" i="228"/>
  <c r="B14" i="228"/>
  <c r="B13" i="228"/>
  <c r="B38" i="220"/>
  <c r="B32" i="220"/>
  <c r="B31" i="220"/>
  <c r="B25" i="220"/>
  <c r="B24" i="220"/>
  <c r="B23" i="220"/>
  <c r="B22" i="220"/>
  <c r="B21" i="220"/>
  <c r="B20" i="220"/>
  <c r="B19" i="220"/>
  <c r="B18" i="220"/>
  <c r="B17" i="220"/>
  <c r="B16" i="220"/>
  <c r="B15" i="220"/>
  <c r="B14" i="220"/>
  <c r="B13" i="220"/>
  <c r="B38" i="212"/>
  <c r="B32" i="212"/>
  <c r="B31" i="212"/>
  <c r="B25" i="212"/>
  <c r="B24" i="212"/>
  <c r="B23" i="212"/>
  <c r="B22" i="212"/>
  <c r="B21" i="212"/>
  <c r="B20" i="212"/>
  <c r="B19" i="212"/>
  <c r="B18" i="212"/>
  <c r="B17" i="212"/>
  <c r="B16" i="212"/>
  <c r="B15" i="212"/>
  <c r="B14" i="212"/>
  <c r="B13" i="212"/>
  <c r="K50" i="262"/>
  <c r="K49" i="262"/>
  <c r="L43" i="262"/>
  <c r="L42" i="262"/>
  <c r="L41" i="262"/>
  <c r="L40" i="262"/>
  <c r="L39" i="262"/>
  <c r="L38" i="262"/>
  <c r="L37" i="262"/>
  <c r="L36" i="262"/>
  <c r="L35" i="262"/>
  <c r="L34" i="262"/>
  <c r="K50" i="254"/>
  <c r="K49" i="254"/>
  <c r="L43" i="254"/>
  <c r="L42" i="254"/>
  <c r="L41" i="254"/>
  <c r="L40" i="254"/>
  <c r="L39" i="254"/>
  <c r="L38" i="254"/>
  <c r="L37" i="254"/>
  <c r="L36" i="254"/>
  <c r="L35" i="254"/>
  <c r="L34" i="254"/>
  <c r="L33" i="254"/>
  <c r="L31" i="254"/>
  <c r="K50" i="246"/>
  <c r="K49" i="246"/>
  <c r="L43" i="246"/>
  <c r="L42" i="246"/>
  <c r="L41" i="246"/>
  <c r="L40" i="246"/>
  <c r="L39" i="246"/>
  <c r="L38" i="246"/>
  <c r="L37" i="246"/>
  <c r="L36" i="246"/>
  <c r="L35" i="246"/>
  <c r="L34" i="246"/>
  <c r="L33" i="246"/>
  <c r="K50" i="238"/>
  <c r="K49" i="238"/>
  <c r="L43" i="238"/>
  <c r="L42" i="238"/>
  <c r="L41" i="238"/>
  <c r="L40" i="238"/>
  <c r="L39" i="238"/>
  <c r="L38" i="238"/>
  <c r="L37" i="238"/>
  <c r="L36" i="238"/>
  <c r="L35" i="238"/>
  <c r="L34" i="238"/>
  <c r="L33" i="238"/>
  <c r="L29" i="238"/>
  <c r="K50" i="230"/>
  <c r="K49" i="230"/>
  <c r="L43" i="230"/>
  <c r="L42" i="230"/>
  <c r="L41" i="230"/>
  <c r="L40" i="230"/>
  <c r="L39" i="230"/>
  <c r="L38" i="230"/>
  <c r="L37" i="230"/>
  <c r="L36" i="230"/>
  <c r="L35" i="230"/>
  <c r="L34" i="230"/>
  <c r="L33" i="230"/>
  <c r="L31" i="230"/>
  <c r="L29" i="230"/>
  <c r="K50" i="222"/>
  <c r="K49" i="222"/>
  <c r="L43" i="222"/>
  <c r="L42" i="222"/>
  <c r="L41" i="222"/>
  <c r="L40" i="222"/>
  <c r="L39" i="222"/>
  <c r="L38" i="222"/>
  <c r="L37" i="222"/>
  <c r="L36" i="222"/>
  <c r="L35" i="222"/>
  <c r="L34" i="222"/>
  <c r="L33" i="222"/>
  <c r="L31" i="222"/>
  <c r="L29" i="222"/>
  <c r="K50" i="214"/>
  <c r="K49" i="214"/>
  <c r="L43" i="214"/>
  <c r="L42" i="214"/>
  <c r="L41" i="214"/>
  <c r="L40" i="214"/>
  <c r="L39" i="214"/>
  <c r="L38" i="214"/>
  <c r="L37" i="214"/>
  <c r="L36" i="214"/>
  <c r="L35" i="214"/>
  <c r="L34" i="214"/>
  <c r="L33" i="214"/>
  <c r="L31" i="214"/>
  <c r="L29" i="214"/>
  <c r="L31" i="206"/>
  <c r="M50" i="262" l="1"/>
  <c r="M49" i="262"/>
  <c r="M43" i="262"/>
  <c r="M42" i="262"/>
  <c r="M41" i="262"/>
  <c r="M40" i="262"/>
  <c r="M39" i="262"/>
  <c r="M38" i="262"/>
  <c r="M37" i="262"/>
  <c r="M36" i="262"/>
  <c r="M35" i="262"/>
  <c r="M34" i="262"/>
  <c r="M33" i="262"/>
  <c r="M31" i="262"/>
  <c r="M50" i="254"/>
  <c r="M49" i="254"/>
  <c r="M43" i="254"/>
  <c r="M42" i="254"/>
  <c r="M41" i="254"/>
  <c r="M40" i="254"/>
  <c r="M39" i="254"/>
  <c r="M38" i="254"/>
  <c r="M37" i="254"/>
  <c r="M36" i="254"/>
  <c r="M35" i="254"/>
  <c r="M34" i="254"/>
  <c r="M33" i="254"/>
  <c r="M31" i="254"/>
  <c r="M29" i="254"/>
  <c r="M43" i="230"/>
  <c r="M42" i="230"/>
  <c r="M41" i="230"/>
  <c r="M40" i="230"/>
  <c r="M39" i="230"/>
  <c r="M38" i="230"/>
  <c r="M37" i="230"/>
  <c r="M36" i="230"/>
  <c r="M35" i="230"/>
  <c r="M34" i="230"/>
  <c r="M33" i="230"/>
  <c r="M31" i="230"/>
  <c r="M29" i="230"/>
  <c r="M43" i="214"/>
  <c r="M42" i="214"/>
  <c r="M41" i="214"/>
  <c r="M40" i="214"/>
  <c r="M39" i="214"/>
  <c r="M38" i="214"/>
  <c r="M37" i="214"/>
  <c r="M36" i="214"/>
  <c r="M35" i="214"/>
  <c r="M34" i="214"/>
  <c r="M33" i="214"/>
  <c r="M31" i="214"/>
  <c r="M29" i="214"/>
  <c r="L29" i="206"/>
  <c r="L33" i="206"/>
  <c r="L34" i="206"/>
  <c r="L35" i="206"/>
  <c r="L36" i="206"/>
  <c r="L37" i="206"/>
  <c r="L38" i="206"/>
  <c r="L39" i="206"/>
  <c r="L40" i="206"/>
  <c r="L41" i="206"/>
  <c r="L42" i="206"/>
  <c r="L43" i="206"/>
  <c r="L44" i="262" l="1"/>
  <c r="BA199" i="1" s="1"/>
  <c r="M29" i="262"/>
  <c r="M44" i="262" s="1"/>
  <c r="M44" i="254"/>
  <c r="L44" i="254"/>
  <c r="AV199" i="1" s="1"/>
  <c r="U29" i="209" l="1"/>
  <c r="U23" i="209"/>
  <c r="U23" i="201"/>
  <c r="U29" i="201"/>
  <c r="U23" i="257"/>
  <c r="H44" i="262"/>
  <c r="D38" i="260"/>
  <c r="E39" i="260" s="1"/>
  <c r="D32" i="260"/>
  <c r="D31" i="260"/>
  <c r="D25" i="260"/>
  <c r="D24" i="260"/>
  <c r="D23" i="260"/>
  <c r="D22" i="260"/>
  <c r="D21" i="260"/>
  <c r="D20" i="260"/>
  <c r="D19" i="260"/>
  <c r="D18" i="260"/>
  <c r="D17" i="260"/>
  <c r="D16" i="260"/>
  <c r="D15" i="260"/>
  <c r="D14" i="260"/>
  <c r="D13" i="260"/>
  <c r="H58" i="258"/>
  <c r="G58" i="258"/>
  <c r="F58" i="258"/>
  <c r="E58" i="258"/>
  <c r="D58" i="258"/>
  <c r="C58" i="258"/>
  <c r="B58" i="258"/>
  <c r="H57" i="258"/>
  <c r="G57" i="258"/>
  <c r="F57" i="258"/>
  <c r="E57" i="258"/>
  <c r="D57" i="258"/>
  <c r="C57" i="258"/>
  <c r="B57" i="258"/>
  <c r="H56" i="258"/>
  <c r="G56" i="258"/>
  <c r="F56" i="258"/>
  <c r="E56" i="258"/>
  <c r="D56" i="258"/>
  <c r="C56" i="258"/>
  <c r="B56" i="258"/>
  <c r="H55" i="258"/>
  <c r="G55" i="258"/>
  <c r="F55" i="258"/>
  <c r="E55" i="258"/>
  <c r="D55" i="258"/>
  <c r="C55" i="258"/>
  <c r="B55" i="258"/>
  <c r="H54" i="258"/>
  <c r="G54" i="258"/>
  <c r="F54" i="258"/>
  <c r="E54" i="258"/>
  <c r="D54" i="258"/>
  <c r="C54" i="258"/>
  <c r="B54" i="258"/>
  <c r="H53" i="258"/>
  <c r="G53" i="258"/>
  <c r="F53" i="258"/>
  <c r="E53" i="258"/>
  <c r="D53" i="258"/>
  <c r="C53" i="258"/>
  <c r="B53" i="258"/>
  <c r="H52" i="258"/>
  <c r="G52" i="258"/>
  <c r="F52" i="258"/>
  <c r="E52" i="258"/>
  <c r="D52" i="258"/>
  <c r="C52" i="258"/>
  <c r="B52" i="258"/>
  <c r="H51" i="258"/>
  <c r="G51" i="258"/>
  <c r="F51" i="258"/>
  <c r="E51" i="258"/>
  <c r="D51" i="258"/>
  <c r="B51" i="258"/>
  <c r="H50" i="258"/>
  <c r="G50" i="258"/>
  <c r="F50" i="258"/>
  <c r="E50" i="258"/>
  <c r="D50" i="258"/>
  <c r="C50" i="258"/>
  <c r="B50" i="258"/>
  <c r="H49" i="258"/>
  <c r="G49" i="258"/>
  <c r="F49" i="258"/>
  <c r="E49" i="258"/>
  <c r="D49" i="258"/>
  <c r="C49" i="258"/>
  <c r="B49" i="258"/>
  <c r="H48" i="258"/>
  <c r="G48" i="258"/>
  <c r="F48" i="258"/>
  <c r="E48" i="258"/>
  <c r="D48" i="258"/>
  <c r="C48" i="258"/>
  <c r="B48" i="258"/>
  <c r="H47" i="258"/>
  <c r="G47" i="258"/>
  <c r="F47" i="258"/>
  <c r="E47" i="258"/>
  <c r="D47" i="258"/>
  <c r="C47" i="258"/>
  <c r="B47" i="258"/>
  <c r="H46" i="258"/>
  <c r="G46" i="258"/>
  <c r="F46" i="258"/>
  <c r="E46" i="258"/>
  <c r="D46" i="258"/>
  <c r="C46" i="258"/>
  <c r="B46" i="258"/>
  <c r="H45" i="258"/>
  <c r="G45" i="258"/>
  <c r="F45" i="258"/>
  <c r="E45" i="258"/>
  <c r="D45" i="258"/>
  <c r="C45" i="258"/>
  <c r="B45" i="258"/>
  <c r="K50" i="257"/>
  <c r="S21" i="257"/>
  <c r="K11" i="257"/>
  <c r="C7" i="257"/>
  <c r="B7" i="257"/>
  <c r="H44" i="254"/>
  <c r="D38" i="252"/>
  <c r="E39" i="252" s="1"/>
  <c r="D32" i="252"/>
  <c r="D31" i="252"/>
  <c r="D25" i="252"/>
  <c r="D24" i="252"/>
  <c r="D23" i="252"/>
  <c r="D22" i="252"/>
  <c r="D21" i="252"/>
  <c r="D20" i="252"/>
  <c r="D19" i="252"/>
  <c r="D18" i="252"/>
  <c r="D17" i="252"/>
  <c r="D16" i="252"/>
  <c r="D15" i="252"/>
  <c r="D14" i="252"/>
  <c r="H58" i="250"/>
  <c r="G58" i="250"/>
  <c r="F58" i="250"/>
  <c r="E58" i="250"/>
  <c r="D58" i="250"/>
  <c r="C58" i="250"/>
  <c r="B58" i="250"/>
  <c r="H57" i="250"/>
  <c r="G57" i="250"/>
  <c r="F57" i="250"/>
  <c r="E57" i="250"/>
  <c r="D57" i="250"/>
  <c r="C57" i="250"/>
  <c r="B57" i="250"/>
  <c r="H56" i="250"/>
  <c r="G56" i="250"/>
  <c r="F56" i="250"/>
  <c r="E56" i="250"/>
  <c r="D56" i="250"/>
  <c r="C56" i="250"/>
  <c r="B56" i="250"/>
  <c r="H55" i="250"/>
  <c r="G55" i="250"/>
  <c r="F55" i="250"/>
  <c r="E55" i="250"/>
  <c r="D55" i="250"/>
  <c r="C55" i="250"/>
  <c r="B55" i="250"/>
  <c r="H54" i="250"/>
  <c r="G54" i="250"/>
  <c r="F54" i="250"/>
  <c r="E54" i="250"/>
  <c r="D54" i="250"/>
  <c r="C54" i="250"/>
  <c r="B54" i="250"/>
  <c r="H53" i="250"/>
  <c r="G53" i="250"/>
  <c r="F53" i="250"/>
  <c r="E53" i="250"/>
  <c r="D53" i="250"/>
  <c r="C53" i="250"/>
  <c r="B53" i="250"/>
  <c r="H52" i="250"/>
  <c r="G52" i="250"/>
  <c r="F52" i="250"/>
  <c r="E52" i="250"/>
  <c r="D52" i="250"/>
  <c r="C52" i="250"/>
  <c r="B52" i="250"/>
  <c r="H51" i="250"/>
  <c r="G51" i="250"/>
  <c r="F51" i="250"/>
  <c r="E51" i="250"/>
  <c r="D51" i="250"/>
  <c r="C51" i="250"/>
  <c r="B51" i="250"/>
  <c r="H50" i="250"/>
  <c r="G50" i="250"/>
  <c r="F50" i="250"/>
  <c r="E50" i="250"/>
  <c r="D50" i="250"/>
  <c r="C50" i="250"/>
  <c r="B50" i="250"/>
  <c r="H49" i="250"/>
  <c r="G49" i="250"/>
  <c r="F49" i="250"/>
  <c r="E49" i="250"/>
  <c r="D49" i="250"/>
  <c r="C49" i="250"/>
  <c r="B49" i="250"/>
  <c r="H48" i="250"/>
  <c r="G48" i="250"/>
  <c r="F48" i="250"/>
  <c r="E48" i="250"/>
  <c r="D48" i="250"/>
  <c r="C48" i="250"/>
  <c r="B48" i="250"/>
  <c r="H47" i="250"/>
  <c r="G47" i="250"/>
  <c r="F47" i="250"/>
  <c r="E47" i="250"/>
  <c r="D47" i="250"/>
  <c r="C47" i="250"/>
  <c r="B47" i="250"/>
  <c r="H46" i="250"/>
  <c r="G46" i="250"/>
  <c r="F46" i="250"/>
  <c r="E46" i="250"/>
  <c r="D46" i="250"/>
  <c r="C46" i="250"/>
  <c r="B46" i="250"/>
  <c r="H45" i="250"/>
  <c r="G45" i="250"/>
  <c r="F45" i="250"/>
  <c r="E45" i="250"/>
  <c r="D45" i="250"/>
  <c r="C45" i="250"/>
  <c r="B45" i="250"/>
  <c r="K50" i="249"/>
  <c r="S21" i="249"/>
  <c r="K11" i="249"/>
  <c r="C7" i="249"/>
  <c r="B7" i="249"/>
  <c r="M50" i="246"/>
  <c r="M49" i="246"/>
  <c r="H44" i="246"/>
  <c r="M43" i="246"/>
  <c r="M42" i="246"/>
  <c r="M41" i="246"/>
  <c r="M40" i="246"/>
  <c r="M39" i="246"/>
  <c r="M38" i="246"/>
  <c r="M37" i="246"/>
  <c r="M36" i="246"/>
  <c r="M35" i="246"/>
  <c r="M34" i="246"/>
  <c r="M33" i="246"/>
  <c r="M31" i="246"/>
  <c r="M29" i="246"/>
  <c r="D38" i="244"/>
  <c r="E39" i="244" s="1"/>
  <c r="D32" i="244"/>
  <c r="D31" i="244"/>
  <c r="D25" i="244"/>
  <c r="D24" i="244"/>
  <c r="D23" i="244"/>
  <c r="D22" i="244"/>
  <c r="D21" i="244"/>
  <c r="D20" i="244"/>
  <c r="D19" i="244"/>
  <c r="D18" i="244"/>
  <c r="D17" i="244"/>
  <c r="D16" i="244"/>
  <c r="D15" i="244"/>
  <c r="D14" i="244"/>
  <c r="H58" i="242"/>
  <c r="G58" i="242"/>
  <c r="F58" i="242"/>
  <c r="E58" i="242"/>
  <c r="D58" i="242"/>
  <c r="C58" i="242"/>
  <c r="B58" i="242"/>
  <c r="H57" i="242"/>
  <c r="G57" i="242"/>
  <c r="F57" i="242"/>
  <c r="E57" i="242"/>
  <c r="D57" i="242"/>
  <c r="C57" i="242"/>
  <c r="B57" i="242"/>
  <c r="H56" i="242"/>
  <c r="G56" i="242"/>
  <c r="F56" i="242"/>
  <c r="E56" i="242"/>
  <c r="D56" i="242"/>
  <c r="C56" i="242"/>
  <c r="B56" i="242"/>
  <c r="H55" i="242"/>
  <c r="G55" i="242"/>
  <c r="F55" i="242"/>
  <c r="E55" i="242"/>
  <c r="D55" i="242"/>
  <c r="C55" i="242"/>
  <c r="B55" i="242"/>
  <c r="H54" i="242"/>
  <c r="G54" i="242"/>
  <c r="F54" i="242"/>
  <c r="E54" i="242"/>
  <c r="D54" i="242"/>
  <c r="C54" i="242"/>
  <c r="B54" i="242"/>
  <c r="H53" i="242"/>
  <c r="G53" i="242"/>
  <c r="F53" i="242"/>
  <c r="E53" i="242"/>
  <c r="D53" i="242"/>
  <c r="C53" i="242"/>
  <c r="B53" i="242"/>
  <c r="H52" i="242"/>
  <c r="G52" i="242"/>
  <c r="F52" i="242"/>
  <c r="E52" i="242"/>
  <c r="D52" i="242"/>
  <c r="C52" i="242"/>
  <c r="B52" i="242"/>
  <c r="H51" i="242"/>
  <c r="G51" i="242"/>
  <c r="F51" i="242"/>
  <c r="E51" i="242"/>
  <c r="D51" i="242"/>
  <c r="C51" i="242"/>
  <c r="B51" i="242"/>
  <c r="H50" i="242"/>
  <c r="G50" i="242"/>
  <c r="F50" i="242"/>
  <c r="E50" i="242"/>
  <c r="D50" i="242"/>
  <c r="C50" i="242"/>
  <c r="B50" i="242"/>
  <c r="H49" i="242"/>
  <c r="G49" i="242"/>
  <c r="F49" i="242"/>
  <c r="E49" i="242"/>
  <c r="D49" i="242"/>
  <c r="C49" i="242"/>
  <c r="B49" i="242"/>
  <c r="H48" i="242"/>
  <c r="G48" i="242"/>
  <c r="F48" i="242"/>
  <c r="E48" i="242"/>
  <c r="D48" i="242"/>
  <c r="C48" i="242"/>
  <c r="B48" i="242"/>
  <c r="H47" i="242"/>
  <c r="G47" i="242"/>
  <c r="F47" i="242"/>
  <c r="E47" i="242"/>
  <c r="D47" i="242"/>
  <c r="C47" i="242"/>
  <c r="B47" i="242"/>
  <c r="H46" i="242"/>
  <c r="G46" i="242"/>
  <c r="F46" i="242"/>
  <c r="E46" i="242"/>
  <c r="D46" i="242"/>
  <c r="C46" i="242"/>
  <c r="B46" i="242"/>
  <c r="H45" i="242"/>
  <c r="G45" i="242"/>
  <c r="F45" i="242"/>
  <c r="E45" i="242"/>
  <c r="D45" i="242"/>
  <c r="C45" i="242"/>
  <c r="B45" i="242"/>
  <c r="K50" i="241"/>
  <c r="S21" i="241"/>
  <c r="K11" i="241"/>
  <c r="C7" i="241"/>
  <c r="B7" i="241"/>
  <c r="M50" i="238"/>
  <c r="M49" i="238"/>
  <c r="H44" i="238"/>
  <c r="M43" i="238"/>
  <c r="M42" i="238"/>
  <c r="M41" i="238"/>
  <c r="M40" i="238"/>
  <c r="M39" i="238"/>
  <c r="M38" i="238"/>
  <c r="M37" i="238"/>
  <c r="M36" i="238"/>
  <c r="M35" i="238"/>
  <c r="M34" i="238"/>
  <c r="M33" i="238"/>
  <c r="M31" i="238"/>
  <c r="M29" i="238"/>
  <c r="D38" i="236"/>
  <c r="E39" i="236" s="1"/>
  <c r="D32" i="236"/>
  <c r="D31" i="236"/>
  <c r="D25" i="236"/>
  <c r="D24" i="236"/>
  <c r="D23" i="236"/>
  <c r="D22" i="236"/>
  <c r="D21" i="236"/>
  <c r="D20" i="236"/>
  <c r="D19" i="236"/>
  <c r="D18" i="236"/>
  <c r="D17" i="236"/>
  <c r="D16" i="236"/>
  <c r="D15" i="236"/>
  <c r="D14" i="236"/>
  <c r="H58" i="234"/>
  <c r="G58" i="234"/>
  <c r="F58" i="234"/>
  <c r="E58" i="234"/>
  <c r="D58" i="234"/>
  <c r="C58" i="234"/>
  <c r="B58" i="234"/>
  <c r="H57" i="234"/>
  <c r="G57" i="234"/>
  <c r="F57" i="234"/>
  <c r="E57" i="234"/>
  <c r="D57" i="234"/>
  <c r="C57" i="234"/>
  <c r="B57" i="234"/>
  <c r="H56" i="234"/>
  <c r="G56" i="234"/>
  <c r="F56" i="234"/>
  <c r="E56" i="234"/>
  <c r="D56" i="234"/>
  <c r="C56" i="234"/>
  <c r="B56" i="234"/>
  <c r="H55" i="234"/>
  <c r="G55" i="234"/>
  <c r="F55" i="234"/>
  <c r="E55" i="234"/>
  <c r="D55" i="234"/>
  <c r="C55" i="234"/>
  <c r="B55" i="234"/>
  <c r="H54" i="234"/>
  <c r="G54" i="234"/>
  <c r="F54" i="234"/>
  <c r="E54" i="234"/>
  <c r="D54" i="234"/>
  <c r="C54" i="234"/>
  <c r="B54" i="234"/>
  <c r="H53" i="234"/>
  <c r="G53" i="234"/>
  <c r="F53" i="234"/>
  <c r="E53" i="234"/>
  <c r="D53" i="234"/>
  <c r="C53" i="234"/>
  <c r="B53" i="234"/>
  <c r="H52" i="234"/>
  <c r="G52" i="234"/>
  <c r="F52" i="234"/>
  <c r="E52" i="234"/>
  <c r="D52" i="234"/>
  <c r="C52" i="234"/>
  <c r="B52" i="234"/>
  <c r="H51" i="234"/>
  <c r="G51" i="234"/>
  <c r="F51" i="234"/>
  <c r="E51" i="234"/>
  <c r="D51" i="234"/>
  <c r="B51" i="234"/>
  <c r="H50" i="234"/>
  <c r="G50" i="234"/>
  <c r="F50" i="234"/>
  <c r="E50" i="234"/>
  <c r="D50" i="234"/>
  <c r="C50" i="234"/>
  <c r="B50" i="234"/>
  <c r="H49" i="234"/>
  <c r="G49" i="234"/>
  <c r="F49" i="234"/>
  <c r="E49" i="234"/>
  <c r="D49" i="234"/>
  <c r="C49" i="234"/>
  <c r="B49" i="234"/>
  <c r="H48" i="234"/>
  <c r="G48" i="234"/>
  <c r="F48" i="234"/>
  <c r="E48" i="234"/>
  <c r="D48" i="234"/>
  <c r="C48" i="234"/>
  <c r="B48" i="234"/>
  <c r="H47" i="234"/>
  <c r="G47" i="234"/>
  <c r="F47" i="234"/>
  <c r="E47" i="234"/>
  <c r="D47" i="234"/>
  <c r="C47" i="234"/>
  <c r="B47" i="234"/>
  <c r="H46" i="234"/>
  <c r="G46" i="234"/>
  <c r="F46" i="234"/>
  <c r="E46" i="234"/>
  <c r="D46" i="234"/>
  <c r="C46" i="234"/>
  <c r="B46" i="234"/>
  <c r="H45" i="234"/>
  <c r="G45" i="234"/>
  <c r="F45" i="234"/>
  <c r="E45" i="234"/>
  <c r="D45" i="234"/>
  <c r="C45" i="234"/>
  <c r="B45" i="234"/>
  <c r="K50" i="233"/>
  <c r="S21" i="233"/>
  <c r="K11" i="233"/>
  <c r="C7" i="233"/>
  <c r="B7" i="233"/>
  <c r="M50" i="230"/>
  <c r="M49" i="230"/>
  <c r="H44" i="230"/>
  <c r="D38" i="228"/>
  <c r="E39" i="228" s="1"/>
  <c r="D32" i="228"/>
  <c r="D31" i="228"/>
  <c r="D25" i="228"/>
  <c r="D24" i="228"/>
  <c r="D23" i="228"/>
  <c r="D22" i="228"/>
  <c r="D21" i="228"/>
  <c r="D20" i="228"/>
  <c r="D19" i="228"/>
  <c r="D18" i="228"/>
  <c r="D17" i="228"/>
  <c r="D16" i="228"/>
  <c r="D15" i="228"/>
  <c r="D14" i="228"/>
  <c r="H58" i="226"/>
  <c r="G58" i="226"/>
  <c r="F58" i="226"/>
  <c r="E58" i="226"/>
  <c r="D58" i="226"/>
  <c r="C58" i="226"/>
  <c r="B58" i="226"/>
  <c r="H57" i="226"/>
  <c r="G57" i="226"/>
  <c r="F57" i="226"/>
  <c r="E57" i="226"/>
  <c r="D57" i="226"/>
  <c r="C57" i="226"/>
  <c r="B57" i="226"/>
  <c r="H56" i="226"/>
  <c r="G56" i="226"/>
  <c r="F56" i="226"/>
  <c r="E56" i="226"/>
  <c r="D56" i="226"/>
  <c r="C56" i="226"/>
  <c r="B56" i="226"/>
  <c r="H55" i="226"/>
  <c r="G55" i="226"/>
  <c r="F55" i="226"/>
  <c r="E55" i="226"/>
  <c r="D55" i="226"/>
  <c r="C55" i="226"/>
  <c r="B55" i="226"/>
  <c r="H54" i="226"/>
  <c r="G54" i="226"/>
  <c r="F54" i="226"/>
  <c r="E54" i="226"/>
  <c r="D54" i="226"/>
  <c r="C54" i="226"/>
  <c r="B54" i="226"/>
  <c r="H53" i="226"/>
  <c r="G53" i="226"/>
  <c r="F53" i="226"/>
  <c r="E53" i="226"/>
  <c r="D53" i="226"/>
  <c r="C53" i="226"/>
  <c r="B53" i="226"/>
  <c r="H52" i="226"/>
  <c r="G52" i="226"/>
  <c r="F52" i="226"/>
  <c r="E52" i="226"/>
  <c r="D52" i="226"/>
  <c r="C52" i="226"/>
  <c r="B52" i="226"/>
  <c r="H51" i="226"/>
  <c r="G51" i="226"/>
  <c r="F51" i="226"/>
  <c r="E51" i="226"/>
  <c r="D51" i="226"/>
  <c r="B51" i="226"/>
  <c r="H50" i="226"/>
  <c r="G50" i="226"/>
  <c r="F50" i="226"/>
  <c r="E50" i="226"/>
  <c r="D50" i="226"/>
  <c r="C50" i="226"/>
  <c r="B50" i="226"/>
  <c r="H49" i="226"/>
  <c r="G49" i="226"/>
  <c r="F49" i="226"/>
  <c r="E49" i="226"/>
  <c r="D49" i="226"/>
  <c r="C49" i="226"/>
  <c r="B49" i="226"/>
  <c r="H48" i="226"/>
  <c r="G48" i="226"/>
  <c r="F48" i="226"/>
  <c r="E48" i="226"/>
  <c r="D48" i="226"/>
  <c r="C48" i="226"/>
  <c r="B48" i="226"/>
  <c r="H47" i="226"/>
  <c r="G47" i="226"/>
  <c r="F47" i="226"/>
  <c r="E47" i="226"/>
  <c r="D47" i="226"/>
  <c r="C47" i="226"/>
  <c r="B47" i="226"/>
  <c r="H46" i="226"/>
  <c r="G46" i="226"/>
  <c r="F46" i="226"/>
  <c r="E46" i="226"/>
  <c r="D46" i="226"/>
  <c r="C46" i="226"/>
  <c r="B46" i="226"/>
  <c r="H45" i="226"/>
  <c r="G45" i="226"/>
  <c r="F45" i="226"/>
  <c r="E45" i="226"/>
  <c r="D45" i="226"/>
  <c r="C45" i="226"/>
  <c r="B45" i="226"/>
  <c r="K50" i="225"/>
  <c r="S21" i="225"/>
  <c r="K11" i="225"/>
  <c r="C7" i="225"/>
  <c r="B7" i="225"/>
  <c r="M50" i="222"/>
  <c r="M49" i="222"/>
  <c r="H44" i="222"/>
  <c r="M43" i="222"/>
  <c r="M42" i="222"/>
  <c r="M41" i="222"/>
  <c r="M40" i="222"/>
  <c r="M39" i="222"/>
  <c r="M38" i="222"/>
  <c r="M37" i="222"/>
  <c r="M36" i="222"/>
  <c r="M35" i="222"/>
  <c r="M34" i="222"/>
  <c r="M33" i="222"/>
  <c r="M31" i="222"/>
  <c r="M29" i="222"/>
  <c r="D38" i="220"/>
  <c r="E39" i="220" s="1"/>
  <c r="D32" i="220"/>
  <c r="D31" i="220"/>
  <c r="D25" i="220"/>
  <c r="D24" i="220"/>
  <c r="D23" i="220"/>
  <c r="D22" i="220"/>
  <c r="D21" i="220"/>
  <c r="D20" i="220"/>
  <c r="D19" i="220"/>
  <c r="D18" i="220"/>
  <c r="D17" i="220"/>
  <c r="D16" i="220"/>
  <c r="D15" i="220"/>
  <c r="D14" i="220"/>
  <c r="D13" i="220"/>
  <c r="H58" i="218"/>
  <c r="G58" i="218"/>
  <c r="F58" i="218"/>
  <c r="E58" i="218"/>
  <c r="D58" i="218"/>
  <c r="C58" i="218"/>
  <c r="B58" i="218"/>
  <c r="H57" i="218"/>
  <c r="G57" i="218"/>
  <c r="F57" i="218"/>
  <c r="E57" i="218"/>
  <c r="D57" i="218"/>
  <c r="C57" i="218"/>
  <c r="B57" i="218"/>
  <c r="H56" i="218"/>
  <c r="G56" i="218"/>
  <c r="F56" i="218"/>
  <c r="E56" i="218"/>
  <c r="D56" i="218"/>
  <c r="C56" i="218"/>
  <c r="B56" i="218"/>
  <c r="H55" i="218"/>
  <c r="G55" i="218"/>
  <c r="F55" i="218"/>
  <c r="E55" i="218"/>
  <c r="D55" i="218"/>
  <c r="C55" i="218"/>
  <c r="B55" i="218"/>
  <c r="H54" i="218"/>
  <c r="G54" i="218"/>
  <c r="F54" i="218"/>
  <c r="E54" i="218"/>
  <c r="D54" i="218"/>
  <c r="C54" i="218"/>
  <c r="B54" i="218"/>
  <c r="H53" i="218"/>
  <c r="G53" i="218"/>
  <c r="F53" i="218"/>
  <c r="E53" i="218"/>
  <c r="D53" i="218"/>
  <c r="C53" i="218"/>
  <c r="B53" i="218"/>
  <c r="H52" i="218"/>
  <c r="G52" i="218"/>
  <c r="F52" i="218"/>
  <c r="E52" i="218"/>
  <c r="D52" i="218"/>
  <c r="C52" i="218"/>
  <c r="B52" i="218"/>
  <c r="H51" i="218"/>
  <c r="G51" i="218"/>
  <c r="F51" i="218"/>
  <c r="E51" i="218"/>
  <c r="D51" i="218"/>
  <c r="C51" i="218"/>
  <c r="B51" i="218"/>
  <c r="H50" i="218"/>
  <c r="G50" i="218"/>
  <c r="F50" i="218"/>
  <c r="E50" i="218"/>
  <c r="D50" i="218"/>
  <c r="C50" i="218"/>
  <c r="B50" i="218"/>
  <c r="H49" i="218"/>
  <c r="G49" i="218"/>
  <c r="F49" i="218"/>
  <c r="E49" i="218"/>
  <c r="D49" i="218"/>
  <c r="C49" i="218"/>
  <c r="B49" i="218"/>
  <c r="H48" i="218"/>
  <c r="G48" i="218"/>
  <c r="F48" i="218"/>
  <c r="E48" i="218"/>
  <c r="D48" i="218"/>
  <c r="C48" i="218"/>
  <c r="B48" i="218"/>
  <c r="H47" i="218"/>
  <c r="G47" i="218"/>
  <c r="F47" i="218"/>
  <c r="E47" i="218"/>
  <c r="D47" i="218"/>
  <c r="C47" i="218"/>
  <c r="B47" i="218"/>
  <c r="H46" i="218"/>
  <c r="G46" i="218"/>
  <c r="F46" i="218"/>
  <c r="E46" i="218"/>
  <c r="D46" i="218"/>
  <c r="C46" i="218"/>
  <c r="B46" i="218"/>
  <c r="H45" i="218"/>
  <c r="G45" i="218"/>
  <c r="F45" i="218"/>
  <c r="E45" i="218"/>
  <c r="D45" i="218"/>
  <c r="C45" i="218"/>
  <c r="B45" i="218"/>
  <c r="K50" i="217"/>
  <c r="S21" i="217"/>
  <c r="K11" i="217"/>
  <c r="C7" i="217"/>
  <c r="B7" i="217"/>
  <c r="M50" i="214"/>
  <c r="M49" i="214"/>
  <c r="H44" i="214"/>
  <c r="D38" i="212"/>
  <c r="E39" i="212" s="1"/>
  <c r="D32" i="212"/>
  <c r="D31" i="212"/>
  <c r="D25" i="212"/>
  <c r="D24" i="212"/>
  <c r="D23" i="212"/>
  <c r="D22" i="212"/>
  <c r="D21" i="212"/>
  <c r="D20" i="212"/>
  <c r="D19" i="212"/>
  <c r="D18" i="212"/>
  <c r="D17" i="212"/>
  <c r="D16" i="212"/>
  <c r="D15" i="212"/>
  <c r="D14" i="212"/>
  <c r="H58" i="210"/>
  <c r="G58" i="210"/>
  <c r="F58" i="210"/>
  <c r="E58" i="210"/>
  <c r="D58" i="210"/>
  <c r="C58" i="210"/>
  <c r="B58" i="210"/>
  <c r="H57" i="210"/>
  <c r="G57" i="210"/>
  <c r="F57" i="210"/>
  <c r="E57" i="210"/>
  <c r="D57" i="210"/>
  <c r="C57" i="210"/>
  <c r="B57" i="210"/>
  <c r="H56" i="210"/>
  <c r="G56" i="210"/>
  <c r="F56" i="210"/>
  <c r="E56" i="210"/>
  <c r="D56" i="210"/>
  <c r="C56" i="210"/>
  <c r="B56" i="210"/>
  <c r="H55" i="210"/>
  <c r="G55" i="210"/>
  <c r="F55" i="210"/>
  <c r="E55" i="210"/>
  <c r="D55" i="210"/>
  <c r="C55" i="210"/>
  <c r="B55" i="210"/>
  <c r="H54" i="210"/>
  <c r="G54" i="210"/>
  <c r="F54" i="210"/>
  <c r="E54" i="210"/>
  <c r="D54" i="210"/>
  <c r="C54" i="210"/>
  <c r="B54" i="210"/>
  <c r="H53" i="210"/>
  <c r="G53" i="210"/>
  <c r="F53" i="210"/>
  <c r="E53" i="210"/>
  <c r="D53" i="210"/>
  <c r="C53" i="210"/>
  <c r="B53" i="210"/>
  <c r="H52" i="210"/>
  <c r="G52" i="210"/>
  <c r="F52" i="210"/>
  <c r="E52" i="210"/>
  <c r="D52" i="210"/>
  <c r="C52" i="210"/>
  <c r="B52" i="210"/>
  <c r="H51" i="210"/>
  <c r="G51" i="210"/>
  <c r="F51" i="210"/>
  <c r="E51" i="210"/>
  <c r="D51" i="210"/>
  <c r="C51" i="210"/>
  <c r="B51" i="210"/>
  <c r="H50" i="210"/>
  <c r="G50" i="210"/>
  <c r="F50" i="210"/>
  <c r="E50" i="210"/>
  <c r="D50" i="210"/>
  <c r="C50" i="210"/>
  <c r="B50" i="210"/>
  <c r="H49" i="210"/>
  <c r="G49" i="210"/>
  <c r="F49" i="210"/>
  <c r="E49" i="210"/>
  <c r="D49" i="210"/>
  <c r="C49" i="210"/>
  <c r="B49" i="210"/>
  <c r="H48" i="210"/>
  <c r="G48" i="210"/>
  <c r="F48" i="210"/>
  <c r="E48" i="210"/>
  <c r="D48" i="210"/>
  <c r="C48" i="210"/>
  <c r="B48" i="210"/>
  <c r="H47" i="210"/>
  <c r="G47" i="210"/>
  <c r="F47" i="210"/>
  <c r="E47" i="210"/>
  <c r="D47" i="210"/>
  <c r="C47" i="210"/>
  <c r="B47" i="210"/>
  <c r="H46" i="210"/>
  <c r="G46" i="210"/>
  <c r="F46" i="210"/>
  <c r="E46" i="210"/>
  <c r="D46" i="210"/>
  <c r="C46" i="210"/>
  <c r="B46" i="210"/>
  <c r="H45" i="210"/>
  <c r="G45" i="210"/>
  <c r="F45" i="210"/>
  <c r="E45" i="210"/>
  <c r="D45" i="210"/>
  <c r="C45" i="210"/>
  <c r="B45" i="210"/>
  <c r="K50" i="209"/>
  <c r="S21" i="209"/>
  <c r="K11" i="209"/>
  <c r="C7" i="209"/>
  <c r="B7" i="209"/>
  <c r="K50" i="206"/>
  <c r="M50" i="206" s="1"/>
  <c r="K49" i="206"/>
  <c r="M49" i="206" s="1"/>
  <c r="M43" i="206"/>
  <c r="M42" i="206"/>
  <c r="M41" i="206"/>
  <c r="M39" i="206"/>
  <c r="M38" i="206"/>
  <c r="M37" i="206"/>
  <c r="M36" i="206"/>
  <c r="M35" i="206"/>
  <c r="M34" i="206"/>
  <c r="M33" i="206"/>
  <c r="M31" i="206"/>
  <c r="M29" i="206"/>
  <c r="BA191" i="1"/>
  <c r="AV191" i="1"/>
  <c r="AQ191" i="1"/>
  <c r="AL191" i="1"/>
  <c r="AG191" i="1"/>
  <c r="AB191" i="1"/>
  <c r="AB142" i="1" s="1"/>
  <c r="X191" i="1"/>
  <c r="S191" i="1"/>
  <c r="S124" i="1" s="1"/>
  <c r="BA172" i="1"/>
  <c r="AV172" i="1"/>
  <c r="AQ172" i="1"/>
  <c r="AL172" i="1"/>
  <c r="AG172" i="1"/>
  <c r="AB172" i="1"/>
  <c r="X172" i="1"/>
  <c r="S172" i="1"/>
  <c r="B38" i="204"/>
  <c r="D38" i="204" s="1"/>
  <c r="E39" i="204" s="1"/>
  <c r="B32" i="204"/>
  <c r="D32" i="204" s="1"/>
  <c r="B31" i="204"/>
  <c r="D31" i="204" s="1"/>
  <c r="B25" i="204"/>
  <c r="D25" i="204" s="1"/>
  <c r="B24" i="204"/>
  <c r="D24" i="204" s="1"/>
  <c r="B23" i="204"/>
  <c r="D23" i="204" s="1"/>
  <c r="B22" i="204"/>
  <c r="D22" i="204" s="1"/>
  <c r="B21" i="204"/>
  <c r="D21" i="204" s="1"/>
  <c r="B20" i="204"/>
  <c r="D20" i="204" s="1"/>
  <c r="B19" i="204"/>
  <c r="D19" i="204" s="1"/>
  <c r="B18" i="204"/>
  <c r="D18" i="204" s="1"/>
  <c r="B17" i="204"/>
  <c r="D17" i="204" s="1"/>
  <c r="B16" i="204"/>
  <c r="D16" i="204" s="1"/>
  <c r="B15" i="204"/>
  <c r="D15" i="204" s="1"/>
  <c r="B14" i="204"/>
  <c r="D14" i="204" s="1"/>
  <c r="B13" i="204"/>
  <c r="D13" i="204" s="1"/>
  <c r="H38" i="202"/>
  <c r="H58" i="202" s="1"/>
  <c r="G38" i="202"/>
  <c r="G58" i="202" s="1"/>
  <c r="F38" i="202"/>
  <c r="F58" i="202" s="1"/>
  <c r="E38" i="202"/>
  <c r="E58" i="202" s="1"/>
  <c r="D38" i="202"/>
  <c r="D58" i="202" s="1"/>
  <c r="C38" i="202"/>
  <c r="C58" i="202" s="1"/>
  <c r="B38" i="202"/>
  <c r="B58" i="202" s="1"/>
  <c r="H37" i="202"/>
  <c r="H57" i="202" s="1"/>
  <c r="G37" i="202"/>
  <c r="G57" i="202" s="1"/>
  <c r="F37" i="202"/>
  <c r="F57" i="202" s="1"/>
  <c r="E37" i="202"/>
  <c r="E57" i="202" s="1"/>
  <c r="D37" i="202"/>
  <c r="D57" i="202" s="1"/>
  <c r="C37" i="202"/>
  <c r="C57" i="202" s="1"/>
  <c r="B37" i="202"/>
  <c r="B57" i="202" s="1"/>
  <c r="H36" i="202"/>
  <c r="H56" i="202" s="1"/>
  <c r="G36" i="202"/>
  <c r="G56" i="202" s="1"/>
  <c r="F36" i="202"/>
  <c r="F56" i="202" s="1"/>
  <c r="E36" i="202"/>
  <c r="E56" i="202" s="1"/>
  <c r="D36" i="202"/>
  <c r="D56" i="202" s="1"/>
  <c r="C36" i="202"/>
  <c r="C56" i="202" s="1"/>
  <c r="B36" i="202"/>
  <c r="B56" i="202" s="1"/>
  <c r="H35" i="202"/>
  <c r="H55" i="202" s="1"/>
  <c r="G35" i="202"/>
  <c r="G55" i="202" s="1"/>
  <c r="F35" i="202"/>
  <c r="F55" i="202" s="1"/>
  <c r="E35" i="202"/>
  <c r="E55" i="202" s="1"/>
  <c r="D35" i="202"/>
  <c r="D55" i="202" s="1"/>
  <c r="C35" i="202"/>
  <c r="C55" i="202" s="1"/>
  <c r="B35" i="202"/>
  <c r="B55" i="202" s="1"/>
  <c r="H34" i="202"/>
  <c r="H54" i="202" s="1"/>
  <c r="G34" i="202"/>
  <c r="G54" i="202" s="1"/>
  <c r="F34" i="202"/>
  <c r="F54" i="202" s="1"/>
  <c r="E34" i="202"/>
  <c r="E54" i="202" s="1"/>
  <c r="D34" i="202"/>
  <c r="D54" i="202" s="1"/>
  <c r="C34" i="202"/>
  <c r="C54" i="202" s="1"/>
  <c r="B34" i="202"/>
  <c r="B54" i="202" s="1"/>
  <c r="H33" i="202"/>
  <c r="H53" i="202" s="1"/>
  <c r="G33" i="202"/>
  <c r="G53" i="202" s="1"/>
  <c r="F33" i="202"/>
  <c r="F53" i="202" s="1"/>
  <c r="E33" i="202"/>
  <c r="E53" i="202" s="1"/>
  <c r="D33" i="202"/>
  <c r="D53" i="202" s="1"/>
  <c r="C33" i="202"/>
  <c r="C53" i="202" s="1"/>
  <c r="B33" i="202"/>
  <c r="B53" i="202" s="1"/>
  <c r="H32" i="202"/>
  <c r="H52" i="202" s="1"/>
  <c r="G32" i="202"/>
  <c r="G52" i="202" s="1"/>
  <c r="F32" i="202"/>
  <c r="F52" i="202" s="1"/>
  <c r="E32" i="202"/>
  <c r="D32" i="202"/>
  <c r="D52" i="202" s="1"/>
  <c r="C32" i="202"/>
  <c r="C52" i="202" s="1"/>
  <c r="B32" i="202"/>
  <c r="B52" i="202" s="1"/>
  <c r="H31" i="202"/>
  <c r="H51" i="202" s="1"/>
  <c r="G31" i="202"/>
  <c r="G51" i="202" s="1"/>
  <c r="F31" i="202"/>
  <c r="F51" i="202" s="1"/>
  <c r="E31" i="202"/>
  <c r="E51" i="202" s="1"/>
  <c r="D31" i="202"/>
  <c r="C31" i="202"/>
  <c r="C51" i="202" s="1"/>
  <c r="B31" i="202"/>
  <c r="B51" i="202" s="1"/>
  <c r="H30" i="202"/>
  <c r="H50" i="202" s="1"/>
  <c r="G30" i="202"/>
  <c r="G50" i="202" s="1"/>
  <c r="F30" i="202"/>
  <c r="F50" i="202" s="1"/>
  <c r="E30" i="202"/>
  <c r="E50" i="202" s="1"/>
  <c r="D30" i="202"/>
  <c r="D50" i="202" s="1"/>
  <c r="C30" i="202"/>
  <c r="C50" i="202" s="1"/>
  <c r="B30" i="202"/>
  <c r="B50" i="202" s="1"/>
  <c r="H29" i="202"/>
  <c r="H49" i="202" s="1"/>
  <c r="G29" i="202"/>
  <c r="G49" i="202" s="1"/>
  <c r="F29" i="202"/>
  <c r="F49" i="202" s="1"/>
  <c r="E29" i="202"/>
  <c r="E49" i="202" s="1"/>
  <c r="D29" i="202"/>
  <c r="D49" i="202" s="1"/>
  <c r="C29" i="202"/>
  <c r="C49" i="202" s="1"/>
  <c r="B29" i="202"/>
  <c r="B49" i="202" s="1"/>
  <c r="H48" i="202"/>
  <c r="G28" i="202"/>
  <c r="G48" i="202" s="1"/>
  <c r="F28" i="202"/>
  <c r="F48" i="202" s="1"/>
  <c r="E28" i="202"/>
  <c r="E48" i="202" s="1"/>
  <c r="D28" i="202"/>
  <c r="D48" i="202" s="1"/>
  <c r="C28" i="202"/>
  <c r="C48" i="202" s="1"/>
  <c r="B28" i="202"/>
  <c r="B48" i="202" s="1"/>
  <c r="H27" i="202"/>
  <c r="H47" i="202" s="1"/>
  <c r="G27" i="202"/>
  <c r="G47" i="202" s="1"/>
  <c r="F27" i="202"/>
  <c r="F47" i="202" s="1"/>
  <c r="E27" i="202"/>
  <c r="E47" i="202" s="1"/>
  <c r="D27" i="202"/>
  <c r="D47" i="202" s="1"/>
  <c r="C27" i="202"/>
  <c r="C47" i="202" s="1"/>
  <c r="B27" i="202"/>
  <c r="B47" i="202" s="1"/>
  <c r="H26" i="202"/>
  <c r="H46" i="202" s="1"/>
  <c r="G26" i="202"/>
  <c r="G46" i="202" s="1"/>
  <c r="F26" i="202"/>
  <c r="F46" i="202" s="1"/>
  <c r="E26" i="202"/>
  <c r="E46" i="202" s="1"/>
  <c r="D26" i="202"/>
  <c r="D46" i="202" s="1"/>
  <c r="C26" i="202"/>
  <c r="C46" i="202" s="1"/>
  <c r="B26" i="202"/>
  <c r="B46" i="202" s="1"/>
  <c r="H25" i="202"/>
  <c r="H45" i="202" s="1"/>
  <c r="G25" i="202"/>
  <c r="G45" i="202" s="1"/>
  <c r="F25" i="202"/>
  <c r="F45" i="202" s="1"/>
  <c r="E25" i="202"/>
  <c r="E45" i="202" s="1"/>
  <c r="D25" i="202"/>
  <c r="D45" i="202" s="1"/>
  <c r="C25" i="202"/>
  <c r="B25" i="202"/>
  <c r="B45" i="202" s="1"/>
  <c r="M40" i="206"/>
  <c r="H44" i="206"/>
  <c r="B7" i="201"/>
  <c r="C7" i="201"/>
  <c r="K11" i="201"/>
  <c r="S21" i="201"/>
  <c r="K50" i="201"/>
  <c r="BA84" i="1"/>
  <c r="AV84" i="1"/>
  <c r="AQ84" i="1"/>
  <c r="AL84" i="1"/>
  <c r="AG84" i="1"/>
  <c r="AB84" i="1"/>
  <c r="X84" i="1"/>
  <c r="S84" i="1"/>
  <c r="X124" i="1" l="1"/>
  <c r="AB124" i="1"/>
  <c r="AG124" i="1"/>
  <c r="AL124" i="1"/>
  <c r="AQ124" i="1"/>
  <c r="AV124" i="1"/>
  <c r="BA124" i="1"/>
  <c r="D20" i="232"/>
  <c r="D20" i="224"/>
  <c r="D20" i="240"/>
  <c r="U29" i="217"/>
  <c r="U23" i="233"/>
  <c r="U23" i="241"/>
  <c r="U23" i="217"/>
  <c r="U23" i="249"/>
  <c r="U23" i="225"/>
  <c r="E33" i="252"/>
  <c r="M51" i="214"/>
  <c r="E33" i="228"/>
  <c r="M51" i="246"/>
  <c r="B26" i="228"/>
  <c r="C39" i="226"/>
  <c r="B26" i="212"/>
  <c r="S198" i="1" s="1"/>
  <c r="B26" i="244"/>
  <c r="B26" i="236"/>
  <c r="G59" i="250"/>
  <c r="M51" i="254"/>
  <c r="M53" i="254" s="1"/>
  <c r="M51" i="222"/>
  <c r="G59" i="234"/>
  <c r="E33" i="244"/>
  <c r="H59" i="210"/>
  <c r="M51" i="238"/>
  <c r="E33" i="220"/>
  <c r="H59" i="226"/>
  <c r="C39" i="258"/>
  <c r="B59" i="218"/>
  <c r="B26" i="252"/>
  <c r="M51" i="230"/>
  <c r="D13" i="252"/>
  <c r="E26" i="252" s="1"/>
  <c r="B26" i="220"/>
  <c r="C39" i="234"/>
  <c r="B26" i="260"/>
  <c r="B59" i="258"/>
  <c r="E26" i="260"/>
  <c r="D59" i="258"/>
  <c r="E59" i="258"/>
  <c r="F59" i="258"/>
  <c r="D16" i="256"/>
  <c r="O27" i="257" s="1"/>
  <c r="G59" i="258"/>
  <c r="H59" i="258"/>
  <c r="E33" i="260"/>
  <c r="M51" i="262"/>
  <c r="D39" i="258"/>
  <c r="E39" i="258"/>
  <c r="C51" i="258"/>
  <c r="C59" i="258" s="1"/>
  <c r="F39" i="258"/>
  <c r="G39" i="258"/>
  <c r="H39" i="258"/>
  <c r="B39" i="258"/>
  <c r="H59" i="250"/>
  <c r="B59" i="250"/>
  <c r="C59" i="250"/>
  <c r="D59" i="250"/>
  <c r="E59" i="250"/>
  <c r="F59" i="250"/>
  <c r="C39" i="250"/>
  <c r="D39" i="250"/>
  <c r="E39" i="250"/>
  <c r="F39" i="250"/>
  <c r="G39" i="250"/>
  <c r="H39" i="250"/>
  <c r="B39" i="250"/>
  <c r="B59" i="242"/>
  <c r="C59" i="242"/>
  <c r="M44" i="246"/>
  <c r="D59" i="242"/>
  <c r="E59" i="242"/>
  <c r="F59" i="242"/>
  <c r="G59" i="242"/>
  <c r="H59" i="242"/>
  <c r="C39" i="242"/>
  <c r="D39" i="242"/>
  <c r="L44" i="246"/>
  <c r="AQ199" i="1" s="1"/>
  <c r="E39" i="242"/>
  <c r="F39" i="242"/>
  <c r="D13" i="244"/>
  <c r="E26" i="244" s="1"/>
  <c r="G39" i="242"/>
  <c r="H39" i="242"/>
  <c r="B39" i="242"/>
  <c r="M44" i="238"/>
  <c r="H59" i="234"/>
  <c r="B59" i="234"/>
  <c r="D59" i="234"/>
  <c r="E59" i="234"/>
  <c r="F59" i="234"/>
  <c r="E33" i="236"/>
  <c r="D39" i="234"/>
  <c r="L44" i="238"/>
  <c r="AL199" i="1" s="1"/>
  <c r="E39" i="234"/>
  <c r="C51" i="234"/>
  <c r="C59" i="234" s="1"/>
  <c r="F39" i="234"/>
  <c r="D13" i="236"/>
  <c r="E26" i="236" s="1"/>
  <c r="G39" i="234"/>
  <c r="H39" i="234"/>
  <c r="B39" i="234"/>
  <c r="B59" i="226"/>
  <c r="M44" i="230"/>
  <c r="D59" i="226"/>
  <c r="E59" i="226"/>
  <c r="F59" i="226"/>
  <c r="G59" i="226"/>
  <c r="D39" i="226"/>
  <c r="L44" i="230"/>
  <c r="AG199" i="1" s="1"/>
  <c r="E39" i="226"/>
  <c r="C51" i="226"/>
  <c r="C59" i="226" s="1"/>
  <c r="F39" i="226"/>
  <c r="D13" i="228"/>
  <c r="E26" i="228" s="1"/>
  <c r="G39" i="226"/>
  <c r="H39" i="226"/>
  <c r="B39" i="226"/>
  <c r="D59" i="218"/>
  <c r="C59" i="218"/>
  <c r="E59" i="218"/>
  <c r="G59" i="218"/>
  <c r="M44" i="222"/>
  <c r="H59" i="218"/>
  <c r="F59" i="218"/>
  <c r="E26" i="220"/>
  <c r="C39" i="218"/>
  <c r="D39" i="218"/>
  <c r="L44" i="222"/>
  <c r="AB199" i="1" s="1"/>
  <c r="E39" i="218"/>
  <c r="F39" i="218"/>
  <c r="G39" i="218"/>
  <c r="H39" i="218"/>
  <c r="B39" i="218"/>
  <c r="M44" i="214"/>
  <c r="B59" i="210"/>
  <c r="D59" i="210"/>
  <c r="C59" i="210"/>
  <c r="E59" i="210"/>
  <c r="F59" i="210"/>
  <c r="E33" i="212"/>
  <c r="G59" i="210"/>
  <c r="C39" i="210"/>
  <c r="D39" i="210"/>
  <c r="L44" i="214"/>
  <c r="E39" i="210"/>
  <c r="F39" i="210"/>
  <c r="D13" i="212"/>
  <c r="E26" i="212" s="1"/>
  <c r="G39" i="210"/>
  <c r="H39" i="210"/>
  <c r="B39" i="210"/>
  <c r="M51" i="206"/>
  <c r="M44" i="206"/>
  <c r="C39" i="202"/>
  <c r="B39" i="202"/>
  <c r="F59" i="202"/>
  <c r="D39" i="202"/>
  <c r="E39" i="202"/>
  <c r="C45" i="202"/>
  <c r="C59" i="202" s="1"/>
  <c r="E33" i="204"/>
  <c r="E26" i="204"/>
  <c r="B26" i="204"/>
  <c r="B59" i="202"/>
  <c r="H39" i="202"/>
  <c r="G39" i="202"/>
  <c r="H59" i="202"/>
  <c r="G59" i="202"/>
  <c r="F39" i="202"/>
  <c r="E52" i="202"/>
  <c r="E59" i="202" s="1"/>
  <c r="D51" i="202"/>
  <c r="D59" i="202" s="1"/>
  <c r="L44" i="206"/>
  <c r="X199" i="1" l="1"/>
  <c r="S199" i="1"/>
  <c r="E42" i="228"/>
  <c r="E43" i="228" s="1"/>
  <c r="D12" i="224" s="1"/>
  <c r="W25" i="225" s="1"/>
  <c r="E42" i="252"/>
  <c r="E43" i="252" s="1"/>
  <c r="D12" i="248" s="1"/>
  <c r="W25" i="249" s="1"/>
  <c r="M53" i="214"/>
  <c r="M54" i="214" s="1"/>
  <c r="D13" i="208" s="1"/>
  <c r="U29" i="233"/>
  <c r="U29" i="225"/>
  <c r="D20" i="256"/>
  <c r="I47" i="257" s="1"/>
  <c r="D20" i="248"/>
  <c r="I47" i="249" s="1"/>
  <c r="D15" i="256"/>
  <c r="O25" i="257" s="1"/>
  <c r="BA198" i="1"/>
  <c r="D15" i="248"/>
  <c r="O25" i="249" s="1"/>
  <c r="AV198" i="1"/>
  <c r="D15" i="240"/>
  <c r="O25" i="241" s="1"/>
  <c r="AQ198" i="1"/>
  <c r="D15" i="232"/>
  <c r="O25" i="233" s="1"/>
  <c r="AL198" i="1"/>
  <c r="D15" i="224"/>
  <c r="O25" i="225" s="1"/>
  <c r="AG198" i="1"/>
  <c r="D15" i="216"/>
  <c r="O25" i="217" s="1"/>
  <c r="AB198" i="1"/>
  <c r="D15" i="208"/>
  <c r="O25" i="209" s="1"/>
  <c r="X198" i="1"/>
  <c r="D20" i="208"/>
  <c r="I47" i="209" s="1"/>
  <c r="D15" i="200"/>
  <c r="O25" i="201" s="1"/>
  <c r="D20" i="216"/>
  <c r="I47" i="217" s="1"/>
  <c r="M53" i="246"/>
  <c r="M54" i="246" s="1"/>
  <c r="D13" i="240" s="1"/>
  <c r="M53" i="230"/>
  <c r="M54" i="230" s="1"/>
  <c r="D13" i="224" s="1"/>
  <c r="M53" i="222"/>
  <c r="M54" i="222" s="1"/>
  <c r="D13" i="216" s="1"/>
  <c r="E42" i="244"/>
  <c r="E43" i="244" s="1"/>
  <c r="D12" i="240" s="1"/>
  <c r="W25" i="241" s="1"/>
  <c r="E42" i="260"/>
  <c r="E43" i="260" s="1"/>
  <c r="D12" i="256" s="1"/>
  <c r="W25" i="257" s="1"/>
  <c r="H40" i="218"/>
  <c r="AB197" i="1" s="1"/>
  <c r="I47" i="225"/>
  <c r="I47" i="233"/>
  <c r="I47" i="241"/>
  <c r="H40" i="242"/>
  <c r="AQ197" i="1" s="1"/>
  <c r="E42" i="236"/>
  <c r="E43" i="236" s="1"/>
  <c r="D12" i="232" s="1"/>
  <c r="W25" i="233" s="1"/>
  <c r="M53" i="262"/>
  <c r="M54" i="262" s="1"/>
  <c r="D13" i="256" s="1"/>
  <c r="H60" i="218"/>
  <c r="H40" i="250"/>
  <c r="E42" i="220"/>
  <c r="E43" i="220" s="1"/>
  <c r="D12" i="216" s="1"/>
  <c r="W25" i="217" s="1"/>
  <c r="E42" i="212"/>
  <c r="E43" i="212" s="1"/>
  <c r="D12" i="208" s="1"/>
  <c r="W25" i="209" s="1"/>
  <c r="M53" i="238"/>
  <c r="M54" i="238" s="1"/>
  <c r="D13" i="232" s="1"/>
  <c r="H60" i="258"/>
  <c r="H40" i="258"/>
  <c r="BA197" i="1" s="1"/>
  <c r="D16" i="248"/>
  <c r="O27" i="249" s="1"/>
  <c r="M54" i="254"/>
  <c r="D13" i="248" s="1"/>
  <c r="H60" i="250"/>
  <c r="D16" i="240"/>
  <c r="O27" i="241" s="1"/>
  <c r="H60" i="242"/>
  <c r="D16" i="232"/>
  <c r="O27" i="233" s="1"/>
  <c r="H60" i="234"/>
  <c r="H40" i="234"/>
  <c r="AL197" i="1" s="1"/>
  <c r="D16" i="224"/>
  <c r="O27" i="225" s="1"/>
  <c r="H60" i="226"/>
  <c r="H40" i="226"/>
  <c r="AG197" i="1" s="1"/>
  <c r="D16" i="216"/>
  <c r="O27" i="217" s="1"/>
  <c r="D16" i="208"/>
  <c r="O27" i="209" s="1"/>
  <c r="H60" i="210"/>
  <c r="H40" i="210"/>
  <c r="E42" i="204"/>
  <c r="E43" i="204" s="1"/>
  <c r="D12" i="200" s="1"/>
  <c r="W25" i="201" s="1"/>
  <c r="M53" i="206"/>
  <c r="M54" i="206" s="1"/>
  <c r="D13" i="200" s="1"/>
  <c r="H40" i="202"/>
  <c r="H60" i="202"/>
  <c r="D16" i="200"/>
  <c r="O27" i="201" s="1"/>
  <c r="X197" i="1" l="1"/>
  <c r="S197" i="1"/>
  <c r="W27" i="201"/>
  <c r="W27" i="209"/>
  <c r="W27" i="217"/>
  <c r="W27" i="225"/>
  <c r="W27" i="249"/>
  <c r="W27" i="241"/>
  <c r="W27" i="233"/>
  <c r="W27" i="257"/>
  <c r="U29" i="241"/>
  <c r="D14" i="248"/>
  <c r="O23" i="249" s="1"/>
  <c r="AV197" i="1"/>
  <c r="H61" i="242"/>
  <c r="D11" i="240" s="1"/>
  <c r="W10" i="241" s="1"/>
  <c r="W11" i="241" s="1"/>
  <c r="S23" i="241" s="1"/>
  <c r="W23" i="241" s="1"/>
  <c r="D14" i="240"/>
  <c r="O23" i="241" s="1"/>
  <c r="H61" i="218"/>
  <c r="D14" i="200"/>
  <c r="O23" i="201" s="1"/>
  <c r="H61" i="250"/>
  <c r="D11" i="248" s="1"/>
  <c r="W10" i="249" s="1"/>
  <c r="W11" i="249" s="1"/>
  <c r="S23" i="249" s="1"/>
  <c r="W23" i="249" s="1"/>
  <c r="D14" i="216"/>
  <c r="O23" i="217" s="1"/>
  <c r="D14" i="256"/>
  <c r="O23" i="257" s="1"/>
  <c r="H61" i="258"/>
  <c r="D11" i="256" s="1"/>
  <c r="W10" i="257" s="1"/>
  <c r="W11" i="257" s="1"/>
  <c r="S23" i="257" s="1"/>
  <c r="W23" i="257" s="1"/>
  <c r="D14" i="232"/>
  <c r="O23" i="233" s="1"/>
  <c r="H61" i="234"/>
  <c r="D14" i="224"/>
  <c r="O23" i="225" s="1"/>
  <c r="H61" i="226"/>
  <c r="D14" i="208"/>
  <c r="O23" i="209" s="1"/>
  <c r="H61" i="210"/>
  <c r="H61" i="202"/>
  <c r="D11" i="200" s="1"/>
  <c r="W10" i="201" s="1"/>
  <c r="W11" i="201" s="1"/>
  <c r="S23" i="201" s="1"/>
  <c r="W23" i="201" s="1"/>
  <c r="D11" i="216" l="1"/>
  <c r="W10" i="217" s="1"/>
  <c r="W11" i="217" s="1"/>
  <c r="S23" i="217" s="1"/>
  <c r="W23" i="217" s="1"/>
  <c r="D11" i="208"/>
  <c r="W10" i="209" s="1"/>
  <c r="W11" i="209" s="1"/>
  <c r="S23" i="209" s="1"/>
  <c r="W23" i="209" s="1"/>
  <c r="D11" i="232"/>
  <c r="W10" i="233" s="1"/>
  <c r="W11" i="233" s="1"/>
  <c r="S23" i="233" s="1"/>
  <c r="W23" i="233" s="1"/>
  <c r="D11" i="224"/>
  <c r="W10" i="225" s="1"/>
  <c r="W11" i="225" s="1"/>
  <c r="S23" i="225" s="1"/>
  <c r="W23" i="225" s="1"/>
  <c r="U29" i="257"/>
  <c r="U29" i="249"/>
  <c r="C10" i="159" l="1"/>
  <c r="C10" i="152"/>
  <c r="E10" i="152" s="1"/>
  <c r="C10" i="30"/>
  <c r="E10" i="30" s="1"/>
  <c r="C8" i="30"/>
  <c r="E8" i="30" s="1"/>
  <c r="C10" i="23"/>
  <c r="E10" i="23" s="1"/>
  <c r="C8" i="23"/>
  <c r="E8" i="23" s="1"/>
  <c r="C10" i="16"/>
  <c r="E10" i="16" s="1"/>
  <c r="C8" i="16"/>
  <c r="E8" i="16" s="1"/>
  <c r="C8" i="138"/>
  <c r="E8" i="138" s="1"/>
  <c r="H55" i="171"/>
  <c r="J22" i="170" s="1"/>
  <c r="H37" i="171"/>
  <c r="H16" i="171"/>
  <c r="J34" i="170"/>
  <c r="M34" i="170" s="1"/>
  <c r="B34" i="170"/>
  <c r="J32" i="170"/>
  <c r="O32" i="170" s="1"/>
  <c r="B32" i="170"/>
  <c r="J26" i="170"/>
  <c r="J34" i="169"/>
  <c r="M34" i="169" s="1"/>
  <c r="B34" i="169"/>
  <c r="J32" i="169"/>
  <c r="Q32" i="169" s="1"/>
  <c r="B32" i="169"/>
  <c r="J22" i="169"/>
  <c r="J34" i="168"/>
  <c r="M34" i="168" s="1"/>
  <c r="B34" i="168"/>
  <c r="J32" i="168"/>
  <c r="O32" i="168" s="1"/>
  <c r="B32" i="168"/>
  <c r="J26" i="168"/>
  <c r="J34" i="167"/>
  <c r="Q34" i="167" s="1"/>
  <c r="B34" i="167"/>
  <c r="J32" i="167"/>
  <c r="O32" i="167" s="1"/>
  <c r="B32" i="167"/>
  <c r="H55" i="164"/>
  <c r="J22" i="160" s="1"/>
  <c r="H37" i="164"/>
  <c r="H16" i="164"/>
  <c r="J34" i="163"/>
  <c r="Q34" i="163" s="1"/>
  <c r="B34" i="163"/>
  <c r="J32" i="163"/>
  <c r="Q32" i="163" s="1"/>
  <c r="B32" i="163"/>
  <c r="J26" i="163"/>
  <c r="J34" i="162"/>
  <c r="O34" i="162" s="1"/>
  <c r="B34" i="162"/>
  <c r="J32" i="162"/>
  <c r="Q32" i="162" s="1"/>
  <c r="B32" i="162"/>
  <c r="J34" i="161"/>
  <c r="O34" i="161" s="1"/>
  <c r="B34" i="161"/>
  <c r="J32" i="161"/>
  <c r="Q32" i="161" s="1"/>
  <c r="B32" i="161"/>
  <c r="J26" i="161"/>
  <c r="J34" i="160"/>
  <c r="Q34" i="160" s="1"/>
  <c r="B34" i="160"/>
  <c r="J32" i="160"/>
  <c r="M32" i="160" s="1"/>
  <c r="B32" i="160"/>
  <c r="H55" i="157"/>
  <c r="J22" i="155" s="1"/>
  <c r="H37" i="157"/>
  <c r="H16" i="157"/>
  <c r="J34" i="156"/>
  <c r="Q34" i="156" s="1"/>
  <c r="B34" i="156"/>
  <c r="J32" i="156"/>
  <c r="Q32" i="156" s="1"/>
  <c r="B32" i="156"/>
  <c r="J26" i="156"/>
  <c r="J34" i="155"/>
  <c r="Q34" i="155" s="1"/>
  <c r="B34" i="155"/>
  <c r="J32" i="155"/>
  <c r="Q32" i="155" s="1"/>
  <c r="B32" i="155"/>
  <c r="J34" i="154"/>
  <c r="Q34" i="154" s="1"/>
  <c r="B34" i="154"/>
  <c r="J32" i="154"/>
  <c r="Q32" i="154" s="1"/>
  <c r="B32" i="154"/>
  <c r="J26" i="154"/>
  <c r="J34" i="153"/>
  <c r="Q34" i="153" s="1"/>
  <c r="B34" i="153"/>
  <c r="J32" i="153"/>
  <c r="O32" i="153" s="1"/>
  <c r="B32" i="153"/>
  <c r="H55" i="150"/>
  <c r="J22" i="149" s="1"/>
  <c r="H37" i="150"/>
  <c r="H16" i="150"/>
  <c r="J34" i="149"/>
  <c r="Q34" i="149" s="1"/>
  <c r="B34" i="149"/>
  <c r="J32" i="149"/>
  <c r="Q32" i="149" s="1"/>
  <c r="B32" i="149"/>
  <c r="J26" i="149"/>
  <c r="J34" i="148"/>
  <c r="Q34" i="148" s="1"/>
  <c r="B34" i="148"/>
  <c r="J32" i="148"/>
  <c r="Q32" i="148" s="1"/>
  <c r="B32" i="148"/>
  <c r="J22" i="148"/>
  <c r="J34" i="147"/>
  <c r="Q34" i="147" s="1"/>
  <c r="B34" i="147"/>
  <c r="J32" i="147"/>
  <c r="Q32" i="147" s="1"/>
  <c r="B32" i="147"/>
  <c r="J26" i="147"/>
  <c r="J34" i="146"/>
  <c r="O34" i="146" s="1"/>
  <c r="B34" i="146"/>
  <c r="J32" i="146"/>
  <c r="O32" i="146" s="1"/>
  <c r="B32" i="146"/>
  <c r="C10" i="145"/>
  <c r="H55" i="143"/>
  <c r="J22" i="139" s="1"/>
  <c r="H37" i="143"/>
  <c r="H16" i="143"/>
  <c r="J34" i="142"/>
  <c r="Q34" i="142" s="1"/>
  <c r="B34" i="142"/>
  <c r="J32" i="142"/>
  <c r="Q32" i="142" s="1"/>
  <c r="B32" i="142"/>
  <c r="J26" i="142"/>
  <c r="J34" i="141"/>
  <c r="Q34" i="141" s="1"/>
  <c r="B34" i="141"/>
  <c r="J32" i="141"/>
  <c r="O32" i="141" s="1"/>
  <c r="B32" i="141"/>
  <c r="J34" i="140"/>
  <c r="Q34" i="140" s="1"/>
  <c r="B34" i="140"/>
  <c r="J32" i="140"/>
  <c r="M32" i="140" s="1"/>
  <c r="B32" i="140"/>
  <c r="J26" i="140"/>
  <c r="J34" i="139"/>
  <c r="Q34" i="139" s="1"/>
  <c r="B34" i="139"/>
  <c r="J32" i="139"/>
  <c r="Q32" i="139" s="1"/>
  <c r="B32" i="139"/>
  <c r="Y142" i="1"/>
  <c r="X142" i="1"/>
  <c r="C4" i="16"/>
  <c r="BA90" i="1"/>
  <c r="BA142" i="1" s="1"/>
  <c r="AV90" i="1"/>
  <c r="J22" i="167" l="1"/>
  <c r="J22" i="146"/>
  <c r="O32" i="148"/>
  <c r="M32" i="139"/>
  <c r="O32" i="161"/>
  <c r="J22" i="141"/>
  <c r="O32" i="160"/>
  <c r="Q32" i="160"/>
  <c r="J22" i="140"/>
  <c r="O32" i="147"/>
  <c r="Q34" i="146"/>
  <c r="M34" i="142"/>
  <c r="J22" i="147"/>
  <c r="M34" i="167"/>
  <c r="Q32" i="146"/>
  <c r="J22" i="154"/>
  <c r="J22" i="168"/>
  <c r="O34" i="141"/>
  <c r="M34" i="163"/>
  <c r="Q34" i="169"/>
  <c r="M32" i="169"/>
  <c r="M32" i="142"/>
  <c r="M34" i="156"/>
  <c r="M32" i="163"/>
  <c r="O32" i="169"/>
  <c r="M32" i="170"/>
  <c r="O34" i="156"/>
  <c r="O32" i="163"/>
  <c r="Q32" i="170"/>
  <c r="O32" i="139"/>
  <c r="O32" i="140"/>
  <c r="Q32" i="141"/>
  <c r="O32" i="142"/>
  <c r="M32" i="149"/>
  <c r="M32" i="155"/>
  <c r="O32" i="162"/>
  <c r="Q32" i="140"/>
  <c r="O32" i="149"/>
  <c r="J22" i="153"/>
  <c r="O32" i="155"/>
  <c r="J22" i="163"/>
  <c r="O34" i="140"/>
  <c r="M34" i="149"/>
  <c r="Q32" i="153"/>
  <c r="J22" i="156"/>
  <c r="O34" i="163"/>
  <c r="O34" i="168"/>
  <c r="O34" i="149"/>
  <c r="J22" i="162"/>
  <c r="Q34" i="168"/>
  <c r="J22" i="161"/>
  <c r="O34" i="169"/>
  <c r="D18" i="216"/>
  <c r="I43" i="217" s="1"/>
  <c r="D18" i="208"/>
  <c r="I43" i="209" s="1"/>
  <c r="C7" i="16"/>
  <c r="E7" i="16" s="1"/>
  <c r="AC77" i="1"/>
  <c r="C7" i="23"/>
  <c r="E7" i="23" s="1"/>
  <c r="E4" i="16"/>
  <c r="C4" i="23"/>
  <c r="E10" i="159"/>
  <c r="E10" i="138"/>
  <c r="F18" i="140" s="1"/>
  <c r="H31" i="143"/>
  <c r="H39" i="143" s="1"/>
  <c r="H41" i="143" s="1"/>
  <c r="H43" i="143" s="1"/>
  <c r="Q32" i="168"/>
  <c r="Q32" i="167"/>
  <c r="O34" i="170"/>
  <c r="Q34" i="170"/>
  <c r="O34" i="167"/>
  <c r="M32" i="168"/>
  <c r="M32" i="167"/>
  <c r="M34" i="161"/>
  <c r="M34" i="162"/>
  <c r="M34" i="160"/>
  <c r="Q34" i="161"/>
  <c r="Q34" i="162"/>
  <c r="H31" i="164"/>
  <c r="H39" i="164" s="1"/>
  <c r="H41" i="164" s="1"/>
  <c r="H43" i="164" s="1"/>
  <c r="O34" i="160"/>
  <c r="M32" i="161"/>
  <c r="M32" i="162"/>
  <c r="M34" i="154"/>
  <c r="M34" i="155"/>
  <c r="O34" i="154"/>
  <c r="O34" i="155"/>
  <c r="M32" i="156"/>
  <c r="H31" i="157"/>
  <c r="H39" i="157" s="1"/>
  <c r="H41" i="157" s="1"/>
  <c r="H43" i="157" s="1"/>
  <c r="J26" i="153" s="1"/>
  <c r="M34" i="153"/>
  <c r="O32" i="156"/>
  <c r="O34" i="153"/>
  <c r="M32" i="154"/>
  <c r="O32" i="154"/>
  <c r="M32" i="153"/>
  <c r="M34" i="147"/>
  <c r="M34" i="148"/>
  <c r="O34" i="147"/>
  <c r="O34" i="148"/>
  <c r="H31" i="150"/>
  <c r="H39" i="150" s="1"/>
  <c r="H41" i="150" s="1"/>
  <c r="H43" i="150" s="1"/>
  <c r="M34" i="146"/>
  <c r="M32" i="147"/>
  <c r="M32" i="148"/>
  <c r="E10" i="145"/>
  <c r="M32" i="146"/>
  <c r="J22" i="142"/>
  <c r="O34" i="142"/>
  <c r="M34" i="140"/>
  <c r="M34" i="141"/>
  <c r="M34" i="139"/>
  <c r="O34" i="139"/>
  <c r="M32" i="141"/>
  <c r="AC212" i="1" l="1"/>
  <c r="AC78" i="1"/>
  <c r="Y80" i="1"/>
  <c r="AC226" i="1" s="1"/>
  <c r="AC79" i="1"/>
  <c r="Y79" i="1"/>
  <c r="D19" i="216"/>
  <c r="D19" i="208"/>
  <c r="AB200" i="1"/>
  <c r="D17" i="216"/>
  <c r="O29" i="217" s="1"/>
  <c r="O31" i="217" s="1"/>
  <c r="J26" i="160"/>
  <c r="H18" i="160"/>
  <c r="J26" i="162"/>
  <c r="J26" i="141"/>
  <c r="J26" i="139"/>
  <c r="H18" i="139"/>
  <c r="J26" i="146"/>
  <c r="H18" i="146"/>
  <c r="J26" i="148"/>
  <c r="AM11" i="1"/>
  <c r="J26" i="155"/>
  <c r="H18" i="153"/>
  <c r="E4" i="23"/>
  <c r="AC80" i="1" s="1"/>
  <c r="J18" i="140"/>
  <c r="J18" i="139"/>
  <c r="M18" i="139" s="1"/>
  <c r="Q18" i="139" s="1"/>
  <c r="G10" i="138"/>
  <c r="J18" i="160"/>
  <c r="M18" i="160" s="1"/>
  <c r="Q18" i="160" s="1"/>
  <c r="G10" i="159"/>
  <c r="J18" i="161"/>
  <c r="F18" i="161"/>
  <c r="J18" i="153"/>
  <c r="M18" i="153" s="1"/>
  <c r="Q18" i="153" s="1"/>
  <c r="G10" i="152"/>
  <c r="J18" i="154"/>
  <c r="F18" i="154"/>
  <c r="J18" i="146"/>
  <c r="M18" i="146" s="1"/>
  <c r="Q18" i="146" s="1"/>
  <c r="G10" i="145"/>
  <c r="J18" i="147"/>
  <c r="F18" i="147"/>
  <c r="D21" i="216"/>
  <c r="Y212" i="1" l="1"/>
  <c r="Y231" i="1" s="1"/>
  <c r="Y78" i="1"/>
  <c r="AH226" i="1"/>
  <c r="AC230" i="1"/>
  <c r="AC441" i="1" s="1"/>
  <c r="AC283" i="1"/>
  <c r="Y41" i="1"/>
  <c r="AC41" i="1"/>
  <c r="AC6" i="1"/>
  <c r="D17" i="208"/>
  <c r="O29" i="209" s="1"/>
  <c r="O31" i="209" s="1"/>
  <c r="X200" i="1"/>
  <c r="D21" i="208"/>
  <c r="M18" i="161"/>
  <c r="Q18" i="161" s="1"/>
  <c r="O18" i="161" s="1"/>
  <c r="P18" i="161" s="1"/>
  <c r="M18" i="154"/>
  <c r="Q18" i="154" s="1"/>
  <c r="O18" i="154" s="1"/>
  <c r="P18" i="154" s="1"/>
  <c r="M18" i="140"/>
  <c r="Q18" i="140" s="1"/>
  <c r="O18" i="140" s="1"/>
  <c r="P18" i="140" s="1"/>
  <c r="M18" i="147"/>
  <c r="Q18" i="147" s="1"/>
  <c r="O18" i="147" s="1"/>
  <c r="P18" i="147" s="1"/>
  <c r="Y81" i="1"/>
  <c r="AR11" i="1"/>
  <c r="AC81" i="1"/>
  <c r="J18" i="141"/>
  <c r="J18" i="142"/>
  <c r="F18" i="139"/>
  <c r="O18" i="139"/>
  <c r="P18" i="139" s="1"/>
  <c r="J18" i="162"/>
  <c r="J18" i="163"/>
  <c r="F18" i="160"/>
  <c r="O18" i="160"/>
  <c r="P18" i="160" s="1"/>
  <c r="J18" i="155"/>
  <c r="J18" i="156"/>
  <c r="F18" i="153"/>
  <c r="O18" i="153"/>
  <c r="P18" i="153" s="1"/>
  <c r="J18" i="148"/>
  <c r="J18" i="149"/>
  <c r="F18" i="146"/>
  <c r="O18" i="146"/>
  <c r="P18" i="146" s="1"/>
  <c r="AC442" i="1" l="1"/>
  <c r="AC445" i="1"/>
  <c r="AC7" i="1"/>
  <c r="AW11" i="1"/>
  <c r="F18" i="142"/>
  <c r="M18" i="142"/>
  <c r="Q18" i="142" s="1"/>
  <c r="O18" i="142" s="1"/>
  <c r="P18" i="142" s="1"/>
  <c r="H18" i="141"/>
  <c r="F18" i="141"/>
  <c r="M18" i="141"/>
  <c r="Q18" i="141" s="1"/>
  <c r="O18" i="141" s="1"/>
  <c r="P18" i="141" s="1"/>
  <c r="M18" i="163"/>
  <c r="Q18" i="163" s="1"/>
  <c r="O18" i="163" s="1"/>
  <c r="P18" i="163" s="1"/>
  <c r="F18" i="163"/>
  <c r="M18" i="162"/>
  <c r="Q18" i="162" s="1"/>
  <c r="O18" i="162" s="1"/>
  <c r="P18" i="162" s="1"/>
  <c r="H18" i="162"/>
  <c r="F18" i="162"/>
  <c r="M18" i="156"/>
  <c r="Q18" i="156" s="1"/>
  <c r="O18" i="156" s="1"/>
  <c r="P18" i="156" s="1"/>
  <c r="F18" i="156"/>
  <c r="M18" i="155"/>
  <c r="Q18" i="155" s="1"/>
  <c r="O18" i="155" s="1"/>
  <c r="P18" i="155" s="1"/>
  <c r="H18" i="155"/>
  <c r="F18" i="155"/>
  <c r="M18" i="149"/>
  <c r="Q18" i="149" s="1"/>
  <c r="O18" i="149" s="1"/>
  <c r="P18" i="149" s="1"/>
  <c r="F18" i="149"/>
  <c r="M18" i="148"/>
  <c r="Q18" i="148" s="1"/>
  <c r="O18" i="148" s="1"/>
  <c r="P18" i="148" s="1"/>
  <c r="H18" i="148"/>
  <c r="F18" i="148"/>
  <c r="BB11" i="1" l="1"/>
  <c r="C4" i="138" l="1"/>
  <c r="C10" i="166"/>
  <c r="AV163" i="1"/>
  <c r="AV142" i="1" s="1"/>
  <c r="AQ163" i="1"/>
  <c r="AL163" i="1"/>
  <c r="AQ165" i="1" l="1"/>
  <c r="AQ170" i="1" s="1"/>
  <c r="AQ118" i="1" s="1"/>
  <c r="AL165" i="1"/>
  <c r="AL170" i="1" s="1"/>
  <c r="AL118" i="1" s="1"/>
  <c r="AV165" i="1"/>
  <c r="AV170" i="1" s="1"/>
  <c r="AV118" i="1" s="1"/>
  <c r="D17" i="256"/>
  <c r="O29" i="257" s="1"/>
  <c r="O31" i="257" s="1"/>
  <c r="D17" i="240"/>
  <c r="O29" i="241" s="1"/>
  <c r="O31" i="241" s="1"/>
  <c r="D17" i="248"/>
  <c r="O29" i="249" s="1"/>
  <c r="O31" i="249" s="1"/>
  <c r="D17" i="232"/>
  <c r="O29" i="233" s="1"/>
  <c r="O31" i="233" s="1"/>
  <c r="C7" i="159"/>
  <c r="E7" i="159" s="1"/>
  <c r="C8" i="159"/>
  <c r="E8" i="159" s="1"/>
  <c r="C8" i="152"/>
  <c r="E8" i="152" s="1"/>
  <c r="C7" i="30"/>
  <c r="E7" i="30" s="1"/>
  <c r="C8" i="166"/>
  <c r="E8" i="166" s="1"/>
  <c r="C7" i="152"/>
  <c r="E7" i="152" s="1"/>
  <c r="E7" i="166"/>
  <c r="C4" i="30"/>
  <c r="AH77" i="1"/>
  <c r="AH212" i="1" s="1"/>
  <c r="AW77" i="1"/>
  <c r="AW212" i="1" s="1"/>
  <c r="C4" i="159"/>
  <c r="BB77" i="1"/>
  <c r="BB212" i="1" s="1"/>
  <c r="C4" i="166"/>
  <c r="AM77" i="1"/>
  <c r="AM212" i="1" s="1"/>
  <c r="E4" i="138"/>
  <c r="C7" i="138"/>
  <c r="E7" i="138" s="1"/>
  <c r="C4" i="152"/>
  <c r="AR77" i="1"/>
  <c r="AR212" i="1" s="1"/>
  <c r="E10" i="166"/>
  <c r="H31" i="171"/>
  <c r="H39" i="171" s="1"/>
  <c r="H41" i="171" s="1"/>
  <c r="H43" i="171" s="1"/>
  <c r="C8" i="145"/>
  <c r="C7" i="145"/>
  <c r="E7" i="145" s="1"/>
  <c r="C4" i="145"/>
  <c r="T165" i="1"/>
  <c r="AM78" i="1" l="1"/>
  <c r="AW78" i="1"/>
  <c r="BB78" i="1"/>
  <c r="AR78" i="1"/>
  <c r="AH78" i="1"/>
  <c r="AH79" i="1"/>
  <c r="AR79" i="1"/>
  <c r="AM79" i="1"/>
  <c r="AW79" i="1"/>
  <c r="T79" i="1"/>
  <c r="T170" i="1"/>
  <c r="T118" i="1" s="1"/>
  <c r="BA200" i="1"/>
  <c r="D19" i="240"/>
  <c r="I45" i="241" s="1"/>
  <c r="AR165" i="1"/>
  <c r="AR170" i="1" s="1"/>
  <c r="AR118" i="1" s="1"/>
  <c r="D19" i="232"/>
  <c r="I45" i="233" s="1"/>
  <c r="AM165" i="1"/>
  <c r="AM170" i="1" s="1"/>
  <c r="AM118" i="1" s="1"/>
  <c r="AV200" i="1"/>
  <c r="AL200" i="1"/>
  <c r="AQ200" i="1"/>
  <c r="I45" i="209"/>
  <c r="I45" i="217"/>
  <c r="I49" i="209"/>
  <c r="I49" i="217"/>
  <c r="D19" i="200"/>
  <c r="I45" i="201" s="1"/>
  <c r="T80" i="1"/>
  <c r="J26" i="169"/>
  <c r="J26" i="167"/>
  <c r="H18" i="167"/>
  <c r="E4" i="166"/>
  <c r="BB80" i="1" s="1"/>
  <c r="BB230" i="1" s="1"/>
  <c r="BB79" i="1"/>
  <c r="E4" i="159"/>
  <c r="G10" i="166"/>
  <c r="F18" i="168"/>
  <c r="J18" i="167"/>
  <c r="J18" i="168"/>
  <c r="E4" i="152"/>
  <c r="E4" i="30"/>
  <c r="H13" i="164"/>
  <c r="G7" i="145"/>
  <c r="H10" i="157"/>
  <c r="G7" i="159"/>
  <c r="G7" i="152"/>
  <c r="H10" i="171"/>
  <c r="E4" i="145"/>
  <c r="H10" i="150"/>
  <c r="H13" i="143"/>
  <c r="H10" i="164"/>
  <c r="H10" i="143"/>
  <c r="H13" i="157"/>
  <c r="G7" i="138"/>
  <c r="H13" i="171"/>
  <c r="G7" i="166"/>
  <c r="H13" i="150"/>
  <c r="E8" i="145"/>
  <c r="Y283" i="1" l="1"/>
  <c r="T230" i="1"/>
  <c r="T41" i="1"/>
  <c r="AM80" i="1"/>
  <c r="AW80" i="1"/>
  <c r="AH80" i="1"/>
  <c r="AR80" i="1"/>
  <c r="BB41" i="1"/>
  <c r="AR41" i="1"/>
  <c r="AM41" i="1"/>
  <c r="AH41" i="1"/>
  <c r="AW41" i="1"/>
  <c r="D19" i="248"/>
  <c r="I45" i="249" s="1"/>
  <c r="AW165" i="1"/>
  <c r="AW170" i="1" s="1"/>
  <c r="AW118" i="1" s="1"/>
  <c r="I51" i="217"/>
  <c r="I51" i="209"/>
  <c r="BB81" i="1"/>
  <c r="M18" i="168"/>
  <c r="Q18" i="168" s="1"/>
  <c r="M18" i="167"/>
  <c r="Q18" i="167" s="1"/>
  <c r="F18" i="167"/>
  <c r="J18" i="169"/>
  <c r="J18" i="170"/>
  <c r="K13" i="143"/>
  <c r="B26" i="143" s="1"/>
  <c r="E9" i="152"/>
  <c r="G8" i="152"/>
  <c r="K13" i="171"/>
  <c r="B26" i="171" s="1"/>
  <c r="K10" i="171"/>
  <c r="B25" i="171" s="1"/>
  <c r="H18" i="171"/>
  <c r="H20" i="171" s="1"/>
  <c r="H22" i="171" s="1"/>
  <c r="K10" i="143"/>
  <c r="B25" i="143" s="1"/>
  <c r="H18" i="143"/>
  <c r="H20" i="143" s="1"/>
  <c r="H22" i="143" s="1"/>
  <c r="G8" i="166"/>
  <c r="E9" i="166"/>
  <c r="F6" i="168"/>
  <c r="J7" i="167"/>
  <c r="M7" i="167" s="1"/>
  <c r="Q7" i="167" s="1"/>
  <c r="O7" i="167" s="1"/>
  <c r="F7" i="167"/>
  <c r="G4" i="166"/>
  <c r="J6" i="168"/>
  <c r="M6" i="168" s="1"/>
  <c r="Q6" i="168" s="1"/>
  <c r="O6" i="168" s="1"/>
  <c r="P6" i="168" s="1"/>
  <c r="K13" i="164"/>
  <c r="B26" i="164" s="1"/>
  <c r="H18" i="164"/>
  <c r="H20" i="164" s="1"/>
  <c r="H22" i="164" s="1"/>
  <c r="K10" i="164"/>
  <c r="B25" i="164" s="1"/>
  <c r="K13" i="150"/>
  <c r="B26" i="150" s="1"/>
  <c r="K10" i="150"/>
  <c r="B25" i="150" s="1"/>
  <c r="H18" i="150"/>
  <c r="H20" i="150" s="1"/>
  <c r="H22" i="150" s="1"/>
  <c r="J7" i="153"/>
  <c r="M7" i="153" s="1"/>
  <c r="Q7" i="153" s="1"/>
  <c r="O7" i="153" s="1"/>
  <c r="P7" i="153" s="1"/>
  <c r="J6" i="154"/>
  <c r="M6" i="154" s="1"/>
  <c r="Q6" i="154" s="1"/>
  <c r="O6" i="154" s="1"/>
  <c r="P6" i="154" s="1"/>
  <c r="F6" i="154"/>
  <c r="F7" i="153"/>
  <c r="G4" i="152"/>
  <c r="F7" i="160"/>
  <c r="F6" i="161"/>
  <c r="G4" i="159"/>
  <c r="J7" i="160"/>
  <c r="M7" i="160" s="1"/>
  <c r="Q7" i="160" s="1"/>
  <c r="O7" i="160" s="1"/>
  <c r="P7" i="160" s="1"/>
  <c r="J6" i="161"/>
  <c r="M6" i="161" s="1"/>
  <c r="Q6" i="161" s="1"/>
  <c r="O6" i="161" s="1"/>
  <c r="P6" i="161" s="1"/>
  <c r="F7" i="146"/>
  <c r="F6" i="147"/>
  <c r="G4" i="145"/>
  <c r="J7" i="146"/>
  <c r="M7" i="146" s="1"/>
  <c r="Q7" i="146" s="1"/>
  <c r="O7" i="146" s="1"/>
  <c r="P7" i="146" s="1"/>
  <c r="J6" i="147"/>
  <c r="M6" i="147" s="1"/>
  <c r="Q6" i="147" s="1"/>
  <c r="O6" i="147" s="1"/>
  <c r="P6" i="147" s="1"/>
  <c r="K13" i="157"/>
  <c r="B26" i="157" s="1"/>
  <c r="K10" i="157"/>
  <c r="B25" i="157" s="1"/>
  <c r="H18" i="157"/>
  <c r="H20" i="157" s="1"/>
  <c r="H22" i="157" s="1"/>
  <c r="G8" i="159"/>
  <c r="E9" i="159"/>
  <c r="E9" i="145"/>
  <c r="G8" i="145"/>
  <c r="J6" i="140"/>
  <c r="M6" i="140" s="1"/>
  <c r="Q6" i="140" s="1"/>
  <c r="O6" i="140" s="1"/>
  <c r="P6" i="140" s="1"/>
  <c r="F7" i="139"/>
  <c r="F6" i="140"/>
  <c r="G4" i="138"/>
  <c r="J7" i="139"/>
  <c r="M7" i="139" s="1"/>
  <c r="Q7" i="139" s="1"/>
  <c r="O7" i="139" s="1"/>
  <c r="P7" i="139" s="1"/>
  <c r="G8" i="138"/>
  <c r="E9" i="138"/>
  <c r="AW142" i="1"/>
  <c r="BB142" i="1"/>
  <c r="AM226" i="1" l="1"/>
  <c r="AH230" i="1"/>
  <c r="BB226" i="1"/>
  <c r="AW230" i="1"/>
  <c r="AR226" i="1"/>
  <c r="AM230" i="1"/>
  <c r="AW226" i="1"/>
  <c r="AR230" i="1"/>
  <c r="AM283" i="1"/>
  <c r="BB283" i="1"/>
  <c r="AR283" i="1"/>
  <c r="AH6" i="1"/>
  <c r="AM6" i="1" s="1"/>
  <c r="AW283" i="1"/>
  <c r="AR81" i="1"/>
  <c r="AH81" i="1"/>
  <c r="AW81" i="1"/>
  <c r="AM81" i="1"/>
  <c r="AH283" i="1"/>
  <c r="T283" i="1"/>
  <c r="D19" i="256"/>
  <c r="I45" i="257" s="1"/>
  <c r="D19" i="224"/>
  <c r="I45" i="225" s="1"/>
  <c r="AH165" i="1"/>
  <c r="AH170" i="1" s="1"/>
  <c r="AH118" i="1" s="1"/>
  <c r="D18" i="256"/>
  <c r="I43" i="257" s="1"/>
  <c r="D18" i="248"/>
  <c r="I43" i="249" s="1"/>
  <c r="O18" i="168"/>
  <c r="P18" i="168" s="1"/>
  <c r="O18" i="167"/>
  <c r="P18" i="167" s="1"/>
  <c r="M18" i="170"/>
  <c r="Q18" i="170" s="1"/>
  <c r="F18" i="170"/>
  <c r="M18" i="169"/>
  <c r="Q18" i="169" s="1"/>
  <c r="H18" i="169"/>
  <c r="F18" i="169"/>
  <c r="F7" i="156"/>
  <c r="J7" i="155"/>
  <c r="M7" i="155" s="1"/>
  <c r="Q7" i="155" s="1"/>
  <c r="O7" i="155" s="1"/>
  <c r="P7" i="155" s="1"/>
  <c r="J7" i="156"/>
  <c r="M7" i="156" s="1"/>
  <c r="Q7" i="156" s="1"/>
  <c r="O7" i="156" s="1"/>
  <c r="P7" i="156" s="1"/>
  <c r="F7" i="155"/>
  <c r="D26" i="164"/>
  <c r="D25" i="164"/>
  <c r="H25" i="164" s="1"/>
  <c r="H26" i="164" s="1"/>
  <c r="J24" i="160"/>
  <c r="J29" i="160" s="1"/>
  <c r="M29" i="160" s="1"/>
  <c r="Q29" i="160" s="1"/>
  <c r="O29" i="160" s="1"/>
  <c r="P29" i="160" s="1"/>
  <c r="J24" i="162"/>
  <c r="J29" i="162" s="1"/>
  <c r="M29" i="162" s="1"/>
  <c r="Q29" i="162" s="1"/>
  <c r="O29" i="162" s="1"/>
  <c r="P29" i="162" s="1"/>
  <c r="J24" i="161"/>
  <c r="J29" i="161" s="1"/>
  <c r="M29" i="161" s="1"/>
  <c r="Q29" i="161" s="1"/>
  <c r="O29" i="161" s="1"/>
  <c r="P29" i="161" s="1"/>
  <c r="J24" i="163"/>
  <c r="J29" i="163" s="1"/>
  <c r="M29" i="163" s="1"/>
  <c r="Q29" i="163" s="1"/>
  <c r="O29" i="163" s="1"/>
  <c r="P29" i="163" s="1"/>
  <c r="G9" i="145"/>
  <c r="J24" i="168"/>
  <c r="J29" i="168" s="1"/>
  <c r="M29" i="168" s="1"/>
  <c r="Q29" i="168" s="1"/>
  <c r="O29" i="168" s="1"/>
  <c r="P29" i="168" s="1"/>
  <c r="D25" i="171"/>
  <c r="H25" i="171" s="1"/>
  <c r="J24" i="167"/>
  <c r="J29" i="167" s="1"/>
  <c r="M29" i="167" s="1"/>
  <c r="Q29" i="167" s="1"/>
  <c r="O29" i="167" s="1"/>
  <c r="P29" i="167" s="1"/>
  <c r="J24" i="169"/>
  <c r="J29" i="169" s="1"/>
  <c r="M29" i="169" s="1"/>
  <c r="Q29" i="169" s="1"/>
  <c r="O29" i="169" s="1"/>
  <c r="P29" i="169" s="1"/>
  <c r="J24" i="170"/>
  <c r="J29" i="170" s="1"/>
  <c r="M29" i="170" s="1"/>
  <c r="Q29" i="170" s="1"/>
  <c r="O29" i="170" s="1"/>
  <c r="P29" i="170" s="1"/>
  <c r="D26" i="171"/>
  <c r="F7" i="141"/>
  <c r="F7" i="142"/>
  <c r="J7" i="141"/>
  <c r="M7" i="141" s="1"/>
  <c r="Q7" i="141" s="1"/>
  <c r="O7" i="141" s="1"/>
  <c r="P7" i="141" s="1"/>
  <c r="J7" i="142"/>
  <c r="M7" i="142" s="1"/>
  <c r="Q7" i="142" s="1"/>
  <c r="O7" i="142" s="1"/>
  <c r="P7" i="142" s="1"/>
  <c r="P7" i="167"/>
  <c r="G9" i="159"/>
  <c r="F7" i="149"/>
  <c r="J7" i="148"/>
  <c r="M7" i="148" s="1"/>
  <c r="Q7" i="148" s="1"/>
  <c r="O7" i="148" s="1"/>
  <c r="J7" i="149"/>
  <c r="M7" i="149" s="1"/>
  <c r="Q7" i="149" s="1"/>
  <c r="O7" i="149" s="1"/>
  <c r="P7" i="149" s="1"/>
  <c r="F7" i="148"/>
  <c r="J7" i="162"/>
  <c r="M7" i="162" s="1"/>
  <c r="Q7" i="162" s="1"/>
  <c r="O7" i="162" s="1"/>
  <c r="J7" i="163"/>
  <c r="M7" i="163" s="1"/>
  <c r="Q7" i="163" s="1"/>
  <c r="O7" i="163" s="1"/>
  <c r="P7" i="163" s="1"/>
  <c r="F7" i="162"/>
  <c r="F7" i="163"/>
  <c r="J24" i="147"/>
  <c r="J29" i="147" s="1"/>
  <c r="M29" i="147" s="1"/>
  <c r="Q29" i="147" s="1"/>
  <c r="O29" i="147" s="1"/>
  <c r="P29" i="147" s="1"/>
  <c r="J24" i="149"/>
  <c r="J29" i="149" s="1"/>
  <c r="M29" i="149" s="1"/>
  <c r="Q29" i="149" s="1"/>
  <c r="O29" i="149" s="1"/>
  <c r="P29" i="149" s="1"/>
  <c r="D26" i="150"/>
  <c r="D25" i="150"/>
  <c r="H25" i="150" s="1"/>
  <c r="J24" i="146"/>
  <c r="J29" i="146" s="1"/>
  <c r="M29" i="146" s="1"/>
  <c r="Q29" i="146" s="1"/>
  <c r="O29" i="146" s="1"/>
  <c r="P29" i="146" s="1"/>
  <c r="J24" i="148"/>
  <c r="J29" i="148" s="1"/>
  <c r="M29" i="148" s="1"/>
  <c r="Q29" i="148" s="1"/>
  <c r="O29" i="148" s="1"/>
  <c r="P29" i="148" s="1"/>
  <c r="G9" i="166"/>
  <c r="G9" i="152"/>
  <c r="G9" i="138"/>
  <c r="D26" i="157"/>
  <c r="D25" i="157"/>
  <c r="H25" i="157" s="1"/>
  <c r="J24" i="153"/>
  <c r="J29" i="153" s="1"/>
  <c r="M29" i="153" s="1"/>
  <c r="Q29" i="153" s="1"/>
  <c r="O29" i="153" s="1"/>
  <c r="P29" i="153" s="1"/>
  <c r="J24" i="155"/>
  <c r="J29" i="155" s="1"/>
  <c r="M29" i="155" s="1"/>
  <c r="Q29" i="155" s="1"/>
  <c r="O29" i="155" s="1"/>
  <c r="P29" i="155" s="1"/>
  <c r="J24" i="154"/>
  <c r="J29" i="154" s="1"/>
  <c r="M29" i="154" s="1"/>
  <c r="Q29" i="154" s="1"/>
  <c r="O29" i="154" s="1"/>
  <c r="P29" i="154" s="1"/>
  <c r="J24" i="156"/>
  <c r="J29" i="156" s="1"/>
  <c r="M29" i="156" s="1"/>
  <c r="Q29" i="156" s="1"/>
  <c r="O29" i="156" s="1"/>
  <c r="P29" i="156" s="1"/>
  <c r="F7" i="170"/>
  <c r="J7" i="169"/>
  <c r="M7" i="169" s="1"/>
  <c r="Q7" i="169" s="1"/>
  <c r="O7" i="169" s="1"/>
  <c r="P7" i="169" s="1"/>
  <c r="J7" i="170"/>
  <c r="M7" i="170" s="1"/>
  <c r="Q7" i="170" s="1"/>
  <c r="O7" i="170" s="1"/>
  <c r="P7" i="170" s="1"/>
  <c r="F7" i="169"/>
  <c r="D26" i="143"/>
  <c r="D25" i="143"/>
  <c r="H25" i="143" s="1"/>
  <c r="H26" i="143" s="1"/>
  <c r="M12" i="140" s="1"/>
  <c r="J24" i="139"/>
  <c r="J29" i="139" s="1"/>
  <c r="M29" i="139" s="1"/>
  <c r="Q29" i="139" s="1"/>
  <c r="O29" i="139" s="1"/>
  <c r="P29" i="139" s="1"/>
  <c r="J24" i="142"/>
  <c r="J29" i="142" s="1"/>
  <c r="M29" i="142" s="1"/>
  <c r="Q29" i="142" s="1"/>
  <c r="O29" i="142" s="1"/>
  <c r="P29" i="142" s="1"/>
  <c r="J24" i="141"/>
  <c r="J29" i="141" s="1"/>
  <c r="M29" i="141" s="1"/>
  <c r="Q29" i="141" s="1"/>
  <c r="O29" i="141" s="1"/>
  <c r="P29" i="141" s="1"/>
  <c r="J24" i="140"/>
  <c r="J29" i="140" s="1"/>
  <c r="M29" i="140" s="1"/>
  <c r="Q29" i="140" s="1"/>
  <c r="O29" i="140" s="1"/>
  <c r="P29" i="140" s="1"/>
  <c r="AH7" i="1" l="1"/>
  <c r="AM7" i="1" s="1"/>
  <c r="AR6" i="1"/>
  <c r="O18" i="169"/>
  <c r="P18" i="169" s="1"/>
  <c r="O18" i="170"/>
  <c r="P18" i="170" s="1"/>
  <c r="J16" i="140"/>
  <c r="H16" i="140" s="1"/>
  <c r="M12" i="161"/>
  <c r="J16" i="161"/>
  <c r="J16" i="160"/>
  <c r="J13" i="162"/>
  <c r="J13" i="163"/>
  <c r="J16" i="141"/>
  <c r="M16" i="141" s="1"/>
  <c r="Q16" i="141" s="1"/>
  <c r="O16" i="141" s="1"/>
  <c r="P16" i="141" s="1"/>
  <c r="J16" i="142"/>
  <c r="M16" i="142" s="1"/>
  <c r="Q16" i="142" s="1"/>
  <c r="O16" i="142" s="1"/>
  <c r="P16" i="142" s="1"/>
  <c r="J16" i="163"/>
  <c r="M16" i="163" s="1"/>
  <c r="Q16" i="163" s="1"/>
  <c r="O16" i="163" s="1"/>
  <c r="P16" i="163" s="1"/>
  <c r="J16" i="139"/>
  <c r="J13" i="141"/>
  <c r="J11" i="139"/>
  <c r="Q10" i="140"/>
  <c r="O12" i="140"/>
  <c r="P12" i="140" s="1"/>
  <c r="O10" i="140"/>
  <c r="Q13" i="139"/>
  <c r="M13" i="139"/>
  <c r="Q11" i="139"/>
  <c r="O13" i="139"/>
  <c r="P13" i="139" s="1"/>
  <c r="O11" i="139"/>
  <c r="P11" i="139" s="1"/>
  <c r="M10" i="140"/>
  <c r="M11" i="139"/>
  <c r="Q12" i="140"/>
  <c r="J10" i="140"/>
  <c r="Q13" i="142"/>
  <c r="Q11" i="141"/>
  <c r="O13" i="141"/>
  <c r="P13" i="141" s="1"/>
  <c r="J11" i="142"/>
  <c r="M11" i="142"/>
  <c r="J13" i="139"/>
  <c r="Q11" i="142"/>
  <c r="Q13" i="141"/>
  <c r="O11" i="142"/>
  <c r="P11" i="142" s="1"/>
  <c r="M11" i="141"/>
  <c r="J12" i="140"/>
  <c r="M13" i="141"/>
  <c r="J11" i="141"/>
  <c r="O13" i="142"/>
  <c r="P13" i="142" s="1"/>
  <c r="O11" i="141"/>
  <c r="P11" i="141" s="1"/>
  <c r="M13" i="142"/>
  <c r="H26" i="157"/>
  <c r="J11" i="153" s="1"/>
  <c r="J13" i="142"/>
  <c r="H26" i="150"/>
  <c r="J10" i="147" s="1"/>
  <c r="P7" i="162"/>
  <c r="J16" i="162" s="1"/>
  <c r="M16" i="162" s="1"/>
  <c r="P7" i="148"/>
  <c r="H26" i="171"/>
  <c r="J11" i="167" s="1"/>
  <c r="J11" i="160"/>
  <c r="M13" i="160"/>
  <c r="J10" i="161"/>
  <c r="M11" i="160"/>
  <c r="M10" i="161"/>
  <c r="M13" i="162"/>
  <c r="M11" i="163"/>
  <c r="J11" i="163"/>
  <c r="M13" i="163"/>
  <c r="J12" i="161"/>
  <c r="J11" i="162"/>
  <c r="M11" i="162"/>
  <c r="J13" i="160"/>
  <c r="AR7" i="1" l="1"/>
  <c r="AW6" i="1"/>
  <c r="D21" i="248"/>
  <c r="I49" i="249" s="1"/>
  <c r="I51" i="249" s="1"/>
  <c r="Q11" i="160"/>
  <c r="Q10" i="161"/>
  <c r="J16" i="148"/>
  <c r="H16" i="148" s="1"/>
  <c r="Q11" i="163"/>
  <c r="Q13" i="160"/>
  <c r="Q13" i="162"/>
  <c r="Q12" i="161"/>
  <c r="Q13" i="163"/>
  <c r="Q11" i="162"/>
  <c r="M16" i="140"/>
  <c r="Q16" i="140" s="1"/>
  <c r="O16" i="140" s="1"/>
  <c r="P16" i="140" s="1"/>
  <c r="P14" i="141"/>
  <c r="O14" i="141" s="1"/>
  <c r="O36" i="141" s="1"/>
  <c r="F16" i="140"/>
  <c r="J13" i="148"/>
  <c r="H13" i="148" s="1"/>
  <c r="J11" i="148"/>
  <c r="H11" i="148" s="1"/>
  <c r="M11" i="148"/>
  <c r="M11" i="146"/>
  <c r="J13" i="167"/>
  <c r="H13" i="167" s="1"/>
  <c r="J12" i="168"/>
  <c r="H12" i="168" s="1"/>
  <c r="M13" i="148"/>
  <c r="J11" i="170"/>
  <c r="H11" i="170" s="1"/>
  <c r="J11" i="146"/>
  <c r="H11" i="146" s="1"/>
  <c r="M13" i="170"/>
  <c r="M12" i="168"/>
  <c r="M11" i="167"/>
  <c r="Q11" i="167" s="1"/>
  <c r="H10" i="147"/>
  <c r="F10" i="147"/>
  <c r="H11" i="153"/>
  <c r="H11" i="167"/>
  <c r="H11" i="163"/>
  <c r="F11" i="163"/>
  <c r="H11" i="141"/>
  <c r="F11" i="141"/>
  <c r="F11" i="160"/>
  <c r="H11" i="160"/>
  <c r="M10" i="168"/>
  <c r="J11" i="149"/>
  <c r="J13" i="146"/>
  <c r="H13" i="141"/>
  <c r="F13" i="141"/>
  <c r="J10" i="154"/>
  <c r="F11" i="162"/>
  <c r="H11" i="162"/>
  <c r="J16" i="147"/>
  <c r="J13" i="149"/>
  <c r="H12" i="140"/>
  <c r="F12" i="140"/>
  <c r="H11" i="142"/>
  <c r="F11" i="142"/>
  <c r="P13" i="140"/>
  <c r="O13" i="140" s="1"/>
  <c r="M11" i="169"/>
  <c r="M13" i="167"/>
  <c r="J12" i="154"/>
  <c r="M12" i="154"/>
  <c r="J12" i="147"/>
  <c r="H16" i="142"/>
  <c r="F16" i="142"/>
  <c r="F13" i="163"/>
  <c r="H13" i="163"/>
  <c r="H10" i="140"/>
  <c r="F10" i="140"/>
  <c r="H13" i="139"/>
  <c r="F13" i="139"/>
  <c r="P10" i="140"/>
  <c r="H16" i="162"/>
  <c r="F16" i="162"/>
  <c r="F13" i="142"/>
  <c r="H13" i="142"/>
  <c r="F11" i="139"/>
  <c r="H11" i="139"/>
  <c r="J16" i="155"/>
  <c r="M16" i="155" s="1"/>
  <c r="Q16" i="155" s="1"/>
  <c r="O16" i="155" s="1"/>
  <c r="P16" i="155" s="1"/>
  <c r="M13" i="169"/>
  <c r="J10" i="168"/>
  <c r="M13" i="156"/>
  <c r="M11" i="149"/>
  <c r="M13" i="149"/>
  <c r="M10" i="147"/>
  <c r="Q10" i="147" s="1"/>
  <c r="H16" i="141"/>
  <c r="F16" i="141"/>
  <c r="H13" i="162"/>
  <c r="F13" i="162"/>
  <c r="H10" i="161"/>
  <c r="F10" i="161"/>
  <c r="J16" i="156"/>
  <c r="M16" i="156" s="1"/>
  <c r="Q16" i="156" s="1"/>
  <c r="O16" i="156" s="1"/>
  <c r="P16" i="156" s="1"/>
  <c r="M13" i="155"/>
  <c r="H16" i="160"/>
  <c r="F16" i="160"/>
  <c r="M16" i="160"/>
  <c r="Q16" i="160" s="1"/>
  <c r="O16" i="160" s="1"/>
  <c r="P16" i="160" s="1"/>
  <c r="H12" i="161"/>
  <c r="F12" i="161"/>
  <c r="P14" i="142"/>
  <c r="O14" i="142" s="1"/>
  <c r="O36" i="142" s="1"/>
  <c r="P15" i="139"/>
  <c r="O15" i="139" s="1"/>
  <c r="J16" i="170"/>
  <c r="M11" i="170"/>
  <c r="J11" i="155"/>
  <c r="J11" i="156"/>
  <c r="M13" i="146"/>
  <c r="J16" i="149"/>
  <c r="F16" i="161"/>
  <c r="H16" i="161"/>
  <c r="M16" i="161"/>
  <c r="Q16" i="161" s="1"/>
  <c r="O16" i="161" s="1"/>
  <c r="P16" i="161" s="1"/>
  <c r="M11" i="153"/>
  <c r="Q11" i="153" s="1"/>
  <c r="J16" i="154"/>
  <c r="J13" i="156"/>
  <c r="J16" i="153"/>
  <c r="F11" i="153" s="1"/>
  <c r="H13" i="160"/>
  <c r="F13" i="160"/>
  <c r="J16" i="167"/>
  <c r="F11" i="167" s="1"/>
  <c r="J13" i="170"/>
  <c r="J13" i="169"/>
  <c r="J16" i="168"/>
  <c r="J16" i="169"/>
  <c r="H16" i="139"/>
  <c r="M16" i="139"/>
  <c r="Q16" i="139" s="1"/>
  <c r="O16" i="139" s="1"/>
  <c r="P16" i="139" s="1"/>
  <c r="F16" i="139"/>
  <c r="J11" i="169"/>
  <c r="M11" i="156"/>
  <c r="M11" i="155"/>
  <c r="M10" i="154"/>
  <c r="Q16" i="162"/>
  <c r="O16" i="162" s="1"/>
  <c r="P16" i="162" s="1"/>
  <c r="M12" i="147"/>
  <c r="J13" i="155"/>
  <c r="J13" i="153"/>
  <c r="M13" i="153"/>
  <c r="H16" i="163"/>
  <c r="F16" i="163"/>
  <c r="J16" i="146"/>
  <c r="AR142" i="1"/>
  <c r="AQ90" i="1"/>
  <c r="AQ142" i="1" s="1"/>
  <c r="AL90" i="1"/>
  <c r="AL142" i="1" s="1"/>
  <c r="AG90" i="1"/>
  <c r="T90" i="1"/>
  <c r="T142" i="1" s="1"/>
  <c r="S90" i="1"/>
  <c r="AM142" i="1" l="1"/>
  <c r="AM383" i="1"/>
  <c r="AH142" i="1"/>
  <c r="AW7" i="1"/>
  <c r="BB6" i="1"/>
  <c r="D18" i="200"/>
  <c r="I43" i="201" s="1"/>
  <c r="Q13" i="148"/>
  <c r="Q10" i="154"/>
  <c r="Q11" i="146"/>
  <c r="Q11" i="156"/>
  <c r="Q11" i="148"/>
  <c r="Q13" i="146"/>
  <c r="Q12" i="154"/>
  <c r="Q13" i="149"/>
  <c r="Q11" i="149"/>
  <c r="Q12" i="147"/>
  <c r="O10" i="147" s="1"/>
  <c r="P10" i="147" s="1"/>
  <c r="Q13" i="156"/>
  <c r="Q13" i="155"/>
  <c r="Q11" i="155"/>
  <c r="Q13" i="153"/>
  <c r="O11" i="153" s="1"/>
  <c r="P11" i="153" s="1"/>
  <c r="D18" i="240"/>
  <c r="I43" i="241" s="1"/>
  <c r="D18" i="232"/>
  <c r="I43" i="233" s="1"/>
  <c r="D18" i="224"/>
  <c r="I43" i="225" s="1"/>
  <c r="D21" i="256"/>
  <c r="I49" i="257" s="1"/>
  <c r="I51" i="257" s="1"/>
  <c r="M16" i="148"/>
  <c r="Q16" i="148" s="1"/>
  <c r="O16" i="148" s="1"/>
  <c r="P16" i="148" s="1"/>
  <c r="O13" i="160"/>
  <c r="P13" i="160" s="1"/>
  <c r="F11" i="148"/>
  <c r="F13" i="148"/>
  <c r="P15" i="160"/>
  <c r="O15" i="160" s="1"/>
  <c r="P14" i="163"/>
  <c r="O14" i="163" s="1"/>
  <c r="O10" i="161"/>
  <c r="P10" i="161" s="1"/>
  <c r="F16" i="148"/>
  <c r="P13" i="161"/>
  <c r="O13" i="161" s="1"/>
  <c r="O13" i="163"/>
  <c r="P13" i="163" s="1"/>
  <c r="O12" i="161"/>
  <c r="P12" i="161" s="1"/>
  <c r="Q11" i="169"/>
  <c r="O11" i="160"/>
  <c r="P11" i="160" s="1"/>
  <c r="P14" i="162"/>
  <c r="O14" i="162" s="1"/>
  <c r="O11" i="163"/>
  <c r="P11" i="163" s="1"/>
  <c r="F11" i="146"/>
  <c r="Q11" i="170"/>
  <c r="Q10" i="168"/>
  <c r="Q13" i="170"/>
  <c r="Q13" i="169"/>
  <c r="F12" i="168"/>
  <c r="Q13" i="167"/>
  <c r="P15" i="167" s="1"/>
  <c r="O15" i="167" s="1"/>
  <c r="F11" i="170"/>
  <c r="Q12" i="168"/>
  <c r="O11" i="162"/>
  <c r="P11" i="162" s="1"/>
  <c r="O13" i="162"/>
  <c r="P13" i="162" s="1"/>
  <c r="N36" i="140"/>
  <c r="M37" i="142"/>
  <c r="F13" i="167"/>
  <c r="H12" i="147"/>
  <c r="F12" i="147"/>
  <c r="F16" i="146"/>
  <c r="H16" i="146"/>
  <c r="M16" i="146"/>
  <c r="Q16" i="146" s="1"/>
  <c r="O16" i="146" s="1"/>
  <c r="P16" i="146" s="1"/>
  <c r="H13" i="155"/>
  <c r="F13" i="155"/>
  <c r="M16" i="169"/>
  <c r="Q16" i="169" s="1"/>
  <c r="O16" i="169" s="1"/>
  <c r="P16" i="169" s="1"/>
  <c r="H16" i="169"/>
  <c r="F16" i="169"/>
  <c r="N36" i="139"/>
  <c r="F13" i="146"/>
  <c r="H13" i="146"/>
  <c r="M16" i="170"/>
  <c r="Q16" i="170" s="1"/>
  <c r="O16" i="170" s="1"/>
  <c r="P16" i="170" s="1"/>
  <c r="H16" i="170"/>
  <c r="F16" i="170"/>
  <c r="M16" i="168"/>
  <c r="Q16" i="168" s="1"/>
  <c r="O16" i="168" s="1"/>
  <c r="P16" i="168" s="1"/>
  <c r="H16" i="168"/>
  <c r="F16" i="168"/>
  <c r="H16" i="156"/>
  <c r="F16" i="156"/>
  <c r="H10" i="168"/>
  <c r="F10" i="168"/>
  <c r="H12" i="154"/>
  <c r="F12" i="154"/>
  <c r="H11" i="149"/>
  <c r="F11" i="149"/>
  <c r="H13" i="153"/>
  <c r="F13" i="153"/>
  <c r="H16" i="147"/>
  <c r="F16" i="147"/>
  <c r="M16" i="147"/>
  <c r="Q16" i="147" s="1"/>
  <c r="O16" i="147" s="1"/>
  <c r="P16" i="147" s="1"/>
  <c r="H11" i="156"/>
  <c r="F11" i="156"/>
  <c r="F13" i="170"/>
  <c r="H13" i="170"/>
  <c r="H10" i="154"/>
  <c r="F10" i="154"/>
  <c r="H13" i="169"/>
  <c r="F13" i="169"/>
  <c r="M16" i="153"/>
  <c r="Q16" i="153" s="1"/>
  <c r="O16" i="153" s="1"/>
  <c r="P16" i="153" s="1"/>
  <c r="H16" i="153"/>
  <c r="F16" i="153"/>
  <c r="H11" i="169"/>
  <c r="F11" i="169"/>
  <c r="H16" i="167"/>
  <c r="F16" i="167"/>
  <c r="M16" i="167"/>
  <c r="Q16" i="167" s="1"/>
  <c r="O16" i="167" s="1"/>
  <c r="P16" i="167" s="1"/>
  <c r="H13" i="156"/>
  <c r="F13" i="156"/>
  <c r="H16" i="149"/>
  <c r="F16" i="149"/>
  <c r="M16" i="149"/>
  <c r="Q16" i="149" s="1"/>
  <c r="O16" i="149" s="1"/>
  <c r="P16" i="149" s="1"/>
  <c r="H11" i="155"/>
  <c r="F11" i="155"/>
  <c r="H16" i="155"/>
  <c r="F16" i="155"/>
  <c r="M16" i="154"/>
  <c r="Q16" i="154" s="1"/>
  <c r="O16" i="154" s="1"/>
  <c r="P16" i="154" s="1"/>
  <c r="H16" i="154"/>
  <c r="F16" i="154"/>
  <c r="F13" i="149"/>
  <c r="H13" i="149"/>
  <c r="AH383" i="1" l="1"/>
  <c r="BB7" i="1"/>
  <c r="O13" i="148"/>
  <c r="P13" i="148" s="1"/>
  <c r="O11" i="149"/>
  <c r="P11" i="149" s="1"/>
  <c r="P14" i="155"/>
  <c r="O14" i="155" s="1"/>
  <c r="P13" i="154"/>
  <c r="O13" i="154" s="1"/>
  <c r="O10" i="154"/>
  <c r="P10" i="154" s="1"/>
  <c r="O11" i="146"/>
  <c r="P11" i="146" s="1"/>
  <c r="O12" i="154"/>
  <c r="P12" i="154" s="1"/>
  <c r="O11" i="156"/>
  <c r="P11" i="156" s="1"/>
  <c r="O11" i="148"/>
  <c r="P11" i="148" s="1"/>
  <c r="P14" i="148"/>
  <c r="O14" i="148" s="1"/>
  <c r="P14" i="149"/>
  <c r="O14" i="149" s="1"/>
  <c r="O11" i="155"/>
  <c r="P11" i="155" s="1"/>
  <c r="P15" i="153"/>
  <c r="O15" i="153" s="1"/>
  <c r="P13" i="147"/>
  <c r="O13" i="147" s="1"/>
  <c r="O13" i="156"/>
  <c r="P13" i="156" s="1"/>
  <c r="O13" i="153"/>
  <c r="P13" i="153" s="1"/>
  <c r="O13" i="149"/>
  <c r="P13" i="149" s="1"/>
  <c r="P14" i="156"/>
  <c r="O14" i="156" s="1"/>
  <c r="P15" i="146"/>
  <c r="O15" i="146" s="1"/>
  <c r="O13" i="146"/>
  <c r="P13" i="146" s="1"/>
  <c r="O12" i="147"/>
  <c r="P12" i="147" s="1"/>
  <c r="O13" i="155"/>
  <c r="P13" i="155" s="1"/>
  <c r="P14" i="170"/>
  <c r="O14" i="170" s="1"/>
  <c r="N36" i="161"/>
  <c r="M37" i="140"/>
  <c r="T19" i="1" s="1"/>
  <c r="P14" i="169"/>
  <c r="O14" i="169" s="1"/>
  <c r="O12" i="168"/>
  <c r="P12" i="168" s="1"/>
  <c r="O36" i="163"/>
  <c r="O13" i="170"/>
  <c r="P13" i="170" s="1"/>
  <c r="N36" i="160"/>
  <c r="O11" i="170"/>
  <c r="P11" i="170" s="1"/>
  <c r="O11" i="167"/>
  <c r="P11" i="167" s="1"/>
  <c r="O11" i="169"/>
  <c r="P11" i="169" s="1"/>
  <c r="O13" i="169"/>
  <c r="P13" i="169" s="1"/>
  <c r="O13" i="167"/>
  <c r="P13" i="167" s="1"/>
  <c r="O36" i="162"/>
  <c r="P13" i="168"/>
  <c r="O13" i="168" s="1"/>
  <c r="O10" i="168"/>
  <c r="P10" i="168" s="1"/>
  <c r="B5" i="106"/>
  <c r="BG15" i="1" s="1"/>
  <c r="T196" i="1" l="1"/>
  <c r="N36" i="153"/>
  <c r="O36" i="148"/>
  <c r="N36" i="147"/>
  <c r="O36" i="149"/>
  <c r="N36" i="154"/>
  <c r="O36" i="156"/>
  <c r="N36" i="146"/>
  <c r="O36" i="155"/>
  <c r="D9" i="200"/>
  <c r="W12" i="201" s="1"/>
  <c r="M37" i="163"/>
  <c r="M37" i="161"/>
  <c r="O36" i="170"/>
  <c r="O36" i="169"/>
  <c r="N36" i="167"/>
  <c r="N36" i="168"/>
  <c r="X8" i="106"/>
  <c r="X7" i="106"/>
  <c r="V9" i="106"/>
  <c r="AW19" i="1" l="1"/>
  <c r="AW215" i="1" s="1"/>
  <c r="M37" i="154"/>
  <c r="M37" i="149"/>
  <c r="M37" i="147"/>
  <c r="AM19" i="1" s="1"/>
  <c r="AM215" i="1" s="1"/>
  <c r="M37" i="156"/>
  <c r="E29" i="201"/>
  <c r="M29" i="201" s="1"/>
  <c r="Q29" i="201" s="1"/>
  <c r="C49" i="201" s="1"/>
  <c r="G49" i="201" s="1"/>
  <c r="W49" i="201" s="1"/>
  <c r="T200" i="1" s="1"/>
  <c r="E25" i="201"/>
  <c r="M25" i="201" s="1"/>
  <c r="Q25" i="201" s="1"/>
  <c r="Y25" i="201" s="1"/>
  <c r="G45" i="201" s="1"/>
  <c r="W45" i="201" s="1"/>
  <c r="T198" i="1" s="1"/>
  <c r="E23" i="201"/>
  <c r="M23" i="201" s="1"/>
  <c r="E27" i="201"/>
  <c r="M27" i="201" s="1"/>
  <c r="Q27" i="201" s="1"/>
  <c r="Y27" i="201" s="1"/>
  <c r="G47" i="201" s="1"/>
  <c r="W47" i="201" s="1"/>
  <c r="T199" i="1" s="1"/>
  <c r="M37" i="168"/>
  <c r="BB19" i="1" s="1"/>
  <c r="BB215" i="1" s="1"/>
  <c r="M37" i="170"/>
  <c r="B6" i="106"/>
  <c r="V14" i="106"/>
  <c r="V15" i="106" s="1"/>
  <c r="V16" i="106" s="1"/>
  <c r="V6" i="106"/>
  <c r="AW231" i="1" l="1"/>
  <c r="AM196" i="1"/>
  <c r="AM20" i="1" s="1"/>
  <c r="BB196" i="1"/>
  <c r="AW196" i="1"/>
  <c r="D9" i="248"/>
  <c r="W12" i="249" s="1"/>
  <c r="E29" i="249" s="1"/>
  <c r="M29" i="249" s="1"/>
  <c r="Q29" i="249" s="1"/>
  <c r="C49" i="249" s="1"/>
  <c r="G49" i="249" s="1"/>
  <c r="W49" i="249" s="1"/>
  <c r="AW200" i="1" s="1"/>
  <c r="AR19" i="1"/>
  <c r="AR215" i="1" s="1"/>
  <c r="D9" i="232"/>
  <c r="W12" i="233" s="1"/>
  <c r="E27" i="233" s="1"/>
  <c r="M27" i="233" s="1"/>
  <c r="Q27" i="233" s="1"/>
  <c r="Y27" i="233" s="1"/>
  <c r="G47" i="233" s="1"/>
  <c r="W47" i="233" s="1"/>
  <c r="AM199" i="1" s="1"/>
  <c r="D9" i="256"/>
  <c r="W12" i="257" s="1"/>
  <c r="Q23" i="201"/>
  <c r="M31" i="201"/>
  <c r="AB14" i="106"/>
  <c r="AB16" i="106"/>
  <c r="V17" i="106"/>
  <c r="AB15" i="106"/>
  <c r="AW20" i="1" l="1"/>
  <c r="BB20" i="1"/>
  <c r="AR196" i="1"/>
  <c r="E27" i="249"/>
  <c r="M27" i="249" s="1"/>
  <c r="Q27" i="249" s="1"/>
  <c r="Y27" i="249" s="1"/>
  <c r="G47" i="249" s="1"/>
  <c r="W47" i="249" s="1"/>
  <c r="AW199" i="1" s="1"/>
  <c r="E23" i="249"/>
  <c r="M23" i="249" s="1"/>
  <c r="Q23" i="249" s="1"/>
  <c r="Y23" i="249" s="1"/>
  <c r="G43" i="249" s="1"/>
  <c r="E25" i="249"/>
  <c r="M25" i="249" s="1"/>
  <c r="Q25" i="249" s="1"/>
  <c r="Y25" i="249" s="1"/>
  <c r="G45" i="249" s="1"/>
  <c r="W45" i="249" s="1"/>
  <c r="AW198" i="1" s="1"/>
  <c r="D9" i="240"/>
  <c r="W12" i="241" s="1"/>
  <c r="E27" i="241" s="1"/>
  <c r="M27" i="241" s="1"/>
  <c r="Q27" i="241" s="1"/>
  <c r="Y27" i="241" s="1"/>
  <c r="G47" i="241" s="1"/>
  <c r="W47" i="241" s="1"/>
  <c r="AR199" i="1" s="1"/>
  <c r="E29" i="233"/>
  <c r="M29" i="233" s="1"/>
  <c r="Q29" i="233" s="1"/>
  <c r="C49" i="233" s="1"/>
  <c r="G49" i="233" s="1"/>
  <c r="W49" i="233" s="1"/>
  <c r="AM200" i="1" s="1"/>
  <c r="E25" i="233"/>
  <c r="M25" i="233" s="1"/>
  <c r="Q25" i="233" s="1"/>
  <c r="Y25" i="233" s="1"/>
  <c r="G45" i="233" s="1"/>
  <c r="W45" i="233" s="1"/>
  <c r="AM198" i="1" s="1"/>
  <c r="E23" i="233"/>
  <c r="M23" i="233" s="1"/>
  <c r="Q23" i="233" s="1"/>
  <c r="Y23" i="233" s="1"/>
  <c r="G43" i="233" s="1"/>
  <c r="E29" i="257"/>
  <c r="M29" i="257" s="1"/>
  <c r="Q29" i="257" s="1"/>
  <c r="C49" i="257" s="1"/>
  <c r="G49" i="257" s="1"/>
  <c r="W49" i="257" s="1"/>
  <c r="BB200" i="1" s="1"/>
  <c r="E23" i="257"/>
  <c r="M23" i="257" s="1"/>
  <c r="E25" i="257"/>
  <c r="M25" i="257" s="1"/>
  <c r="Q25" i="257" s="1"/>
  <c r="Y25" i="257" s="1"/>
  <c r="G45" i="257" s="1"/>
  <c r="W45" i="257" s="1"/>
  <c r="BB198" i="1" s="1"/>
  <c r="E27" i="257"/>
  <c r="M27" i="257" s="1"/>
  <c r="Q27" i="257" s="1"/>
  <c r="Y27" i="257" s="1"/>
  <c r="G47" i="257" s="1"/>
  <c r="W47" i="257" s="1"/>
  <c r="BB199" i="1" s="1"/>
  <c r="Q31" i="201"/>
  <c r="Y23" i="201"/>
  <c r="G43" i="201" s="1"/>
  <c r="BB231" i="1"/>
  <c r="V18" i="106"/>
  <c r="AB17" i="106"/>
  <c r="AR20" i="1" l="1"/>
  <c r="E29" i="241"/>
  <c r="M29" i="241" s="1"/>
  <c r="Q29" i="241" s="1"/>
  <c r="C49" i="241" s="1"/>
  <c r="G49" i="241" s="1"/>
  <c r="W49" i="241" s="1"/>
  <c r="AR200" i="1" s="1"/>
  <c r="M31" i="249"/>
  <c r="E23" i="241"/>
  <c r="M23" i="241" s="1"/>
  <c r="Q23" i="241" s="1"/>
  <c r="Y23" i="241" s="1"/>
  <c r="G43" i="241" s="1"/>
  <c r="W43" i="241" s="1"/>
  <c r="AR197" i="1" s="1"/>
  <c r="E25" i="241"/>
  <c r="M25" i="241" s="1"/>
  <c r="Q25" i="241" s="1"/>
  <c r="Y25" i="241" s="1"/>
  <c r="G45" i="241" s="1"/>
  <c r="W45" i="241" s="1"/>
  <c r="AR198" i="1" s="1"/>
  <c r="Q31" i="249"/>
  <c r="Q31" i="233"/>
  <c r="M31" i="233"/>
  <c r="M31" i="257"/>
  <c r="Q23" i="257"/>
  <c r="W43" i="249"/>
  <c r="G51" i="249"/>
  <c r="G51" i="233"/>
  <c r="W43" i="233"/>
  <c r="G51" i="201"/>
  <c r="W43" i="201"/>
  <c r="T197" i="1" s="1"/>
  <c r="V19" i="106"/>
  <c r="AB18" i="106"/>
  <c r="Q31" i="241" l="1"/>
  <c r="M31" i="241"/>
  <c r="W51" i="241"/>
  <c r="AR201" i="1" s="1"/>
  <c r="G51" i="241"/>
  <c r="Y23" i="257"/>
  <c r="G43" i="257" s="1"/>
  <c r="Q31" i="257"/>
  <c r="W51" i="249"/>
  <c r="AW201" i="1" s="1"/>
  <c r="AW197" i="1"/>
  <c r="W51" i="233"/>
  <c r="AM201" i="1" s="1"/>
  <c r="AM197" i="1"/>
  <c r="W51" i="201"/>
  <c r="K51" i="249"/>
  <c r="M51" i="249" s="1"/>
  <c r="AW203" i="1" s="1"/>
  <c r="AW22" i="1" s="1"/>
  <c r="V20" i="106"/>
  <c r="AB19" i="106"/>
  <c r="T201" i="1" l="1"/>
  <c r="T21" i="1" s="1"/>
  <c r="AM21" i="1"/>
  <c r="AW21" i="1"/>
  <c r="AW233" i="1"/>
  <c r="AW403" i="1" s="1"/>
  <c r="AR21" i="1"/>
  <c r="W43" i="257"/>
  <c r="G51" i="257"/>
  <c r="M49" i="249"/>
  <c r="M43" i="249"/>
  <c r="M45" i="249"/>
  <c r="M47" i="249"/>
  <c r="V21" i="106"/>
  <c r="AB20" i="106"/>
  <c r="AW52" i="1" l="1"/>
  <c r="AW405" i="1"/>
  <c r="AW415" i="1" s="1"/>
  <c r="AW652" i="1" s="1"/>
  <c r="AW285" i="1" s="1"/>
  <c r="AW288" i="1" s="1"/>
  <c r="AW234" i="1"/>
  <c r="AW281" i="1"/>
  <c r="K51" i="257"/>
  <c r="M51" i="257" s="1"/>
  <c r="BB203" i="1" s="1"/>
  <c r="BB22" i="1" s="1"/>
  <c r="BB197" i="1"/>
  <c r="W51" i="257"/>
  <c r="BB201" i="1" s="1"/>
  <c r="AB21" i="106"/>
  <c r="V22" i="106"/>
  <c r="BB21" i="1" l="1"/>
  <c r="BB233" i="1"/>
  <c r="BB403" i="1" s="1"/>
  <c r="AW282" i="1"/>
  <c r="AW286" i="1"/>
  <c r="M43" i="257"/>
  <c r="M45" i="257"/>
  <c r="M49" i="257"/>
  <c r="M47" i="257"/>
  <c r="V23" i="106"/>
  <c r="AB22" i="106"/>
  <c r="BB52" i="1" l="1"/>
  <c r="BB405" i="1"/>
  <c r="BB415" i="1" s="1"/>
  <c r="BB652" i="1" s="1"/>
  <c r="BB285" i="1" s="1"/>
  <c r="BB288" i="1" s="1"/>
  <c r="BB234" i="1"/>
  <c r="BB281" i="1"/>
  <c r="AB23" i="106"/>
  <c r="V24" i="106"/>
  <c r="BB286" i="1" l="1"/>
  <c r="BB282" i="1"/>
  <c r="AB24" i="106"/>
  <c r="V25" i="106"/>
  <c r="V26" i="106" l="1"/>
  <c r="AB25" i="106"/>
  <c r="V27" i="106" l="1"/>
  <c r="AB26" i="106"/>
  <c r="V28" i="106" l="1"/>
  <c r="AB27" i="106"/>
  <c r="V29" i="106" l="1"/>
  <c r="AB28" i="106"/>
  <c r="V30" i="106" l="1"/>
  <c r="AB29" i="106"/>
  <c r="V31" i="106" l="1"/>
  <c r="AB30" i="106"/>
  <c r="V32" i="106" l="1"/>
  <c r="AB31" i="106"/>
  <c r="AB32" i="106" l="1"/>
  <c r="V33" i="106"/>
  <c r="V34" i="106" l="1"/>
  <c r="AB33" i="106"/>
  <c r="AB34" i="106" l="1"/>
  <c r="V35" i="106"/>
  <c r="V36" i="106" l="1"/>
  <c r="AB35" i="106"/>
  <c r="V37" i="106" l="1"/>
  <c r="AB36" i="106"/>
  <c r="V38" i="106" l="1"/>
  <c r="AB37" i="106"/>
  <c r="V39" i="106" l="1"/>
  <c r="AB38" i="106"/>
  <c r="V40" i="106" l="1"/>
  <c r="AB39" i="106"/>
  <c r="V41" i="106" l="1"/>
  <c r="AB40" i="106"/>
  <c r="V42" i="106" l="1"/>
  <c r="AB41" i="106"/>
  <c r="AB42" i="106" l="1"/>
  <c r="V43" i="106"/>
  <c r="V44" i="106" l="1"/>
  <c r="AB43" i="106"/>
  <c r="V45" i="106" l="1"/>
  <c r="AB44" i="106"/>
  <c r="V46" i="106" l="1"/>
  <c r="AB45" i="106"/>
  <c r="V47" i="106" l="1"/>
  <c r="AB46" i="106"/>
  <c r="V48" i="106" l="1"/>
  <c r="AB47" i="106"/>
  <c r="V49" i="106" l="1"/>
  <c r="AB48" i="106"/>
  <c r="V50" i="106" l="1"/>
  <c r="AB49" i="106"/>
  <c r="AB50" i="106" l="1"/>
  <c r="V51" i="106"/>
  <c r="V52" i="106" l="1"/>
  <c r="AB51" i="106"/>
  <c r="V53" i="106" l="1"/>
  <c r="AB52" i="106"/>
  <c r="V54" i="106" l="1"/>
  <c r="AB53" i="106"/>
  <c r="V55" i="106" l="1"/>
  <c r="AB54" i="106"/>
  <c r="V56" i="106" l="1"/>
  <c r="AB55" i="106"/>
  <c r="V57" i="106" l="1"/>
  <c r="AB56" i="106"/>
  <c r="V58" i="106" l="1"/>
  <c r="AB57" i="106"/>
  <c r="AB58" i="106" l="1"/>
  <c r="V59" i="106"/>
  <c r="V60" i="106" l="1"/>
  <c r="AB59" i="106"/>
  <c r="V61" i="106" l="1"/>
  <c r="AB60" i="106"/>
  <c r="V62" i="106" l="1"/>
  <c r="AB61" i="106"/>
  <c r="V63" i="106" l="1"/>
  <c r="AB62" i="106"/>
  <c r="V64" i="106" l="1"/>
  <c r="AB63" i="106"/>
  <c r="V65" i="106" l="1"/>
  <c r="AB64" i="106"/>
  <c r="V66" i="106" l="1"/>
  <c r="AB65" i="106"/>
  <c r="AB66" i="106" l="1"/>
  <c r="V67" i="106"/>
  <c r="V68" i="106" l="1"/>
  <c r="AB67" i="106"/>
  <c r="K6" i="106"/>
  <c r="AC14" i="106" l="1"/>
  <c r="K15" i="106"/>
  <c r="Q14" i="106"/>
  <c r="V69" i="106"/>
  <c r="AB68" i="106"/>
  <c r="K16" i="106" l="1"/>
  <c r="R15" i="106"/>
  <c r="AC15" i="106" s="1"/>
  <c r="S15" i="106"/>
  <c r="Q15" i="106"/>
  <c r="V70" i="106"/>
  <c r="AB69" i="106"/>
  <c r="Q16" i="106"/>
  <c r="K17" i="106" l="1"/>
  <c r="R16" i="106"/>
  <c r="AC16" i="106" s="1"/>
  <c r="S16" i="106"/>
  <c r="V71" i="106"/>
  <c r="AB70" i="106"/>
  <c r="K18" i="106" l="1"/>
  <c r="Q18" i="106" s="1"/>
  <c r="R17" i="106"/>
  <c r="AC17" i="106" s="1"/>
  <c r="S17" i="106"/>
  <c r="Q17" i="106"/>
  <c r="V72" i="106"/>
  <c r="AB71" i="106"/>
  <c r="K19" i="106" l="1"/>
  <c r="R18" i="106"/>
  <c r="AC18" i="106" s="1"/>
  <c r="S18" i="106"/>
  <c r="M4" i="106"/>
  <c r="M14" i="106" s="1"/>
  <c r="L14" i="106"/>
  <c r="O14" i="106" s="1"/>
  <c r="W14" i="106"/>
  <c r="X4" i="106"/>
  <c r="V73" i="106"/>
  <c r="AB72" i="106"/>
  <c r="Q19" i="106"/>
  <c r="K20" i="106" l="1"/>
  <c r="Q20" i="106" s="1"/>
  <c r="S19" i="106"/>
  <c r="R19" i="106"/>
  <c r="AC19" i="106" s="1"/>
  <c r="O4" i="106"/>
  <c r="O5" i="106" s="1"/>
  <c r="Z4" i="106"/>
  <c r="Z5" i="106" s="1"/>
  <c r="X14" i="106"/>
  <c r="Z14" i="106"/>
  <c r="V74" i="106"/>
  <c r="AB73" i="106"/>
  <c r="M15" i="106"/>
  <c r="N14" i="106"/>
  <c r="K21" i="106" l="1"/>
  <c r="R20" i="106"/>
  <c r="AC20" i="106" s="1"/>
  <c r="S20" i="106"/>
  <c r="D5" i="106"/>
  <c r="X15" i="106"/>
  <c r="X16" i="106" s="1"/>
  <c r="X17" i="106" s="1"/>
  <c r="Y14" i="106"/>
  <c r="AA14" i="106" s="1"/>
  <c r="W15" i="106" s="1"/>
  <c r="Z15" i="106" s="1"/>
  <c r="D4" i="106"/>
  <c r="P14" i="106"/>
  <c r="L15" i="106" s="1"/>
  <c r="O15" i="106" s="1"/>
  <c r="AB74" i="106"/>
  <c r="V75" i="106"/>
  <c r="M16" i="106"/>
  <c r="Q21" i="106"/>
  <c r="BG18" i="1" l="1"/>
  <c r="K22" i="106"/>
  <c r="S21" i="106"/>
  <c r="R21" i="106"/>
  <c r="AC21" i="106" s="1"/>
  <c r="Y15" i="106"/>
  <c r="AA15" i="106" s="1"/>
  <c r="W16" i="106" s="1"/>
  <c r="Z16" i="106" s="1"/>
  <c r="Y16" i="106" s="1"/>
  <c r="X18" i="106"/>
  <c r="X19" i="106" s="1"/>
  <c r="X20" i="106" s="1"/>
  <c r="X21" i="106" s="1"/>
  <c r="X22" i="106" s="1"/>
  <c r="X23" i="106" s="1"/>
  <c r="X24" i="106" s="1"/>
  <c r="X25" i="106" s="1"/>
  <c r="X26" i="106" s="1"/>
  <c r="X27" i="106" s="1"/>
  <c r="X28" i="106" s="1"/>
  <c r="X29" i="106" s="1"/>
  <c r="X30" i="106" s="1"/>
  <c r="X31" i="106" s="1"/>
  <c r="X32" i="106" s="1"/>
  <c r="X33" i="106" s="1"/>
  <c r="X34" i="106" s="1"/>
  <c r="X35" i="106" s="1"/>
  <c r="X36" i="106" s="1"/>
  <c r="X37" i="106" s="1"/>
  <c r="X38" i="106" s="1"/>
  <c r="X39" i="106" s="1"/>
  <c r="X40" i="106" s="1"/>
  <c r="X41" i="106" s="1"/>
  <c r="X42" i="106" s="1"/>
  <c r="X43" i="106" s="1"/>
  <c r="X44" i="106" s="1"/>
  <c r="X45" i="106" s="1"/>
  <c r="X46" i="106" s="1"/>
  <c r="X47" i="106" s="1"/>
  <c r="X48" i="106" s="1"/>
  <c r="X49" i="106" s="1"/>
  <c r="X50" i="106" s="1"/>
  <c r="X51" i="106" s="1"/>
  <c r="X52" i="106" s="1"/>
  <c r="X53" i="106" s="1"/>
  <c r="X54" i="106" s="1"/>
  <c r="X55" i="106" s="1"/>
  <c r="X56" i="106" s="1"/>
  <c r="X57" i="106" s="1"/>
  <c r="X58" i="106" s="1"/>
  <c r="X59" i="106" s="1"/>
  <c r="X60" i="106" s="1"/>
  <c r="X61" i="106" s="1"/>
  <c r="X62" i="106" s="1"/>
  <c r="X63" i="106" s="1"/>
  <c r="X64" i="106" s="1"/>
  <c r="X65" i="106" s="1"/>
  <c r="X66" i="106" s="1"/>
  <c r="X67" i="106" s="1"/>
  <c r="X68" i="106" s="1"/>
  <c r="X69" i="106" s="1"/>
  <c r="X70" i="106" s="1"/>
  <c r="X71" i="106" s="1"/>
  <c r="X72" i="106" s="1"/>
  <c r="N15" i="106"/>
  <c r="V76" i="106"/>
  <c r="AB75" i="106"/>
  <c r="M17" i="106"/>
  <c r="Q22" i="106"/>
  <c r="K23" i="106" l="1"/>
  <c r="S22" i="106"/>
  <c r="R22" i="106"/>
  <c r="AC22" i="106" s="1"/>
  <c r="AA16" i="106"/>
  <c r="W17" i="106" s="1"/>
  <c r="Z17" i="106" s="1"/>
  <c r="Y17" i="106" s="1"/>
  <c r="AA17" i="106" s="1"/>
  <c r="W18" i="106" s="1"/>
  <c r="Z18" i="106" s="1"/>
  <c r="Y18" i="106" s="1"/>
  <c r="P15" i="106"/>
  <c r="L16" i="106" s="1"/>
  <c r="O16" i="106" s="1"/>
  <c r="X73" i="106"/>
  <c r="V77" i="106"/>
  <c r="AB76" i="106"/>
  <c r="M18" i="106"/>
  <c r="Q23" i="106"/>
  <c r="K24" i="106" l="1"/>
  <c r="R23" i="106"/>
  <c r="AC23" i="106" s="1"/>
  <c r="S23" i="106"/>
  <c r="AA18" i="106"/>
  <c r="W19" i="106" s="1"/>
  <c r="N16" i="106"/>
  <c r="X74" i="106"/>
  <c r="V78" i="106"/>
  <c r="AB77" i="106"/>
  <c r="Q24" i="106"/>
  <c r="M19" i="106"/>
  <c r="K25" i="106" l="1"/>
  <c r="Q25" i="106" s="1"/>
  <c r="R24" i="106"/>
  <c r="AC24" i="106" s="1"/>
  <c r="S24" i="106"/>
  <c r="Z19" i="106"/>
  <c r="P16" i="106"/>
  <c r="L17" i="106" s="1"/>
  <c r="O17" i="106" s="1"/>
  <c r="V79" i="106"/>
  <c r="AB78" i="106"/>
  <c r="X75" i="106"/>
  <c r="M20" i="106"/>
  <c r="K26" i="106" l="1"/>
  <c r="R25" i="106"/>
  <c r="AC25" i="106" s="1"/>
  <c r="S25" i="106"/>
  <c r="Y19" i="106"/>
  <c r="N17" i="106"/>
  <c r="V80" i="106"/>
  <c r="AB79" i="106"/>
  <c r="X76" i="106"/>
  <c r="Q26" i="106"/>
  <c r="M21" i="106"/>
  <c r="K27" i="106" l="1"/>
  <c r="R26" i="106"/>
  <c r="AC26" i="106" s="1"/>
  <c r="S26" i="106"/>
  <c r="AA19" i="106"/>
  <c r="W20" i="106" s="1"/>
  <c r="P17" i="106"/>
  <c r="L18" i="106" s="1"/>
  <c r="O18" i="106" s="1"/>
  <c r="V81" i="106"/>
  <c r="AB80" i="106"/>
  <c r="X77" i="106"/>
  <c r="Q27" i="106"/>
  <c r="M22" i="106"/>
  <c r="K28" i="106" l="1"/>
  <c r="S27" i="106"/>
  <c r="R27" i="106"/>
  <c r="AC27" i="106" s="1"/>
  <c r="Z20" i="106"/>
  <c r="Y20" i="106" s="1"/>
  <c r="N18" i="106"/>
  <c r="X78" i="106"/>
  <c r="V82" i="106"/>
  <c r="AB81" i="106"/>
  <c r="M23" i="106"/>
  <c r="Q28" i="106"/>
  <c r="K29" i="106" l="1"/>
  <c r="Q29" i="106" s="1"/>
  <c r="R28" i="106"/>
  <c r="AC28" i="106" s="1"/>
  <c r="S28" i="106"/>
  <c r="AA20" i="106"/>
  <c r="W21" i="106" s="1"/>
  <c r="P18" i="106"/>
  <c r="L19" i="106" s="1"/>
  <c r="O19" i="106" s="1"/>
  <c r="N19" i="106" s="1"/>
  <c r="P19" i="106" s="1"/>
  <c r="L20" i="106" s="1"/>
  <c r="O20" i="106" s="1"/>
  <c r="N20" i="106" s="1"/>
  <c r="P20" i="106" s="1"/>
  <c r="L21" i="106" s="1"/>
  <c r="O21" i="106" s="1"/>
  <c r="N21" i="106" s="1"/>
  <c r="P21" i="106" s="1"/>
  <c r="L22" i="106" s="1"/>
  <c r="O22" i="106" s="1"/>
  <c r="N22" i="106" s="1"/>
  <c r="P22" i="106" s="1"/>
  <c r="L23" i="106" s="1"/>
  <c r="O23" i="106" s="1"/>
  <c r="AB82" i="106"/>
  <c r="V83" i="106"/>
  <c r="X79" i="106"/>
  <c r="M24" i="106"/>
  <c r="K30" i="106" l="1"/>
  <c r="Q30" i="106" s="1"/>
  <c r="R29" i="106"/>
  <c r="AC29" i="106" s="1"/>
  <c r="S29" i="106"/>
  <c r="Z21" i="106"/>
  <c r="Y21" i="106" s="1"/>
  <c r="AA21" i="106" s="1"/>
  <c r="W22" i="106" s="1"/>
  <c r="N23" i="106"/>
  <c r="V84" i="106"/>
  <c r="AB83" i="106"/>
  <c r="X80" i="106"/>
  <c r="M25" i="106"/>
  <c r="K31" i="106" l="1"/>
  <c r="R30" i="106"/>
  <c r="AC30" i="106" s="1"/>
  <c r="S30" i="106"/>
  <c r="Z22" i="106"/>
  <c r="Y22" i="106" s="1"/>
  <c r="AA22" i="106" s="1"/>
  <c r="W23" i="106" s="1"/>
  <c r="P23" i="106"/>
  <c r="L24" i="106" s="1"/>
  <c r="O24" i="106" s="1"/>
  <c r="X81" i="106"/>
  <c r="V85" i="106"/>
  <c r="AB84" i="106"/>
  <c r="M26" i="106"/>
  <c r="K32" i="106" l="1"/>
  <c r="R31" i="106"/>
  <c r="AC31" i="106" s="1"/>
  <c r="Q31" i="106"/>
  <c r="Z23" i="106"/>
  <c r="Y23" i="106" s="1"/>
  <c r="AA23" i="106" s="1"/>
  <c r="W24" i="106" s="1"/>
  <c r="N24" i="106"/>
  <c r="X82" i="106"/>
  <c r="V86" i="106"/>
  <c r="AB85" i="106"/>
  <c r="M27" i="106"/>
  <c r="K33" i="106" l="1"/>
  <c r="Q33" i="106" s="1"/>
  <c r="R32" i="106"/>
  <c r="AC32" i="106" s="1"/>
  <c r="Q32" i="106"/>
  <c r="Z24" i="106"/>
  <c r="Y24" i="106" s="1"/>
  <c r="AA24" i="106" s="1"/>
  <c r="W25" i="106" s="1"/>
  <c r="P24" i="106"/>
  <c r="V87" i="106"/>
  <c r="AB86" i="106"/>
  <c r="X83" i="106"/>
  <c r="M28" i="106"/>
  <c r="K34" i="106" l="1"/>
  <c r="R33" i="106"/>
  <c r="AC33" i="106" s="1"/>
  <c r="Z25" i="106"/>
  <c r="Y25" i="106" s="1"/>
  <c r="AA25" i="106" s="1"/>
  <c r="W26" i="106" s="1"/>
  <c r="L25" i="106"/>
  <c r="O25" i="106" s="1"/>
  <c r="V88" i="106"/>
  <c r="AB87" i="106"/>
  <c r="X84" i="106"/>
  <c r="M29" i="106"/>
  <c r="Q34" i="106"/>
  <c r="K35" i="106" l="1"/>
  <c r="R34" i="106"/>
  <c r="AC34" i="106" s="1"/>
  <c r="Z26" i="106"/>
  <c r="Y26" i="106" s="1"/>
  <c r="AA26" i="106" s="1"/>
  <c r="W27" i="106" s="1"/>
  <c r="N25" i="106"/>
  <c r="V89" i="106"/>
  <c r="AB88" i="106"/>
  <c r="X85" i="106"/>
  <c r="Q35" i="106"/>
  <c r="M30" i="106"/>
  <c r="K36" i="106" l="1"/>
  <c r="R35" i="106"/>
  <c r="AC35" i="106" s="1"/>
  <c r="Z27" i="106"/>
  <c r="Y27" i="106" s="1"/>
  <c r="AA27" i="106" s="1"/>
  <c r="W28" i="106" s="1"/>
  <c r="P25" i="106"/>
  <c r="L26" i="106" s="1"/>
  <c r="O26" i="106" s="1"/>
  <c r="V90" i="106"/>
  <c r="AB89" i="106"/>
  <c r="X86" i="106"/>
  <c r="M31" i="106"/>
  <c r="Q36" i="106"/>
  <c r="K37" i="106" l="1"/>
  <c r="R36" i="106"/>
  <c r="AC36" i="106" s="1"/>
  <c r="Z28" i="106"/>
  <c r="Y28" i="106" s="1"/>
  <c r="AA28" i="106" s="1"/>
  <c r="W29" i="106" s="1"/>
  <c r="N26" i="106"/>
  <c r="AB90" i="106"/>
  <c r="V91" i="106"/>
  <c r="X87" i="106"/>
  <c r="Q37" i="106"/>
  <c r="M32" i="106"/>
  <c r="K38" i="106" l="1"/>
  <c r="R37" i="106"/>
  <c r="AC37" i="106" s="1"/>
  <c r="Z29" i="106"/>
  <c r="Y29" i="106" s="1"/>
  <c r="AA29" i="106" s="1"/>
  <c r="W30" i="106" s="1"/>
  <c r="P26" i="106"/>
  <c r="L27" i="106" s="1"/>
  <c r="O27" i="106" s="1"/>
  <c r="X88" i="106"/>
  <c r="V92" i="106"/>
  <c r="AB91" i="106"/>
  <c r="M33" i="106"/>
  <c r="Q38" i="106"/>
  <c r="K39" i="106" l="1"/>
  <c r="R38" i="106"/>
  <c r="AC38" i="106" s="1"/>
  <c r="Z30" i="106"/>
  <c r="Y30" i="106" s="1"/>
  <c r="AA30" i="106" s="1"/>
  <c r="W31" i="106" s="1"/>
  <c r="N27" i="106"/>
  <c r="V93" i="106"/>
  <c r="AB92" i="106"/>
  <c r="X89" i="106"/>
  <c r="M34" i="106"/>
  <c r="Q39" i="106"/>
  <c r="K40" i="106" l="1"/>
  <c r="R39" i="106"/>
  <c r="AC39" i="106" s="1"/>
  <c r="Z31" i="106"/>
  <c r="Y31" i="106" s="1"/>
  <c r="AA31" i="106" s="1"/>
  <c r="W32" i="106" s="1"/>
  <c r="P27" i="106"/>
  <c r="L28" i="106" s="1"/>
  <c r="O28" i="106" s="1"/>
  <c r="N28" i="106" s="1"/>
  <c r="P28" i="106" s="1"/>
  <c r="L29" i="106" s="1"/>
  <c r="O29" i="106" s="1"/>
  <c r="N29" i="106" s="1"/>
  <c r="P29" i="106" s="1"/>
  <c r="L30" i="106" s="1"/>
  <c r="O30" i="106" s="1"/>
  <c r="N30" i="106" s="1"/>
  <c r="P30" i="106" s="1"/>
  <c r="L31" i="106" s="1"/>
  <c r="O31" i="106" s="1"/>
  <c r="N31" i="106" s="1"/>
  <c r="P31" i="106" s="1"/>
  <c r="L32" i="106" s="1"/>
  <c r="O32" i="106" s="1"/>
  <c r="N32" i="106" s="1"/>
  <c r="P32" i="106" s="1"/>
  <c r="L33" i="106" s="1"/>
  <c r="O33" i="106" s="1"/>
  <c r="N33" i="106" s="1"/>
  <c r="P33" i="106" s="1"/>
  <c r="L34" i="106" s="1"/>
  <c r="V94" i="106"/>
  <c r="AB93" i="106"/>
  <c r="X90" i="106"/>
  <c r="Q40" i="106"/>
  <c r="M35" i="106"/>
  <c r="K41" i="106" l="1"/>
  <c r="Q41" i="106" s="1"/>
  <c r="R40" i="106"/>
  <c r="AC40" i="106" s="1"/>
  <c r="Z32" i="106"/>
  <c r="Y32" i="106" s="1"/>
  <c r="AA32" i="106" s="1"/>
  <c r="W33" i="106" s="1"/>
  <c r="V95" i="106"/>
  <c r="AB94" i="106"/>
  <c r="X91" i="106"/>
  <c r="M36" i="106"/>
  <c r="O34" i="106"/>
  <c r="N34" i="106" s="1"/>
  <c r="P34" i="106" s="1"/>
  <c r="L35" i="106" s="1"/>
  <c r="K42" i="106" l="1"/>
  <c r="Q42" i="106" s="1"/>
  <c r="R41" i="106"/>
  <c r="AC41" i="106" s="1"/>
  <c r="Z33" i="106"/>
  <c r="Y33" i="106" s="1"/>
  <c r="AA33" i="106" s="1"/>
  <c r="W34" i="106" s="1"/>
  <c r="X92" i="106"/>
  <c r="V96" i="106"/>
  <c r="AB95" i="106"/>
  <c r="O35" i="106"/>
  <c r="M37" i="106"/>
  <c r="K43" i="106" l="1"/>
  <c r="R42" i="106"/>
  <c r="AC42" i="106" s="1"/>
  <c r="Z34" i="106"/>
  <c r="Y34" i="106" s="1"/>
  <c r="AA34" i="106" s="1"/>
  <c r="W35" i="106" s="1"/>
  <c r="N35" i="106"/>
  <c r="V97" i="106"/>
  <c r="AB96" i="106"/>
  <c r="X93" i="106"/>
  <c r="Q43" i="106"/>
  <c r="M38" i="106"/>
  <c r="K44" i="106" l="1"/>
  <c r="R43" i="106"/>
  <c r="AC43" i="106" s="1"/>
  <c r="Z35" i="106"/>
  <c r="Y35" i="106" s="1"/>
  <c r="AA35" i="106" s="1"/>
  <c r="W36" i="106" s="1"/>
  <c r="P35" i="106"/>
  <c r="L36" i="106" s="1"/>
  <c r="O36" i="106" s="1"/>
  <c r="V98" i="106"/>
  <c r="AB97" i="106"/>
  <c r="X94" i="106"/>
  <c r="M39" i="106"/>
  <c r="Q44" i="106"/>
  <c r="K45" i="106" l="1"/>
  <c r="R44" i="106"/>
  <c r="AC44" i="106" s="1"/>
  <c r="Z36" i="106"/>
  <c r="Y36" i="106" s="1"/>
  <c r="AA36" i="106" s="1"/>
  <c r="W37" i="106" s="1"/>
  <c r="N36" i="106"/>
  <c r="X95" i="106"/>
  <c r="AB98" i="106"/>
  <c r="V99" i="106"/>
  <c r="Q45" i="106"/>
  <c r="M40" i="106"/>
  <c r="K46" i="106" l="1"/>
  <c r="R45" i="106"/>
  <c r="AC45" i="106" s="1"/>
  <c r="Z37" i="106"/>
  <c r="Y37" i="106" s="1"/>
  <c r="AA37" i="106" s="1"/>
  <c r="W38" i="106" s="1"/>
  <c r="P36" i="106"/>
  <c r="X96" i="106"/>
  <c r="V100" i="106"/>
  <c r="AB99" i="106"/>
  <c r="M41" i="106"/>
  <c r="K47" i="106" l="1"/>
  <c r="R46" i="106"/>
  <c r="AC46" i="106" s="1"/>
  <c r="Q46" i="106"/>
  <c r="Z38" i="106"/>
  <c r="Y38" i="106" s="1"/>
  <c r="AA38" i="106" s="1"/>
  <c r="W39" i="106" s="1"/>
  <c r="L37" i="106"/>
  <c r="O37" i="106" s="1"/>
  <c r="V101" i="106"/>
  <c r="AB100" i="106"/>
  <c r="X97" i="106"/>
  <c r="Q47" i="106"/>
  <c r="M42" i="106"/>
  <c r="K48" i="106" l="1"/>
  <c r="R47" i="106"/>
  <c r="AC47" i="106" s="1"/>
  <c r="Z39" i="106"/>
  <c r="Y39" i="106" s="1"/>
  <c r="AA39" i="106" s="1"/>
  <c r="W40" i="106" s="1"/>
  <c r="Z40" i="106" s="1"/>
  <c r="Y40" i="106" s="1"/>
  <c r="AA40" i="106" s="1"/>
  <c r="W41" i="106" s="1"/>
  <c r="N37" i="106"/>
  <c r="V102" i="106"/>
  <c r="AB101" i="106"/>
  <c r="X98" i="106"/>
  <c r="M43" i="106"/>
  <c r="Q48" i="106"/>
  <c r="K49" i="106" l="1"/>
  <c r="R48" i="106"/>
  <c r="AC48" i="106" s="1"/>
  <c r="Z41" i="106"/>
  <c r="Y41" i="106" s="1"/>
  <c r="AA41" i="106" s="1"/>
  <c r="W42" i="106" s="1"/>
  <c r="P37" i="106"/>
  <c r="L38" i="106" s="1"/>
  <c r="O38" i="106" s="1"/>
  <c r="V103" i="106"/>
  <c r="AB102" i="106"/>
  <c r="X99" i="106"/>
  <c r="Q49" i="106"/>
  <c r="M44" i="106"/>
  <c r="K50" i="106" l="1"/>
  <c r="Q50" i="106" s="1"/>
  <c r="R49" i="106"/>
  <c r="AC49" i="106" s="1"/>
  <c r="Z42" i="106"/>
  <c r="Y42" i="106" s="1"/>
  <c r="AA42" i="106" s="1"/>
  <c r="W43" i="106" s="1"/>
  <c r="N38" i="106"/>
  <c r="V104" i="106"/>
  <c r="AB103" i="106"/>
  <c r="X100" i="106"/>
  <c r="M45" i="106"/>
  <c r="K51" i="106" l="1"/>
  <c r="Q51" i="106" s="1"/>
  <c r="R50" i="106"/>
  <c r="AC50" i="106" s="1"/>
  <c r="Z43" i="106"/>
  <c r="Y43" i="106" s="1"/>
  <c r="AA43" i="106" s="1"/>
  <c r="W44" i="106" s="1"/>
  <c r="P38" i="106"/>
  <c r="L39" i="106" s="1"/>
  <c r="O39" i="106" s="1"/>
  <c r="V105" i="106"/>
  <c r="AB104" i="106"/>
  <c r="X101" i="106"/>
  <c r="M46" i="106"/>
  <c r="K52" i="106" l="1"/>
  <c r="R51" i="106"/>
  <c r="AC51" i="106" s="1"/>
  <c r="Z44" i="106"/>
  <c r="Y44" i="106" s="1"/>
  <c r="AA44" i="106" s="1"/>
  <c r="W45" i="106" s="1"/>
  <c r="N39" i="106"/>
  <c r="AB105" i="106"/>
  <c r="V106" i="106"/>
  <c r="X102" i="106"/>
  <c r="M47" i="106"/>
  <c r="K53" i="106" l="1"/>
  <c r="R52" i="106"/>
  <c r="AC52" i="106" s="1"/>
  <c r="Q52" i="106"/>
  <c r="Z45" i="106"/>
  <c r="Y45" i="106" s="1"/>
  <c r="AA45" i="106" s="1"/>
  <c r="W46" i="106" s="1"/>
  <c r="P39" i="106"/>
  <c r="L40" i="106" s="1"/>
  <c r="O40" i="106" s="1"/>
  <c r="N40" i="106" s="1"/>
  <c r="P40" i="106" s="1"/>
  <c r="L41" i="106" s="1"/>
  <c r="O41" i="106" s="1"/>
  <c r="N41" i="106" s="1"/>
  <c r="P41" i="106" s="1"/>
  <c r="L42" i="106" s="1"/>
  <c r="O42" i="106" s="1"/>
  <c r="N42" i="106" s="1"/>
  <c r="P42" i="106" s="1"/>
  <c r="L43" i="106" s="1"/>
  <c r="O43" i="106" s="1"/>
  <c r="N43" i="106" s="1"/>
  <c r="P43" i="106" s="1"/>
  <c r="L44" i="106" s="1"/>
  <c r="O44" i="106" s="1"/>
  <c r="N44" i="106" s="1"/>
  <c r="P44" i="106" s="1"/>
  <c r="L45" i="106" s="1"/>
  <c r="O45" i="106" s="1"/>
  <c r="N45" i="106" s="1"/>
  <c r="P45" i="106" s="1"/>
  <c r="L46" i="106" s="1"/>
  <c r="AB106" i="106"/>
  <c r="V107" i="106"/>
  <c r="X103" i="106"/>
  <c r="M48" i="106"/>
  <c r="Q53" i="106"/>
  <c r="K54" i="106" l="1"/>
  <c r="R53" i="106"/>
  <c r="AC53" i="106" s="1"/>
  <c r="Z46" i="106"/>
  <c r="Y46" i="106" s="1"/>
  <c r="AA46" i="106" s="1"/>
  <c r="W47" i="106" s="1"/>
  <c r="V108" i="106"/>
  <c r="AB107" i="106"/>
  <c r="X104" i="106"/>
  <c r="M49" i="106"/>
  <c r="O46" i="106"/>
  <c r="N46" i="106" s="1"/>
  <c r="P46" i="106" s="1"/>
  <c r="L47" i="106" s="1"/>
  <c r="K55" i="106" l="1"/>
  <c r="Q55" i="106" s="1"/>
  <c r="R54" i="106"/>
  <c r="AC54" i="106" s="1"/>
  <c r="Q54" i="106"/>
  <c r="Z47" i="106"/>
  <c r="Y47" i="106" s="1"/>
  <c r="V109" i="106"/>
  <c r="AB108" i="106"/>
  <c r="X105" i="106"/>
  <c r="O47" i="106"/>
  <c r="M50" i="106"/>
  <c r="K56" i="106" l="1"/>
  <c r="R55" i="106"/>
  <c r="AC55" i="106" s="1"/>
  <c r="AA47" i="106"/>
  <c r="W48" i="106" s="1"/>
  <c r="N47" i="106"/>
  <c r="V110" i="106"/>
  <c r="AB109" i="106"/>
  <c r="X106" i="106"/>
  <c r="M51" i="106"/>
  <c r="K57" i="106" l="1"/>
  <c r="Q57" i="106" s="1"/>
  <c r="R56" i="106"/>
  <c r="AC56" i="106" s="1"/>
  <c r="Q56" i="106"/>
  <c r="Z48" i="106"/>
  <c r="Y48" i="106" s="1"/>
  <c r="AA48" i="106" s="1"/>
  <c r="W49" i="106" s="1"/>
  <c r="P47" i="106"/>
  <c r="L48" i="106" s="1"/>
  <c r="O48" i="106" s="1"/>
  <c r="AB110" i="106"/>
  <c r="V111" i="106"/>
  <c r="X107" i="106"/>
  <c r="M52" i="106"/>
  <c r="K58" i="106" l="1"/>
  <c r="Q58" i="106" s="1"/>
  <c r="R57" i="106"/>
  <c r="AC57" i="106" s="1"/>
  <c r="Z49" i="106"/>
  <c r="Y49" i="106" s="1"/>
  <c r="AA49" i="106" s="1"/>
  <c r="W50" i="106" s="1"/>
  <c r="N48" i="106"/>
  <c r="V112" i="106"/>
  <c r="AB111" i="106"/>
  <c r="X108" i="106"/>
  <c r="M53" i="106"/>
  <c r="K59" i="106" l="1"/>
  <c r="R58" i="106"/>
  <c r="AC58" i="106" s="1"/>
  <c r="Z50" i="106"/>
  <c r="Y50" i="106" s="1"/>
  <c r="P48" i="106"/>
  <c r="AB112" i="106"/>
  <c r="V113" i="106"/>
  <c r="X109" i="106"/>
  <c r="M54" i="106"/>
  <c r="Q59" i="106"/>
  <c r="K60" i="106" l="1"/>
  <c r="R59" i="106"/>
  <c r="AC59" i="106" s="1"/>
  <c r="AA50" i="106"/>
  <c r="W51" i="106" s="1"/>
  <c r="L49" i="106"/>
  <c r="O49" i="106" s="1"/>
  <c r="V114" i="106"/>
  <c r="AB113" i="106"/>
  <c r="X110" i="106"/>
  <c r="Q60" i="106"/>
  <c r="M55" i="106"/>
  <c r="K61" i="106" l="1"/>
  <c r="Q61" i="106" s="1"/>
  <c r="R60" i="106"/>
  <c r="AC60" i="106" s="1"/>
  <c r="Z51" i="106"/>
  <c r="Y51" i="106" s="1"/>
  <c r="AA51" i="106" s="1"/>
  <c r="W52" i="106" s="1"/>
  <c r="N49" i="106"/>
  <c r="X111" i="106"/>
  <c r="AB114" i="106"/>
  <c r="V115" i="106"/>
  <c r="M56" i="106"/>
  <c r="K62" i="106" l="1"/>
  <c r="R61" i="106"/>
  <c r="AC61" i="106" s="1"/>
  <c r="Z52" i="106"/>
  <c r="Y52" i="106" s="1"/>
  <c r="AA52" i="106" s="1"/>
  <c r="W53" i="106" s="1"/>
  <c r="P49" i="106"/>
  <c r="L50" i="106" s="1"/>
  <c r="O50" i="106" s="1"/>
  <c r="V116" i="106"/>
  <c r="AB115" i="106"/>
  <c r="X112" i="106"/>
  <c r="M57" i="106"/>
  <c r="Q62" i="106"/>
  <c r="K63" i="106" l="1"/>
  <c r="R62" i="106"/>
  <c r="AC62" i="106" s="1"/>
  <c r="Z53" i="106"/>
  <c r="N50" i="106"/>
  <c r="V117" i="106"/>
  <c r="AB116" i="106"/>
  <c r="X113" i="106"/>
  <c r="M58" i="106"/>
  <c r="Q63" i="106"/>
  <c r="K64" i="106" l="1"/>
  <c r="R63" i="106"/>
  <c r="AC63" i="106" s="1"/>
  <c r="Y53" i="106"/>
  <c r="AA53" i="106" s="1"/>
  <c r="W54" i="106" s="1"/>
  <c r="P50" i="106"/>
  <c r="L51" i="106" s="1"/>
  <c r="O51" i="106" s="1"/>
  <c r="V118" i="106"/>
  <c r="AB117" i="106"/>
  <c r="X114" i="106"/>
  <c r="Q64" i="106"/>
  <c r="M59" i="106"/>
  <c r="K65" i="106" l="1"/>
  <c r="R64" i="106"/>
  <c r="AC64" i="106" s="1"/>
  <c r="Z54" i="106"/>
  <c r="N51" i="106"/>
  <c r="V119" i="106"/>
  <c r="AB118" i="106"/>
  <c r="X115" i="106"/>
  <c r="M60" i="106"/>
  <c r="Q65" i="106"/>
  <c r="K66" i="106" l="1"/>
  <c r="R65" i="106"/>
  <c r="AC65" i="106" s="1"/>
  <c r="Y54" i="106"/>
  <c r="AA54" i="106" s="1"/>
  <c r="W55" i="106" s="1"/>
  <c r="P51" i="106"/>
  <c r="L52" i="106" s="1"/>
  <c r="O52" i="106" s="1"/>
  <c r="N52" i="106" s="1"/>
  <c r="P52" i="106" s="1"/>
  <c r="L53" i="106" s="1"/>
  <c r="O53" i="106" s="1"/>
  <c r="N53" i="106" s="1"/>
  <c r="P53" i="106" s="1"/>
  <c r="L54" i="106" s="1"/>
  <c r="O54" i="106" s="1"/>
  <c r="N54" i="106" s="1"/>
  <c r="P54" i="106" s="1"/>
  <c r="L55" i="106" s="1"/>
  <c r="O55" i="106" s="1"/>
  <c r="N55" i="106" s="1"/>
  <c r="P55" i="106" s="1"/>
  <c r="L56" i="106" s="1"/>
  <c r="O56" i="106" s="1"/>
  <c r="N56" i="106" s="1"/>
  <c r="P56" i="106" s="1"/>
  <c r="L57" i="106" s="1"/>
  <c r="O57" i="106" s="1"/>
  <c r="N57" i="106" s="1"/>
  <c r="P57" i="106" s="1"/>
  <c r="L58" i="106" s="1"/>
  <c r="AB119" i="106"/>
  <c r="V120" i="106"/>
  <c r="X116" i="106"/>
  <c r="Q66" i="106"/>
  <c r="M61" i="106"/>
  <c r="K67" i="106" l="1"/>
  <c r="R66" i="106"/>
  <c r="AC66" i="106" s="1"/>
  <c r="Z55" i="106"/>
  <c r="V121" i="106"/>
  <c r="AB120" i="106"/>
  <c r="X117" i="106"/>
  <c r="O58" i="106"/>
  <c r="N58" i="106" s="1"/>
  <c r="P58" i="106" s="1"/>
  <c r="L59" i="106" s="1"/>
  <c r="M62" i="106"/>
  <c r="Q67" i="106"/>
  <c r="K68" i="106" l="1"/>
  <c r="R67" i="106"/>
  <c r="AC67" i="106" s="1"/>
  <c r="Y55" i="106"/>
  <c r="AA55" i="106" s="1"/>
  <c r="W56" i="106" s="1"/>
  <c r="X118" i="106"/>
  <c r="V122" i="106"/>
  <c r="AB121" i="106"/>
  <c r="O59" i="106"/>
  <c r="Q68" i="106"/>
  <c r="M63" i="106"/>
  <c r="K69" i="106" l="1"/>
  <c r="R68" i="106"/>
  <c r="AC68" i="106" s="1"/>
  <c r="Z56" i="106"/>
  <c r="Y56" i="106" s="1"/>
  <c r="AA56" i="106" s="1"/>
  <c r="W57" i="106" s="1"/>
  <c r="N59" i="106"/>
  <c r="X119" i="106"/>
  <c r="AB122" i="106"/>
  <c r="V123" i="106"/>
  <c r="M64" i="106"/>
  <c r="Q69" i="106"/>
  <c r="K70" i="106" l="1"/>
  <c r="R69" i="106"/>
  <c r="AC69" i="106" s="1"/>
  <c r="Z57" i="106"/>
  <c r="Y57" i="106" s="1"/>
  <c r="AA57" i="106" s="1"/>
  <c r="W58" i="106" s="1"/>
  <c r="P59" i="106"/>
  <c r="L60" i="106" s="1"/>
  <c r="O60" i="106" s="1"/>
  <c r="V124" i="106"/>
  <c r="AB123" i="106"/>
  <c r="X120" i="106"/>
  <c r="Q70" i="106"/>
  <c r="M65" i="106"/>
  <c r="K71" i="106" l="1"/>
  <c r="R70" i="106"/>
  <c r="AC70" i="106" s="1"/>
  <c r="Z58" i="106"/>
  <c r="Y58" i="106" s="1"/>
  <c r="AA58" i="106" s="1"/>
  <c r="W59" i="106" s="1"/>
  <c r="N60" i="106"/>
  <c r="V125" i="106"/>
  <c r="AB124" i="106"/>
  <c r="X121" i="106"/>
  <c r="M66" i="106"/>
  <c r="Q71" i="106"/>
  <c r="K72" i="106" l="1"/>
  <c r="R71" i="106"/>
  <c r="AC71" i="106" s="1"/>
  <c r="Z59" i="106"/>
  <c r="Y59" i="106" s="1"/>
  <c r="AA59" i="106" s="1"/>
  <c r="W60" i="106" s="1"/>
  <c r="P60" i="106"/>
  <c r="X122" i="106"/>
  <c r="V126" i="106"/>
  <c r="AB125" i="106"/>
  <c r="Q72" i="106"/>
  <c r="M67" i="106"/>
  <c r="K73" i="106" l="1"/>
  <c r="R72" i="106"/>
  <c r="AC72" i="106" s="1"/>
  <c r="Z60" i="106"/>
  <c r="Y60" i="106" s="1"/>
  <c r="AA60" i="106" s="1"/>
  <c r="W61" i="106" s="1"/>
  <c r="L61" i="106"/>
  <c r="O61" i="106" s="1"/>
  <c r="X123" i="106"/>
  <c r="V127" i="106"/>
  <c r="AB126" i="106"/>
  <c r="M68" i="106"/>
  <c r="Q73" i="106"/>
  <c r="K74" i="106" l="1"/>
  <c r="R73" i="106"/>
  <c r="AC73" i="106" s="1"/>
  <c r="Z61" i="106"/>
  <c r="Y61" i="106" s="1"/>
  <c r="AA61" i="106" s="1"/>
  <c r="W62" i="106" s="1"/>
  <c r="N61" i="106"/>
  <c r="AB127" i="106"/>
  <c r="V128" i="106"/>
  <c r="X124" i="106"/>
  <c r="Q74" i="106"/>
  <c r="M69" i="106"/>
  <c r="K75" i="106" l="1"/>
  <c r="R74" i="106"/>
  <c r="AC74" i="106" s="1"/>
  <c r="Z62" i="106"/>
  <c r="Y62" i="106" s="1"/>
  <c r="AA62" i="106" s="1"/>
  <c r="W63" i="106" s="1"/>
  <c r="P61" i="106"/>
  <c r="L62" i="106" s="1"/>
  <c r="O62" i="106" s="1"/>
  <c r="V129" i="106"/>
  <c r="AB128" i="106"/>
  <c r="X125" i="106"/>
  <c r="M70" i="106"/>
  <c r="K76" i="106" l="1"/>
  <c r="R75" i="106"/>
  <c r="AC75" i="106" s="1"/>
  <c r="Q75" i="106"/>
  <c r="Z63" i="106"/>
  <c r="Y63" i="106" s="1"/>
  <c r="N62" i="106"/>
  <c r="V130" i="106"/>
  <c r="AB129" i="106"/>
  <c r="X126" i="106"/>
  <c r="Q76" i="106"/>
  <c r="M71" i="106"/>
  <c r="K77" i="106" l="1"/>
  <c r="R76" i="106"/>
  <c r="AC76" i="106" s="1"/>
  <c r="AA63" i="106"/>
  <c r="W64" i="106" s="1"/>
  <c r="P62" i="106"/>
  <c r="L63" i="106" s="1"/>
  <c r="O63" i="106" s="1"/>
  <c r="V131" i="106"/>
  <c r="AB130" i="106"/>
  <c r="X127" i="106"/>
  <c r="Q77" i="106"/>
  <c r="M72" i="106"/>
  <c r="K78" i="106" l="1"/>
  <c r="R77" i="106"/>
  <c r="AC77" i="106" s="1"/>
  <c r="Z64" i="106"/>
  <c r="Y64" i="106" s="1"/>
  <c r="AA64" i="106" s="1"/>
  <c r="W65" i="106" s="1"/>
  <c r="N63" i="106"/>
  <c r="V132" i="106"/>
  <c r="AB131" i="106"/>
  <c r="X128" i="106"/>
  <c r="M73" i="106"/>
  <c r="Q78" i="106"/>
  <c r="K79" i="106" l="1"/>
  <c r="R78" i="106"/>
  <c r="AC78" i="106" s="1"/>
  <c r="Z65" i="106"/>
  <c r="Y65" i="106" s="1"/>
  <c r="AA65" i="106" s="1"/>
  <c r="W66" i="106" s="1"/>
  <c r="P63" i="106"/>
  <c r="L64" i="106" s="1"/>
  <c r="O64" i="106" s="1"/>
  <c r="N64" i="106" s="1"/>
  <c r="P64" i="106" s="1"/>
  <c r="L65" i="106" s="1"/>
  <c r="O65" i="106" s="1"/>
  <c r="N65" i="106" s="1"/>
  <c r="P65" i="106" s="1"/>
  <c r="L66" i="106" s="1"/>
  <c r="O66" i="106" s="1"/>
  <c r="N66" i="106" s="1"/>
  <c r="P66" i="106" s="1"/>
  <c r="L67" i="106" s="1"/>
  <c r="O67" i="106" s="1"/>
  <c r="N67" i="106" s="1"/>
  <c r="P67" i="106" s="1"/>
  <c r="L68" i="106" s="1"/>
  <c r="O68" i="106" s="1"/>
  <c r="N68" i="106" s="1"/>
  <c r="P68" i="106" s="1"/>
  <c r="L69" i="106" s="1"/>
  <c r="O69" i="106" s="1"/>
  <c r="N69" i="106" s="1"/>
  <c r="P69" i="106" s="1"/>
  <c r="L70" i="106" s="1"/>
  <c r="X129" i="106"/>
  <c r="V133" i="106"/>
  <c r="AB132" i="106"/>
  <c r="Q79" i="106"/>
  <c r="M74" i="106"/>
  <c r="K80" i="106" l="1"/>
  <c r="Q80" i="106" s="1"/>
  <c r="R79" i="106"/>
  <c r="AC79" i="106" s="1"/>
  <c r="Z66" i="106"/>
  <c r="Y66" i="106" s="1"/>
  <c r="AA66" i="106" s="1"/>
  <c r="W67" i="106" s="1"/>
  <c r="X130" i="106"/>
  <c r="V134" i="106"/>
  <c r="AB133" i="106"/>
  <c r="M75" i="106"/>
  <c r="O70" i="106"/>
  <c r="N70" i="106" s="1"/>
  <c r="P70" i="106" s="1"/>
  <c r="L71" i="106" s="1"/>
  <c r="K81" i="106" l="1"/>
  <c r="Q81" i="106" s="1"/>
  <c r="R80" i="106"/>
  <c r="AC80" i="106" s="1"/>
  <c r="Z67" i="106"/>
  <c r="Y67" i="106" s="1"/>
  <c r="AA67" i="106" s="1"/>
  <c r="W68" i="106" s="1"/>
  <c r="AB134" i="106"/>
  <c r="V135" i="106"/>
  <c r="X131" i="106"/>
  <c r="O71" i="106"/>
  <c r="M76" i="106"/>
  <c r="K82" i="106" l="1"/>
  <c r="Q82" i="106" s="1"/>
  <c r="R81" i="106"/>
  <c r="AC81" i="106" s="1"/>
  <c r="Z68" i="106"/>
  <c r="Y68" i="106" s="1"/>
  <c r="AA68" i="106" s="1"/>
  <c r="W69" i="106" s="1"/>
  <c r="N71" i="106"/>
  <c r="X132" i="106"/>
  <c r="V136" i="106"/>
  <c r="AB135" i="106"/>
  <c r="M77" i="106"/>
  <c r="K83" i="106" l="1"/>
  <c r="R82" i="106"/>
  <c r="AC82" i="106" s="1"/>
  <c r="Z69" i="106"/>
  <c r="Y69" i="106" s="1"/>
  <c r="AA69" i="106" s="1"/>
  <c r="W70" i="106" s="1"/>
  <c r="P71" i="106"/>
  <c r="L72" i="106" s="1"/>
  <c r="O72" i="106" s="1"/>
  <c r="V137" i="106"/>
  <c r="AB136" i="106"/>
  <c r="X133" i="106"/>
  <c r="M78" i="106"/>
  <c r="K84" i="106" l="1"/>
  <c r="R83" i="106"/>
  <c r="AC83" i="106" s="1"/>
  <c r="Q83" i="106"/>
  <c r="Z70" i="106"/>
  <c r="Y70" i="106" s="1"/>
  <c r="AA70" i="106" s="1"/>
  <c r="W71" i="106" s="1"/>
  <c r="N72" i="106"/>
  <c r="X134" i="106"/>
  <c r="V138" i="106"/>
  <c r="AB137" i="106"/>
  <c r="M79" i="106"/>
  <c r="K85" i="106" l="1"/>
  <c r="Q85" i="106" s="1"/>
  <c r="R84" i="106"/>
  <c r="AC84" i="106" s="1"/>
  <c r="Q84" i="106"/>
  <c r="Z71" i="106"/>
  <c r="Y71" i="106" s="1"/>
  <c r="AA71" i="106" s="1"/>
  <c r="W72" i="106" s="1"/>
  <c r="P72" i="106"/>
  <c r="X135" i="106"/>
  <c r="V139" i="106"/>
  <c r="AB138" i="106"/>
  <c r="M80" i="106"/>
  <c r="K86" i="106" l="1"/>
  <c r="R85" i="106"/>
  <c r="AC85" i="106" s="1"/>
  <c r="Z72" i="106"/>
  <c r="Y72" i="106" s="1"/>
  <c r="AA72" i="106" s="1"/>
  <c r="W73" i="106" s="1"/>
  <c r="L73" i="106"/>
  <c r="O73" i="106" s="1"/>
  <c r="V140" i="106"/>
  <c r="AB139" i="106"/>
  <c r="X136" i="106"/>
  <c r="M81" i="106"/>
  <c r="Q86" i="106"/>
  <c r="K87" i="106" l="1"/>
  <c r="R86" i="106"/>
  <c r="AC86" i="106" s="1"/>
  <c r="Z73" i="106"/>
  <c r="N73" i="106"/>
  <c r="O6" i="106"/>
  <c r="V141" i="106"/>
  <c r="AB140" i="106"/>
  <c r="X137" i="106"/>
  <c r="M82" i="106"/>
  <c r="K88" i="106" l="1"/>
  <c r="R87" i="106"/>
  <c r="AC87" i="106" s="1"/>
  <c r="Q87" i="106"/>
  <c r="Y73" i="106"/>
  <c r="Z6" i="106"/>
  <c r="D6" i="106" s="1"/>
  <c r="P73" i="106"/>
  <c r="V142" i="106"/>
  <c r="AB141" i="106"/>
  <c r="X138" i="106"/>
  <c r="Q88" i="106"/>
  <c r="M83" i="106"/>
  <c r="K89" i="106" l="1"/>
  <c r="R88" i="106"/>
  <c r="AC88" i="106" s="1"/>
  <c r="AA73" i="106"/>
  <c r="L74" i="106"/>
  <c r="O74" i="106" s="1"/>
  <c r="O7" i="106"/>
  <c r="AB142" i="106"/>
  <c r="V143" i="106"/>
  <c r="X139" i="106"/>
  <c r="M84" i="106"/>
  <c r="K90" i="106" l="1"/>
  <c r="R89" i="106"/>
  <c r="AC89" i="106" s="1"/>
  <c r="Q89" i="106"/>
  <c r="N74" i="106"/>
  <c r="Z7" i="106"/>
  <c r="D7" i="106" s="1"/>
  <c r="W74" i="106"/>
  <c r="V144" i="106"/>
  <c r="AB143" i="106"/>
  <c r="X140" i="106"/>
  <c r="Q90" i="106"/>
  <c r="M85" i="106"/>
  <c r="K91" i="106" l="1"/>
  <c r="Q91" i="106" s="1"/>
  <c r="R90" i="106"/>
  <c r="AC90" i="106" s="1"/>
  <c r="P74" i="106"/>
  <c r="L75" i="106" s="1"/>
  <c r="O75" i="106" s="1"/>
  <c r="D9" i="106"/>
  <c r="D10" i="106" s="1"/>
  <c r="Z74" i="106"/>
  <c r="Y74" i="106" s="1"/>
  <c r="X141" i="106"/>
  <c r="V145" i="106"/>
  <c r="AB144" i="106"/>
  <c r="M86" i="106"/>
  <c r="K92" i="106" l="1"/>
  <c r="Q92" i="106" s="1"/>
  <c r="R91" i="106"/>
  <c r="AC91" i="106" s="1"/>
  <c r="AA74" i="106"/>
  <c r="W75" i="106" s="1"/>
  <c r="Z75" i="106" s="1"/>
  <c r="Y75" i="106" s="1"/>
  <c r="AA75" i="106" s="1"/>
  <c r="W76" i="106" s="1"/>
  <c r="N75" i="106"/>
  <c r="D11" i="106"/>
  <c r="X142" i="106"/>
  <c r="V146" i="106"/>
  <c r="AB145" i="106"/>
  <c r="M87" i="106"/>
  <c r="K93" i="106" l="1"/>
  <c r="R92" i="106"/>
  <c r="AC92" i="106" s="1"/>
  <c r="P75" i="106"/>
  <c r="L76" i="106" s="1"/>
  <c r="O76" i="106" s="1"/>
  <c r="Z76" i="106"/>
  <c r="Y76" i="106" s="1"/>
  <c r="X143" i="106"/>
  <c r="V147" i="106"/>
  <c r="AB146" i="106"/>
  <c r="M88" i="106"/>
  <c r="Q93" i="106"/>
  <c r="K94" i="106" l="1"/>
  <c r="R93" i="106"/>
  <c r="AC93" i="106" s="1"/>
  <c r="AA76" i="106"/>
  <c r="W77" i="106" s="1"/>
  <c r="Z77" i="106" s="1"/>
  <c r="Y77" i="106" s="1"/>
  <c r="AA77" i="106" s="1"/>
  <c r="W78" i="106" s="1"/>
  <c r="N76" i="106"/>
  <c r="V148" i="106"/>
  <c r="AB147" i="106"/>
  <c r="X144" i="106"/>
  <c r="Q94" i="106"/>
  <c r="M89" i="106"/>
  <c r="K95" i="106" l="1"/>
  <c r="R94" i="106"/>
  <c r="AC94" i="106" s="1"/>
  <c r="P76" i="106"/>
  <c r="L77" i="106" s="1"/>
  <c r="O77" i="106" s="1"/>
  <c r="Z78" i="106"/>
  <c r="Y78" i="106" s="1"/>
  <c r="V149" i="106"/>
  <c r="AB148" i="106"/>
  <c r="X145" i="106"/>
  <c r="M90" i="106"/>
  <c r="Q95" i="106"/>
  <c r="K96" i="106" l="1"/>
  <c r="Q96" i="106" s="1"/>
  <c r="R95" i="106"/>
  <c r="AC95" i="106" s="1"/>
  <c r="AA78" i="106"/>
  <c r="W79" i="106" s="1"/>
  <c r="Z79" i="106" s="1"/>
  <c r="Y79" i="106" s="1"/>
  <c r="AA79" i="106" s="1"/>
  <c r="W80" i="106" s="1"/>
  <c r="N77" i="106"/>
  <c r="V150" i="106"/>
  <c r="AB149" i="106"/>
  <c r="X146" i="106"/>
  <c r="M91" i="106"/>
  <c r="K97" i="106" l="1"/>
  <c r="Q97" i="106" s="1"/>
  <c r="R96" i="106"/>
  <c r="AC96" i="106" s="1"/>
  <c r="P77" i="106"/>
  <c r="L78" i="106" s="1"/>
  <c r="O78" i="106" s="1"/>
  <c r="Z80" i="106"/>
  <c r="Y80" i="106" s="1"/>
  <c r="AB150" i="106"/>
  <c r="V151" i="106"/>
  <c r="X147" i="106"/>
  <c r="M92" i="106"/>
  <c r="K98" i="106" l="1"/>
  <c r="R97" i="106"/>
  <c r="AC97" i="106" s="1"/>
  <c r="AA80" i="106"/>
  <c r="W81" i="106" s="1"/>
  <c r="Z81" i="106" s="1"/>
  <c r="Y81" i="106" s="1"/>
  <c r="AA81" i="106" s="1"/>
  <c r="W82" i="106" s="1"/>
  <c r="N78" i="106"/>
  <c r="V152" i="106"/>
  <c r="AB151" i="106"/>
  <c r="X148" i="106"/>
  <c r="M93" i="106"/>
  <c r="K99" i="106" l="1"/>
  <c r="Q99" i="106" s="1"/>
  <c r="R98" i="106"/>
  <c r="AC98" i="106" s="1"/>
  <c r="Q98" i="106"/>
  <c r="P78" i="106"/>
  <c r="L79" i="106" s="1"/>
  <c r="O79" i="106" s="1"/>
  <c r="N79" i="106" s="1"/>
  <c r="P79" i="106" s="1"/>
  <c r="L80" i="106" s="1"/>
  <c r="O80" i="106" s="1"/>
  <c r="N80" i="106" s="1"/>
  <c r="P80" i="106" s="1"/>
  <c r="L81" i="106" s="1"/>
  <c r="O81" i="106" s="1"/>
  <c r="N81" i="106" s="1"/>
  <c r="P81" i="106" s="1"/>
  <c r="L82" i="106" s="1"/>
  <c r="O82" i="106" s="1"/>
  <c r="N82" i="106" s="1"/>
  <c r="P82" i="106" s="1"/>
  <c r="L83" i="106" s="1"/>
  <c r="O83" i="106" s="1"/>
  <c r="N83" i="106" s="1"/>
  <c r="P83" i="106" s="1"/>
  <c r="L84" i="106" s="1"/>
  <c r="O84" i="106" s="1"/>
  <c r="N84" i="106" s="1"/>
  <c r="P84" i="106" s="1"/>
  <c r="L85" i="106" s="1"/>
  <c r="O85" i="106" s="1"/>
  <c r="N85" i="106" s="1"/>
  <c r="P85" i="106" s="1"/>
  <c r="L86" i="106" s="1"/>
  <c r="O86" i="106" s="1"/>
  <c r="N86" i="106" s="1"/>
  <c r="P86" i="106" s="1"/>
  <c r="L87" i="106" s="1"/>
  <c r="O87" i="106" s="1"/>
  <c r="N87" i="106" s="1"/>
  <c r="P87" i="106" s="1"/>
  <c r="L88" i="106" s="1"/>
  <c r="Z82" i="106"/>
  <c r="Y82" i="106" s="1"/>
  <c r="V153" i="106"/>
  <c r="AB152" i="106"/>
  <c r="X149" i="106"/>
  <c r="M94" i="106"/>
  <c r="K100" i="106" l="1"/>
  <c r="R99" i="106"/>
  <c r="AC99" i="106" s="1"/>
  <c r="AA82" i="106"/>
  <c r="W83" i="106" s="1"/>
  <c r="Z83" i="106" s="1"/>
  <c r="Y83" i="106" s="1"/>
  <c r="AA83" i="106" s="1"/>
  <c r="W84" i="106" s="1"/>
  <c r="V154" i="106"/>
  <c r="AB153" i="106"/>
  <c r="X150" i="106"/>
  <c r="M95" i="106"/>
  <c r="O88" i="106"/>
  <c r="N88" i="106" s="1"/>
  <c r="P88" i="106" s="1"/>
  <c r="L89" i="106" s="1"/>
  <c r="K101" i="106" l="1"/>
  <c r="Q101" i="106" s="1"/>
  <c r="R100" i="106"/>
  <c r="AC100" i="106" s="1"/>
  <c r="Q100" i="106"/>
  <c r="Z84" i="106"/>
  <c r="Y84" i="106" s="1"/>
  <c r="AA84" i="106" s="1"/>
  <c r="W85" i="106" s="1"/>
  <c r="V155" i="106"/>
  <c r="AB154" i="106"/>
  <c r="X151" i="106"/>
  <c r="O89" i="106"/>
  <c r="N89" i="106" s="1"/>
  <c r="P89" i="106" s="1"/>
  <c r="L90" i="106" s="1"/>
  <c r="M96" i="106"/>
  <c r="K102" i="106" l="1"/>
  <c r="Q102" i="106" s="1"/>
  <c r="R101" i="106"/>
  <c r="AC101" i="106" s="1"/>
  <c r="Z85" i="106"/>
  <c r="Y85" i="106" s="1"/>
  <c r="AA85" i="106" s="1"/>
  <c r="W86" i="106" s="1"/>
  <c r="V156" i="106"/>
  <c r="AB155" i="106"/>
  <c r="X152" i="106"/>
  <c r="O90" i="106"/>
  <c r="N90" i="106" s="1"/>
  <c r="P90" i="106" s="1"/>
  <c r="L91" i="106" s="1"/>
  <c r="M97" i="106"/>
  <c r="K103" i="106" l="1"/>
  <c r="R102" i="106"/>
  <c r="AC102" i="106" s="1"/>
  <c r="Z86" i="106"/>
  <c r="Y86" i="106" s="1"/>
  <c r="AA86" i="106" s="1"/>
  <c r="W87" i="106" s="1"/>
  <c r="V157" i="106"/>
  <c r="AB156" i="106"/>
  <c r="X153" i="106"/>
  <c r="O91" i="106"/>
  <c r="N91" i="106" s="1"/>
  <c r="P91" i="106" s="1"/>
  <c r="L92" i="106" s="1"/>
  <c r="Q103" i="106"/>
  <c r="M98" i="106"/>
  <c r="K104" i="106" l="1"/>
  <c r="R103" i="106"/>
  <c r="AC103" i="106" s="1"/>
  <c r="Z87" i="106"/>
  <c r="Y87" i="106" s="1"/>
  <c r="AA87" i="106" s="1"/>
  <c r="W88" i="106" s="1"/>
  <c r="V158" i="106"/>
  <c r="AB157" i="106"/>
  <c r="X154" i="106"/>
  <c r="O92" i="106"/>
  <c r="N92" i="106" s="1"/>
  <c r="P92" i="106" s="1"/>
  <c r="L93" i="106" s="1"/>
  <c r="M99" i="106"/>
  <c r="Q104" i="106"/>
  <c r="K105" i="106" l="1"/>
  <c r="R104" i="106"/>
  <c r="AC104" i="106" s="1"/>
  <c r="Z88" i="106"/>
  <c r="Y88" i="106" s="1"/>
  <c r="AA88" i="106" s="1"/>
  <c r="W89" i="106" s="1"/>
  <c r="AB158" i="106"/>
  <c r="V159" i="106"/>
  <c r="X155" i="106"/>
  <c r="O93" i="106"/>
  <c r="N93" i="106" s="1"/>
  <c r="P93" i="106" s="1"/>
  <c r="L94" i="106" s="1"/>
  <c r="Q105" i="106"/>
  <c r="M100" i="106"/>
  <c r="K106" i="106" l="1"/>
  <c r="R105" i="106"/>
  <c r="AC105" i="106" s="1"/>
  <c r="Z89" i="106"/>
  <c r="Y89" i="106" s="1"/>
  <c r="AA89" i="106" s="1"/>
  <c r="W90" i="106" s="1"/>
  <c r="V160" i="106"/>
  <c r="AB159" i="106"/>
  <c r="X156" i="106"/>
  <c r="O94" i="106"/>
  <c r="N94" i="106" s="1"/>
  <c r="P94" i="106" s="1"/>
  <c r="L95" i="106" s="1"/>
  <c r="M101" i="106"/>
  <c r="Q106" i="106"/>
  <c r="K107" i="106" l="1"/>
  <c r="R106" i="106"/>
  <c r="AC106" i="106" s="1"/>
  <c r="Z90" i="106"/>
  <c r="Y90" i="106" s="1"/>
  <c r="AA90" i="106" s="1"/>
  <c r="W91" i="106" s="1"/>
  <c r="X157" i="106"/>
  <c r="V161" i="106"/>
  <c r="AB160" i="106"/>
  <c r="Q107" i="106"/>
  <c r="M102" i="106"/>
  <c r="O95" i="106"/>
  <c r="N95" i="106" s="1"/>
  <c r="P95" i="106" s="1"/>
  <c r="L96" i="106" s="1"/>
  <c r="K108" i="106" l="1"/>
  <c r="R107" i="106"/>
  <c r="AC107" i="106" s="1"/>
  <c r="Z91" i="106"/>
  <c r="Y91" i="106" s="1"/>
  <c r="AA91" i="106" s="1"/>
  <c r="W92" i="106" s="1"/>
  <c r="X158" i="106"/>
  <c r="V162" i="106"/>
  <c r="AB161" i="106"/>
  <c r="O96" i="106"/>
  <c r="N96" i="106" s="1"/>
  <c r="P96" i="106" s="1"/>
  <c r="L97" i="106" s="1"/>
  <c r="M103" i="106"/>
  <c r="K109" i="106" l="1"/>
  <c r="R108" i="106"/>
  <c r="AC108" i="106" s="1"/>
  <c r="Q108" i="106"/>
  <c r="Z92" i="106"/>
  <c r="Y92" i="106" s="1"/>
  <c r="AA92" i="106" s="1"/>
  <c r="W93" i="106" s="1"/>
  <c r="V163" i="106"/>
  <c r="AB162" i="106"/>
  <c r="X159" i="106"/>
  <c r="O97" i="106"/>
  <c r="N97" i="106" s="1"/>
  <c r="P97" i="106" s="1"/>
  <c r="L98" i="106" s="1"/>
  <c r="M104" i="106"/>
  <c r="K110" i="106" l="1"/>
  <c r="R109" i="106"/>
  <c r="AC109" i="106" s="1"/>
  <c r="Q109" i="106"/>
  <c r="Z93" i="106"/>
  <c r="Y93" i="106" s="1"/>
  <c r="AA93" i="106" s="1"/>
  <c r="W94" i="106" s="1"/>
  <c r="V164" i="106"/>
  <c r="AB163" i="106"/>
  <c r="X160" i="106"/>
  <c r="O98" i="106"/>
  <c r="N98" i="106" s="1"/>
  <c r="P98" i="106" s="1"/>
  <c r="L99" i="106" s="1"/>
  <c r="M105" i="106"/>
  <c r="Q110" i="106"/>
  <c r="K111" i="106" l="1"/>
  <c r="Q111" i="106" s="1"/>
  <c r="R110" i="106"/>
  <c r="AC110" i="106" s="1"/>
  <c r="Z94" i="106"/>
  <c r="Y94" i="106" s="1"/>
  <c r="AA94" i="106" s="1"/>
  <c r="W95" i="106" s="1"/>
  <c r="V165" i="106"/>
  <c r="AB164" i="106"/>
  <c r="X161" i="106"/>
  <c r="O99" i="106"/>
  <c r="N99" i="106" s="1"/>
  <c r="P99" i="106" s="1"/>
  <c r="L100" i="106" s="1"/>
  <c r="M106" i="106"/>
  <c r="K112" i="106" l="1"/>
  <c r="R111" i="106"/>
  <c r="AC111" i="106" s="1"/>
  <c r="Z95" i="106"/>
  <c r="Y95" i="106" s="1"/>
  <c r="AA95" i="106" s="1"/>
  <c r="W96" i="106" s="1"/>
  <c r="V166" i="106"/>
  <c r="AB165" i="106"/>
  <c r="X162" i="106"/>
  <c r="O100" i="106"/>
  <c r="N100" i="106" s="1"/>
  <c r="P100" i="106" s="1"/>
  <c r="L101" i="106" s="1"/>
  <c r="M107" i="106"/>
  <c r="Q112" i="106"/>
  <c r="K113" i="106" l="1"/>
  <c r="R112" i="106"/>
  <c r="AC112" i="106" s="1"/>
  <c r="Z96" i="106"/>
  <c r="Y96" i="106" s="1"/>
  <c r="AA96" i="106" s="1"/>
  <c r="W97" i="106" s="1"/>
  <c r="AB166" i="106"/>
  <c r="V167" i="106"/>
  <c r="X163" i="106"/>
  <c r="O101" i="106"/>
  <c r="N101" i="106" s="1"/>
  <c r="P101" i="106" s="1"/>
  <c r="L102" i="106" s="1"/>
  <c r="M108" i="106"/>
  <c r="K114" i="106" l="1"/>
  <c r="R113" i="106"/>
  <c r="AC113" i="106" s="1"/>
  <c r="Q113" i="106"/>
  <c r="Z97" i="106"/>
  <c r="Y97" i="106" s="1"/>
  <c r="AA97" i="106" s="1"/>
  <c r="W98" i="106" s="1"/>
  <c r="V168" i="106"/>
  <c r="AB167" i="106"/>
  <c r="X164" i="106"/>
  <c r="O102" i="106"/>
  <c r="N102" i="106" s="1"/>
  <c r="P102" i="106" s="1"/>
  <c r="L103" i="106" s="1"/>
  <c r="Q114" i="106"/>
  <c r="M109" i="106"/>
  <c r="K115" i="106" l="1"/>
  <c r="R114" i="106"/>
  <c r="AC114" i="106" s="1"/>
  <c r="Z98" i="106"/>
  <c r="Y98" i="106" s="1"/>
  <c r="AA98" i="106" s="1"/>
  <c r="W99" i="106" s="1"/>
  <c r="X165" i="106"/>
  <c r="V169" i="106"/>
  <c r="AB168" i="106"/>
  <c r="O103" i="106"/>
  <c r="N103" i="106" s="1"/>
  <c r="P103" i="106" s="1"/>
  <c r="L104" i="106" s="1"/>
  <c r="M110" i="106"/>
  <c r="Q115" i="106"/>
  <c r="K116" i="106" l="1"/>
  <c r="R115" i="106"/>
  <c r="AC115" i="106" s="1"/>
  <c r="Z99" i="106"/>
  <c r="Y99" i="106" s="1"/>
  <c r="AA99" i="106" s="1"/>
  <c r="W100" i="106" s="1"/>
  <c r="V170" i="106"/>
  <c r="AB169" i="106"/>
  <c r="X166" i="106"/>
  <c r="Q116" i="106"/>
  <c r="M111" i="106"/>
  <c r="O104" i="106"/>
  <c r="N104" i="106" s="1"/>
  <c r="P104" i="106" s="1"/>
  <c r="L105" i="106" s="1"/>
  <c r="K117" i="106" l="1"/>
  <c r="R116" i="106"/>
  <c r="AC116" i="106" s="1"/>
  <c r="Z100" i="106"/>
  <c r="Y100" i="106" s="1"/>
  <c r="AA100" i="106" s="1"/>
  <c r="W101" i="106" s="1"/>
  <c r="V171" i="106"/>
  <c r="AB170" i="106"/>
  <c r="X167" i="106"/>
  <c r="O105" i="106"/>
  <c r="N105" i="106" s="1"/>
  <c r="P105" i="106" s="1"/>
  <c r="L106" i="106" s="1"/>
  <c r="M112" i="106"/>
  <c r="Q117" i="106"/>
  <c r="K118" i="106" l="1"/>
  <c r="R117" i="106"/>
  <c r="AC117" i="106" s="1"/>
  <c r="Z101" i="106"/>
  <c r="Y101" i="106" s="1"/>
  <c r="AA101" i="106" s="1"/>
  <c r="W102" i="106" s="1"/>
  <c r="V172" i="106"/>
  <c r="AB171" i="106"/>
  <c r="X168" i="106"/>
  <c r="O106" i="106"/>
  <c r="N106" i="106" s="1"/>
  <c r="P106" i="106" s="1"/>
  <c r="L107" i="106" s="1"/>
  <c r="Q118" i="106"/>
  <c r="M113" i="106"/>
  <c r="K119" i="106" l="1"/>
  <c r="R118" i="106"/>
  <c r="AC118" i="106" s="1"/>
  <c r="Z102" i="106"/>
  <c r="Y102" i="106" s="1"/>
  <c r="AA102" i="106" s="1"/>
  <c r="W103" i="106" s="1"/>
  <c r="V173" i="106"/>
  <c r="AB172" i="106"/>
  <c r="X169" i="106"/>
  <c r="O107" i="106"/>
  <c r="N107" i="106" s="1"/>
  <c r="P107" i="106" s="1"/>
  <c r="L108" i="106" s="1"/>
  <c r="M114" i="106"/>
  <c r="Q119" i="106"/>
  <c r="K120" i="106" l="1"/>
  <c r="Q120" i="106" s="1"/>
  <c r="R119" i="106"/>
  <c r="AC119" i="106" s="1"/>
  <c r="Z103" i="106"/>
  <c r="Y103" i="106" s="1"/>
  <c r="AA103" i="106" s="1"/>
  <c r="W104" i="106" s="1"/>
  <c r="V174" i="106"/>
  <c r="AB173" i="106"/>
  <c r="X170" i="106"/>
  <c r="O108" i="106"/>
  <c r="N108" i="106" s="1"/>
  <c r="P108" i="106" s="1"/>
  <c r="L109" i="106" s="1"/>
  <c r="M115" i="106"/>
  <c r="K121" i="106" l="1"/>
  <c r="Q121" i="106" s="1"/>
  <c r="R120" i="106"/>
  <c r="AC120" i="106" s="1"/>
  <c r="Z104" i="106"/>
  <c r="Y104" i="106" s="1"/>
  <c r="AA104" i="106" s="1"/>
  <c r="W105" i="106" s="1"/>
  <c r="AB174" i="106"/>
  <c r="V175" i="106"/>
  <c r="X171" i="106"/>
  <c r="O109" i="106"/>
  <c r="N109" i="106" s="1"/>
  <c r="P109" i="106" s="1"/>
  <c r="L110" i="106" s="1"/>
  <c r="M116" i="106"/>
  <c r="K122" i="106" l="1"/>
  <c r="R121" i="106"/>
  <c r="AC121" i="106" s="1"/>
  <c r="Z105" i="106"/>
  <c r="Y105" i="106" s="1"/>
  <c r="AA105" i="106" s="1"/>
  <c r="W106" i="106" s="1"/>
  <c r="V176" i="106"/>
  <c r="AB175" i="106"/>
  <c r="X172" i="106"/>
  <c r="Q122" i="106"/>
  <c r="M117" i="106"/>
  <c r="O110" i="106"/>
  <c r="N110" i="106" s="1"/>
  <c r="P110" i="106" s="1"/>
  <c r="L111" i="106" s="1"/>
  <c r="K123" i="106" l="1"/>
  <c r="R122" i="106"/>
  <c r="AC122" i="106" s="1"/>
  <c r="Z106" i="106"/>
  <c r="Y106" i="106" s="1"/>
  <c r="AA106" i="106" s="1"/>
  <c r="W107" i="106" s="1"/>
  <c r="V177" i="106"/>
  <c r="AB176" i="106"/>
  <c r="X173" i="106"/>
  <c r="O111" i="106"/>
  <c r="N111" i="106" s="1"/>
  <c r="P111" i="106" s="1"/>
  <c r="L112" i="106" s="1"/>
  <c r="Q123" i="106"/>
  <c r="M118" i="106"/>
  <c r="K124" i="106" l="1"/>
  <c r="Q124" i="106" s="1"/>
  <c r="R123" i="106"/>
  <c r="AC123" i="106" s="1"/>
  <c r="Z107" i="106"/>
  <c r="Y107" i="106" s="1"/>
  <c r="AA107" i="106" s="1"/>
  <c r="W108" i="106" s="1"/>
  <c r="X174" i="106"/>
  <c r="V178" i="106"/>
  <c r="AB177" i="106"/>
  <c r="M119" i="106"/>
  <c r="O112" i="106"/>
  <c r="N112" i="106" s="1"/>
  <c r="P112" i="106" s="1"/>
  <c r="L113" i="106" s="1"/>
  <c r="K125" i="106" l="1"/>
  <c r="Q125" i="106" s="1"/>
  <c r="R124" i="106"/>
  <c r="AC124" i="106" s="1"/>
  <c r="Z108" i="106"/>
  <c r="Y108" i="106" s="1"/>
  <c r="AA108" i="106" s="1"/>
  <c r="W109" i="106" s="1"/>
  <c r="V179" i="106"/>
  <c r="AB178" i="106"/>
  <c r="X175" i="106"/>
  <c r="O113" i="106"/>
  <c r="N113" i="106" s="1"/>
  <c r="P113" i="106" s="1"/>
  <c r="L114" i="106" s="1"/>
  <c r="M120" i="106"/>
  <c r="K126" i="106" l="1"/>
  <c r="R125" i="106"/>
  <c r="AC125" i="106" s="1"/>
  <c r="Z109" i="106"/>
  <c r="Y109" i="106" s="1"/>
  <c r="AA109" i="106" s="1"/>
  <c r="W110" i="106" s="1"/>
  <c r="V180" i="106"/>
  <c r="AB179" i="106"/>
  <c r="X176" i="106"/>
  <c r="O114" i="106"/>
  <c r="N114" i="106" s="1"/>
  <c r="P114" i="106" s="1"/>
  <c r="L115" i="106" s="1"/>
  <c r="M121" i="106"/>
  <c r="Q126" i="106"/>
  <c r="K127" i="106" l="1"/>
  <c r="Q127" i="106" s="1"/>
  <c r="R126" i="106"/>
  <c r="AC126" i="106" s="1"/>
  <c r="Z110" i="106"/>
  <c r="Y110" i="106" s="1"/>
  <c r="AA110" i="106" s="1"/>
  <c r="W111" i="106" s="1"/>
  <c r="V181" i="106"/>
  <c r="AB180" i="106"/>
  <c r="X177" i="106"/>
  <c r="M122" i="106"/>
  <c r="O115" i="106"/>
  <c r="N115" i="106" s="1"/>
  <c r="P115" i="106" s="1"/>
  <c r="L116" i="106" s="1"/>
  <c r="K128" i="106" l="1"/>
  <c r="R127" i="106"/>
  <c r="AC127" i="106" s="1"/>
  <c r="Z111" i="106"/>
  <c r="Y111" i="106" s="1"/>
  <c r="AA111" i="106" s="1"/>
  <c r="W112" i="106" s="1"/>
  <c r="X178" i="106"/>
  <c r="V182" i="106"/>
  <c r="AB181" i="106"/>
  <c r="O116" i="106"/>
  <c r="N116" i="106" s="1"/>
  <c r="P116" i="106" s="1"/>
  <c r="L117" i="106" s="1"/>
  <c r="M123" i="106"/>
  <c r="Q128" i="106"/>
  <c r="K129" i="106" l="1"/>
  <c r="Q129" i="106" s="1"/>
  <c r="R128" i="106"/>
  <c r="AC128" i="106" s="1"/>
  <c r="Z112" i="106"/>
  <c r="Y112" i="106" s="1"/>
  <c r="AA112" i="106" s="1"/>
  <c r="W113" i="106" s="1"/>
  <c r="AB182" i="106"/>
  <c r="V183" i="106"/>
  <c r="X179" i="106"/>
  <c r="O117" i="106"/>
  <c r="N117" i="106" s="1"/>
  <c r="P117" i="106" s="1"/>
  <c r="L118" i="106" s="1"/>
  <c r="M124" i="106"/>
  <c r="K130" i="106" l="1"/>
  <c r="R129" i="106"/>
  <c r="AC129" i="106" s="1"/>
  <c r="Z113" i="106"/>
  <c r="Y113" i="106" s="1"/>
  <c r="AA113" i="106" s="1"/>
  <c r="W114" i="106" s="1"/>
  <c r="X180" i="106"/>
  <c r="V184" i="106"/>
  <c r="AB183" i="106"/>
  <c r="O118" i="106"/>
  <c r="N118" i="106" s="1"/>
  <c r="P118" i="106" s="1"/>
  <c r="L119" i="106" s="1"/>
  <c r="M125" i="106"/>
  <c r="Q130" i="106"/>
  <c r="K131" i="106" l="1"/>
  <c r="R130" i="106"/>
  <c r="AC130" i="106" s="1"/>
  <c r="Z114" i="106"/>
  <c r="Y114" i="106" s="1"/>
  <c r="AA114" i="106" s="1"/>
  <c r="W115" i="106" s="1"/>
  <c r="Z115" i="106" s="1"/>
  <c r="Y115" i="106" s="1"/>
  <c r="AA115" i="106" s="1"/>
  <c r="W116" i="106" s="1"/>
  <c r="Z116" i="106" s="1"/>
  <c r="Y116" i="106" s="1"/>
  <c r="AA116" i="106" s="1"/>
  <c r="W117" i="106" s="1"/>
  <c r="Z117" i="106" s="1"/>
  <c r="Y117" i="106" s="1"/>
  <c r="AA117" i="106" s="1"/>
  <c r="W118" i="106" s="1"/>
  <c r="Z118" i="106" s="1"/>
  <c r="Y118" i="106" s="1"/>
  <c r="AA118" i="106" s="1"/>
  <c r="W119" i="106" s="1"/>
  <c r="Z119" i="106" s="1"/>
  <c r="Y119" i="106" s="1"/>
  <c r="AA119" i="106" s="1"/>
  <c r="W120" i="106" s="1"/>
  <c r="Z120" i="106" s="1"/>
  <c r="Y120" i="106" s="1"/>
  <c r="AA120" i="106" s="1"/>
  <c r="W121" i="106" s="1"/>
  <c r="Z121" i="106" s="1"/>
  <c r="Y121" i="106" s="1"/>
  <c r="AA121" i="106" s="1"/>
  <c r="W122" i="106" s="1"/>
  <c r="Z122" i="106" s="1"/>
  <c r="Y122" i="106" s="1"/>
  <c r="AA122" i="106" s="1"/>
  <c r="W123" i="106" s="1"/>
  <c r="Z123" i="106" s="1"/>
  <c r="Y123" i="106" s="1"/>
  <c r="AA123" i="106" s="1"/>
  <c r="W124" i="106" s="1"/>
  <c r="Z124" i="106" s="1"/>
  <c r="Y124" i="106" s="1"/>
  <c r="AA124" i="106" s="1"/>
  <c r="W125" i="106" s="1"/>
  <c r="Z125" i="106" s="1"/>
  <c r="Y125" i="106" s="1"/>
  <c r="AA125" i="106" s="1"/>
  <c r="W126" i="106" s="1"/>
  <c r="Z126" i="106" s="1"/>
  <c r="Y126" i="106" s="1"/>
  <c r="AA126" i="106" s="1"/>
  <c r="W127" i="106" s="1"/>
  <c r="Z127" i="106" s="1"/>
  <c r="Y127" i="106" s="1"/>
  <c r="AA127" i="106" s="1"/>
  <c r="W128" i="106" s="1"/>
  <c r="Z128" i="106" s="1"/>
  <c r="Y128" i="106" s="1"/>
  <c r="AA128" i="106" s="1"/>
  <c r="W129" i="106" s="1"/>
  <c r="Z129" i="106" s="1"/>
  <c r="Y129" i="106" s="1"/>
  <c r="AA129" i="106" s="1"/>
  <c r="W130" i="106" s="1"/>
  <c r="Z130" i="106" s="1"/>
  <c r="Y130" i="106" s="1"/>
  <c r="AA130" i="106" s="1"/>
  <c r="W131" i="106" s="1"/>
  <c r="Z131" i="106" s="1"/>
  <c r="Y131" i="106" s="1"/>
  <c r="AA131" i="106" s="1"/>
  <c r="W132" i="106" s="1"/>
  <c r="Z132" i="106" s="1"/>
  <c r="Y132" i="106" s="1"/>
  <c r="AA132" i="106" s="1"/>
  <c r="W133" i="106" s="1"/>
  <c r="Z133" i="106" s="1"/>
  <c r="Y133" i="106" s="1"/>
  <c r="AA133" i="106" s="1"/>
  <c r="W134" i="106" s="1"/>
  <c r="Z134" i="106" s="1"/>
  <c r="Y134" i="106" s="1"/>
  <c r="AA134" i="106" s="1"/>
  <c r="W135" i="106" s="1"/>
  <c r="Z135" i="106" s="1"/>
  <c r="Y135" i="106" s="1"/>
  <c r="AA135" i="106" s="1"/>
  <c r="W136" i="106" s="1"/>
  <c r="Z136" i="106" s="1"/>
  <c r="Y136" i="106" s="1"/>
  <c r="AA136" i="106" s="1"/>
  <c r="W137" i="106" s="1"/>
  <c r="Z137" i="106" s="1"/>
  <c r="Y137" i="106" s="1"/>
  <c r="AA137" i="106" s="1"/>
  <c r="W138" i="106" s="1"/>
  <c r="Z138" i="106" s="1"/>
  <c r="Y138" i="106" s="1"/>
  <c r="AA138" i="106" s="1"/>
  <c r="W139" i="106" s="1"/>
  <c r="Z139" i="106" s="1"/>
  <c r="Y139" i="106" s="1"/>
  <c r="AA139" i="106" s="1"/>
  <c r="W140" i="106" s="1"/>
  <c r="Z140" i="106" s="1"/>
  <c r="Y140" i="106" s="1"/>
  <c r="AA140" i="106" s="1"/>
  <c r="W141" i="106" s="1"/>
  <c r="Z141" i="106" s="1"/>
  <c r="Y141" i="106" s="1"/>
  <c r="AA141" i="106" s="1"/>
  <c r="W142" i="106" s="1"/>
  <c r="Z142" i="106" s="1"/>
  <c r="Y142" i="106" s="1"/>
  <c r="AA142" i="106" s="1"/>
  <c r="W143" i="106" s="1"/>
  <c r="Z143" i="106" s="1"/>
  <c r="Y143" i="106" s="1"/>
  <c r="AA143" i="106" s="1"/>
  <c r="W144" i="106" s="1"/>
  <c r="Z144" i="106" s="1"/>
  <c r="Y144" i="106" s="1"/>
  <c r="AA144" i="106" s="1"/>
  <c r="W145" i="106" s="1"/>
  <c r="Z145" i="106" s="1"/>
  <c r="Y145" i="106" s="1"/>
  <c r="AA145" i="106" s="1"/>
  <c r="W146" i="106" s="1"/>
  <c r="Z146" i="106" s="1"/>
  <c r="Y146" i="106" s="1"/>
  <c r="AA146" i="106" s="1"/>
  <c r="W147" i="106" s="1"/>
  <c r="Z147" i="106" s="1"/>
  <c r="Y147" i="106" s="1"/>
  <c r="AA147" i="106" s="1"/>
  <c r="W148" i="106" s="1"/>
  <c r="Z148" i="106" s="1"/>
  <c r="Y148" i="106" s="1"/>
  <c r="AA148" i="106" s="1"/>
  <c r="W149" i="106" s="1"/>
  <c r="Z149" i="106" s="1"/>
  <c r="Y149" i="106" s="1"/>
  <c r="AA149" i="106" s="1"/>
  <c r="W150" i="106" s="1"/>
  <c r="Z150" i="106" s="1"/>
  <c r="Y150" i="106" s="1"/>
  <c r="AA150" i="106" s="1"/>
  <c r="W151" i="106" s="1"/>
  <c r="Z151" i="106" s="1"/>
  <c r="Y151" i="106" s="1"/>
  <c r="AA151" i="106" s="1"/>
  <c r="W152" i="106" s="1"/>
  <c r="Z152" i="106" s="1"/>
  <c r="Y152" i="106" s="1"/>
  <c r="AA152" i="106" s="1"/>
  <c r="W153" i="106" s="1"/>
  <c r="Z153" i="106" s="1"/>
  <c r="Y153" i="106" s="1"/>
  <c r="AA153" i="106" s="1"/>
  <c r="W154" i="106" s="1"/>
  <c r="Z154" i="106" s="1"/>
  <c r="Y154" i="106" s="1"/>
  <c r="AA154" i="106" s="1"/>
  <c r="W155" i="106" s="1"/>
  <c r="Z155" i="106" s="1"/>
  <c r="Y155" i="106" s="1"/>
  <c r="AA155" i="106" s="1"/>
  <c r="W156" i="106" s="1"/>
  <c r="Z156" i="106" s="1"/>
  <c r="Y156" i="106" s="1"/>
  <c r="AA156" i="106" s="1"/>
  <c r="W157" i="106" s="1"/>
  <c r="Z157" i="106" s="1"/>
  <c r="Y157" i="106" s="1"/>
  <c r="AA157" i="106" s="1"/>
  <c r="W158" i="106" s="1"/>
  <c r="Z158" i="106" s="1"/>
  <c r="Y158" i="106" s="1"/>
  <c r="AA158" i="106" s="1"/>
  <c r="W159" i="106" s="1"/>
  <c r="Z159" i="106" s="1"/>
  <c r="Y159" i="106" s="1"/>
  <c r="AA159" i="106" s="1"/>
  <c r="W160" i="106" s="1"/>
  <c r="Z160" i="106" s="1"/>
  <c r="Y160" i="106" s="1"/>
  <c r="AA160" i="106" s="1"/>
  <c r="W161" i="106" s="1"/>
  <c r="Z161" i="106" s="1"/>
  <c r="Y161" i="106" s="1"/>
  <c r="AA161" i="106" s="1"/>
  <c r="W162" i="106" s="1"/>
  <c r="Z162" i="106" s="1"/>
  <c r="Y162" i="106" s="1"/>
  <c r="AA162" i="106" s="1"/>
  <c r="W163" i="106" s="1"/>
  <c r="Z163" i="106" s="1"/>
  <c r="Y163" i="106" s="1"/>
  <c r="AA163" i="106" s="1"/>
  <c r="W164" i="106" s="1"/>
  <c r="Z164" i="106" s="1"/>
  <c r="Y164" i="106" s="1"/>
  <c r="AA164" i="106" s="1"/>
  <c r="W165" i="106" s="1"/>
  <c r="Z165" i="106" s="1"/>
  <c r="Y165" i="106" s="1"/>
  <c r="AA165" i="106" s="1"/>
  <c r="W166" i="106" s="1"/>
  <c r="Z166" i="106" s="1"/>
  <c r="Y166" i="106" s="1"/>
  <c r="AA166" i="106" s="1"/>
  <c r="W167" i="106" s="1"/>
  <c r="Z167" i="106" s="1"/>
  <c r="Y167" i="106" s="1"/>
  <c r="AA167" i="106" s="1"/>
  <c r="W168" i="106" s="1"/>
  <c r="Z168" i="106" s="1"/>
  <c r="Y168" i="106" s="1"/>
  <c r="AA168" i="106" s="1"/>
  <c r="W169" i="106" s="1"/>
  <c r="Z169" i="106" s="1"/>
  <c r="Y169" i="106" s="1"/>
  <c r="AA169" i="106" s="1"/>
  <c r="W170" i="106" s="1"/>
  <c r="Z170" i="106" s="1"/>
  <c r="Y170" i="106" s="1"/>
  <c r="AA170" i="106" s="1"/>
  <c r="W171" i="106" s="1"/>
  <c r="Z171" i="106" s="1"/>
  <c r="Y171" i="106" s="1"/>
  <c r="AA171" i="106" s="1"/>
  <c r="W172" i="106" s="1"/>
  <c r="Z172" i="106" s="1"/>
  <c r="Y172" i="106" s="1"/>
  <c r="AA172" i="106" s="1"/>
  <c r="W173" i="106" s="1"/>
  <c r="Z173" i="106" s="1"/>
  <c r="Y173" i="106" s="1"/>
  <c r="AA173" i="106" s="1"/>
  <c r="W174" i="106" s="1"/>
  <c r="Z174" i="106" s="1"/>
  <c r="Y174" i="106" s="1"/>
  <c r="AA174" i="106" s="1"/>
  <c r="W175" i="106" s="1"/>
  <c r="Z175" i="106" s="1"/>
  <c r="Y175" i="106" s="1"/>
  <c r="AA175" i="106" s="1"/>
  <c r="W176" i="106" s="1"/>
  <c r="Z176" i="106" s="1"/>
  <c r="Y176" i="106" s="1"/>
  <c r="AA176" i="106" s="1"/>
  <c r="W177" i="106" s="1"/>
  <c r="Z177" i="106" s="1"/>
  <c r="Y177" i="106" s="1"/>
  <c r="AA177" i="106" s="1"/>
  <c r="W178" i="106" s="1"/>
  <c r="Z178" i="106" s="1"/>
  <c r="V185" i="106"/>
  <c r="AB184" i="106"/>
  <c r="X181" i="106"/>
  <c r="Q131" i="106"/>
  <c r="M126" i="106"/>
  <c r="O119" i="106"/>
  <c r="N119" i="106" s="1"/>
  <c r="P119" i="106" s="1"/>
  <c r="L120" i="106" s="1"/>
  <c r="K132" i="106" l="1"/>
  <c r="R131" i="106"/>
  <c r="AC131" i="106" s="1"/>
  <c r="Y178" i="106"/>
  <c r="AA178" i="106" s="1"/>
  <c r="W179" i="106" s="1"/>
  <c r="Z179" i="106" s="1"/>
  <c r="X182" i="106"/>
  <c r="V186" i="106"/>
  <c r="AB185" i="106"/>
  <c r="O120" i="106"/>
  <c r="N120" i="106" s="1"/>
  <c r="P120" i="106" s="1"/>
  <c r="L121" i="106" s="1"/>
  <c r="M127" i="106"/>
  <c r="Q132" i="106"/>
  <c r="K133" i="106" l="1"/>
  <c r="Q133" i="106" s="1"/>
  <c r="R132" i="106"/>
  <c r="AC132" i="106" s="1"/>
  <c r="Y179" i="106"/>
  <c r="AA179" i="106" s="1"/>
  <c r="W180" i="106" s="1"/>
  <c r="Z180" i="106" s="1"/>
  <c r="V187" i="106"/>
  <c r="AB186" i="106"/>
  <c r="X183" i="106"/>
  <c r="O121" i="106"/>
  <c r="N121" i="106" s="1"/>
  <c r="P121" i="106" s="1"/>
  <c r="L122" i="106" s="1"/>
  <c r="M128" i="106"/>
  <c r="K134" i="106" l="1"/>
  <c r="R133" i="106"/>
  <c r="AC133" i="106" s="1"/>
  <c r="Y180" i="106"/>
  <c r="AA180" i="106" s="1"/>
  <c r="W181" i="106" s="1"/>
  <c r="Z181" i="106" s="1"/>
  <c r="V188" i="106"/>
  <c r="AB187" i="106"/>
  <c r="X184" i="106"/>
  <c r="O122" i="106"/>
  <c r="N122" i="106" s="1"/>
  <c r="P122" i="106" s="1"/>
  <c r="L123" i="106" s="1"/>
  <c r="M129" i="106"/>
  <c r="Q134" i="106"/>
  <c r="K135" i="106" l="1"/>
  <c r="R134" i="106"/>
  <c r="AC134" i="106" s="1"/>
  <c r="Y181" i="106"/>
  <c r="AA181" i="106" s="1"/>
  <c r="W182" i="106" s="1"/>
  <c r="Z182" i="106" s="1"/>
  <c r="V189" i="106"/>
  <c r="AB188" i="106"/>
  <c r="X185" i="106"/>
  <c r="Q135" i="106"/>
  <c r="M130" i="106"/>
  <c r="O123" i="106"/>
  <c r="N123" i="106" s="1"/>
  <c r="P123" i="106" s="1"/>
  <c r="L124" i="106" s="1"/>
  <c r="K136" i="106" l="1"/>
  <c r="Q136" i="106" s="1"/>
  <c r="R135" i="106"/>
  <c r="AC135" i="106" s="1"/>
  <c r="Y182" i="106"/>
  <c r="AA182" i="106" s="1"/>
  <c r="W183" i="106" s="1"/>
  <c r="Z183" i="106" s="1"/>
  <c r="V190" i="106"/>
  <c r="AB189" i="106"/>
  <c r="X186" i="106"/>
  <c r="O124" i="106"/>
  <c r="N124" i="106" s="1"/>
  <c r="P124" i="106" s="1"/>
  <c r="L125" i="106" s="1"/>
  <c r="M131" i="106"/>
  <c r="K137" i="106" l="1"/>
  <c r="R136" i="106"/>
  <c r="AC136" i="106" s="1"/>
  <c r="Y183" i="106"/>
  <c r="AA183" i="106" s="1"/>
  <c r="W184" i="106" s="1"/>
  <c r="Z184" i="106" s="1"/>
  <c r="X187" i="106"/>
  <c r="AB190" i="106"/>
  <c r="V191" i="106"/>
  <c r="O125" i="106"/>
  <c r="N125" i="106" s="1"/>
  <c r="P125" i="106" s="1"/>
  <c r="L126" i="106" s="1"/>
  <c r="Q137" i="106"/>
  <c r="M132" i="106"/>
  <c r="K138" i="106" l="1"/>
  <c r="R137" i="106"/>
  <c r="AC137" i="106" s="1"/>
  <c r="Y184" i="106"/>
  <c r="AA184" i="106" s="1"/>
  <c r="W185" i="106" s="1"/>
  <c r="Z185" i="106" s="1"/>
  <c r="X188" i="106"/>
  <c r="V192" i="106"/>
  <c r="AB191" i="106"/>
  <c r="M133" i="106"/>
  <c r="Q138" i="106"/>
  <c r="O126" i="106"/>
  <c r="N126" i="106" s="1"/>
  <c r="P126" i="106" s="1"/>
  <c r="L127" i="106" s="1"/>
  <c r="K139" i="106" l="1"/>
  <c r="R138" i="106"/>
  <c r="AC138" i="106" s="1"/>
  <c r="Y185" i="106"/>
  <c r="AA185" i="106" s="1"/>
  <c r="W186" i="106" s="1"/>
  <c r="Z186" i="106" s="1"/>
  <c r="X189" i="106"/>
  <c r="V193" i="106"/>
  <c r="AB192" i="106"/>
  <c r="O127" i="106"/>
  <c r="N127" i="106" s="1"/>
  <c r="P127" i="106" s="1"/>
  <c r="L128" i="106" s="1"/>
  <c r="Q139" i="106"/>
  <c r="M134" i="106"/>
  <c r="K140" i="106" l="1"/>
  <c r="R139" i="106"/>
  <c r="AC139" i="106" s="1"/>
  <c r="Y186" i="106"/>
  <c r="AA186" i="106" s="1"/>
  <c r="W187" i="106" s="1"/>
  <c r="Z187" i="106" s="1"/>
  <c r="AB193" i="106"/>
  <c r="X190" i="106"/>
  <c r="M135" i="106"/>
  <c r="Q140" i="106"/>
  <c r="O128" i="106"/>
  <c r="N128" i="106" s="1"/>
  <c r="P128" i="106" s="1"/>
  <c r="L129" i="106" s="1"/>
  <c r="K141" i="106" l="1"/>
  <c r="R140" i="106"/>
  <c r="AC140" i="106" s="1"/>
  <c r="Y187" i="106"/>
  <c r="AA187" i="106" s="1"/>
  <c r="W188" i="106" s="1"/>
  <c r="Z188" i="106" s="1"/>
  <c r="X191" i="106"/>
  <c r="O129" i="106"/>
  <c r="N129" i="106" s="1"/>
  <c r="P129" i="106" s="1"/>
  <c r="L130" i="106" s="1"/>
  <c r="Q141" i="106"/>
  <c r="M136" i="106"/>
  <c r="K142" i="106" l="1"/>
  <c r="R141" i="106"/>
  <c r="AC141" i="106" s="1"/>
  <c r="Y188" i="106"/>
  <c r="AA188" i="106" s="1"/>
  <c r="W189" i="106" s="1"/>
  <c r="Z189" i="106" s="1"/>
  <c r="X192" i="106"/>
  <c r="M137" i="106"/>
  <c r="Q142" i="106"/>
  <c r="O130" i="106"/>
  <c r="N130" i="106" s="1"/>
  <c r="P130" i="106" s="1"/>
  <c r="L131" i="106" s="1"/>
  <c r="K143" i="106" l="1"/>
  <c r="R142" i="106"/>
  <c r="AC142" i="106" s="1"/>
  <c r="X193" i="106"/>
  <c r="Y189" i="106"/>
  <c r="AA189" i="106" s="1"/>
  <c r="W190" i="106" s="1"/>
  <c r="Z190" i="106" s="1"/>
  <c r="O131" i="106"/>
  <c r="N131" i="106" s="1"/>
  <c r="P131" i="106" s="1"/>
  <c r="L132" i="106" s="1"/>
  <c r="Q143" i="106"/>
  <c r="M138" i="106"/>
  <c r="K144" i="106" l="1"/>
  <c r="Q144" i="106" s="1"/>
  <c r="R143" i="106"/>
  <c r="AC143" i="106" s="1"/>
  <c r="Y190" i="106"/>
  <c r="AA190" i="106" s="1"/>
  <c r="W191" i="106" s="1"/>
  <c r="Z191" i="106" s="1"/>
  <c r="M139" i="106"/>
  <c r="O132" i="106"/>
  <c r="N132" i="106" s="1"/>
  <c r="P132" i="106" s="1"/>
  <c r="L133" i="106" s="1"/>
  <c r="K145" i="106" l="1"/>
  <c r="R144" i="106"/>
  <c r="AC144" i="106" s="1"/>
  <c r="Y191" i="106"/>
  <c r="AA191" i="106" s="1"/>
  <c r="W192" i="106" s="1"/>
  <c r="Z192" i="106" s="1"/>
  <c r="O133" i="106"/>
  <c r="N133" i="106" s="1"/>
  <c r="P133" i="106" s="1"/>
  <c r="L134" i="106" s="1"/>
  <c r="Q145" i="106"/>
  <c r="M140" i="106"/>
  <c r="K146" i="106" l="1"/>
  <c r="R145" i="106"/>
  <c r="AC145" i="106" s="1"/>
  <c r="Y192" i="106"/>
  <c r="AA192" i="106" s="1"/>
  <c r="W193" i="106" s="1"/>
  <c r="Z193" i="106" s="1"/>
  <c r="O134" i="106"/>
  <c r="N134" i="106" s="1"/>
  <c r="P134" i="106" s="1"/>
  <c r="L135" i="106" s="1"/>
  <c r="M141" i="106"/>
  <c r="Q146" i="106"/>
  <c r="K147" i="106" l="1"/>
  <c r="R146" i="106"/>
  <c r="AC146" i="106" s="1"/>
  <c r="Y193" i="106"/>
  <c r="AA193" i="106" s="1"/>
  <c r="O135" i="106"/>
  <c r="N135" i="106" s="1"/>
  <c r="P135" i="106" s="1"/>
  <c r="L136" i="106" s="1"/>
  <c r="Q147" i="106"/>
  <c r="M142" i="106"/>
  <c r="K148" i="106" l="1"/>
  <c r="R147" i="106"/>
  <c r="AC147" i="106" s="1"/>
  <c r="O136" i="106"/>
  <c r="N136" i="106" s="1"/>
  <c r="P136" i="106" s="1"/>
  <c r="L137" i="106" s="1"/>
  <c r="Q148" i="106"/>
  <c r="M143" i="106"/>
  <c r="K149" i="106" l="1"/>
  <c r="R148" i="106"/>
  <c r="AC148" i="106" s="1"/>
  <c r="O137" i="106"/>
  <c r="N137" i="106" s="1"/>
  <c r="P137" i="106" s="1"/>
  <c r="L138" i="106" s="1"/>
  <c r="M144" i="106"/>
  <c r="Q149" i="106"/>
  <c r="K150" i="106" l="1"/>
  <c r="R149" i="106"/>
  <c r="AC149" i="106" s="1"/>
  <c r="O138" i="106"/>
  <c r="N138" i="106" s="1"/>
  <c r="P138" i="106" s="1"/>
  <c r="L139" i="106" s="1"/>
  <c r="Q150" i="106"/>
  <c r="M145" i="106"/>
  <c r="K151" i="106" l="1"/>
  <c r="R150" i="106"/>
  <c r="AC150" i="106" s="1"/>
  <c r="M146" i="106"/>
  <c r="O139" i="106"/>
  <c r="N139" i="106" s="1"/>
  <c r="P139" i="106" s="1"/>
  <c r="L140" i="106" s="1"/>
  <c r="K152" i="106" l="1"/>
  <c r="R151" i="106"/>
  <c r="AC151" i="106" s="1"/>
  <c r="Q151" i="106"/>
  <c r="O140" i="106"/>
  <c r="N140" i="106" s="1"/>
  <c r="P140" i="106" s="1"/>
  <c r="L141" i="106" s="1"/>
  <c r="Q152" i="106"/>
  <c r="M147" i="106"/>
  <c r="K153" i="106" l="1"/>
  <c r="R152" i="106"/>
  <c r="AC152" i="106" s="1"/>
  <c r="O141" i="106"/>
  <c r="N141" i="106" s="1"/>
  <c r="P141" i="106" s="1"/>
  <c r="L142" i="106" s="1"/>
  <c r="M148" i="106"/>
  <c r="K154" i="106" l="1"/>
  <c r="R153" i="106"/>
  <c r="AC153" i="106" s="1"/>
  <c r="Q153" i="106"/>
  <c r="O142" i="106"/>
  <c r="N142" i="106" s="1"/>
  <c r="P142" i="106" s="1"/>
  <c r="L143" i="106" s="1"/>
  <c r="Q154" i="106"/>
  <c r="M149" i="106"/>
  <c r="K155" i="106" l="1"/>
  <c r="R154" i="106"/>
  <c r="AC154" i="106" s="1"/>
  <c r="O143" i="106"/>
  <c r="N143" i="106" s="1"/>
  <c r="P143" i="106" s="1"/>
  <c r="L144" i="106" s="1"/>
  <c r="M150" i="106"/>
  <c r="Q155" i="106"/>
  <c r="K156" i="106" l="1"/>
  <c r="R155" i="106"/>
  <c r="AC155" i="106" s="1"/>
  <c r="Q156" i="106"/>
  <c r="M151" i="106"/>
  <c r="O144" i="106"/>
  <c r="N144" i="106" s="1"/>
  <c r="P144" i="106" s="1"/>
  <c r="L145" i="106" s="1"/>
  <c r="K157" i="106" l="1"/>
  <c r="Q157" i="106" s="1"/>
  <c r="R156" i="106"/>
  <c r="AC156" i="106" s="1"/>
  <c r="O145" i="106"/>
  <c r="N145" i="106" s="1"/>
  <c r="P145" i="106" s="1"/>
  <c r="L146" i="106" s="1"/>
  <c r="M152" i="106"/>
  <c r="K158" i="106" l="1"/>
  <c r="R157" i="106"/>
  <c r="AC157" i="106" s="1"/>
  <c r="O146" i="106"/>
  <c r="N146" i="106" s="1"/>
  <c r="P146" i="106" s="1"/>
  <c r="L147" i="106" s="1"/>
  <c r="M153" i="106"/>
  <c r="Q158" i="106"/>
  <c r="K159" i="106" l="1"/>
  <c r="R158" i="106"/>
  <c r="AC158" i="106" s="1"/>
  <c r="O147" i="106"/>
  <c r="N147" i="106" s="1"/>
  <c r="P147" i="106" s="1"/>
  <c r="L148" i="106" s="1"/>
  <c r="Q159" i="106"/>
  <c r="M154" i="106"/>
  <c r="K160" i="106" l="1"/>
  <c r="R159" i="106"/>
  <c r="AC159" i="106" s="1"/>
  <c r="O148" i="106"/>
  <c r="N148" i="106" s="1"/>
  <c r="P148" i="106" s="1"/>
  <c r="L149" i="106" s="1"/>
  <c r="M155" i="106"/>
  <c r="K161" i="106" l="1"/>
  <c r="R160" i="106"/>
  <c r="AC160" i="106" s="1"/>
  <c r="Q160" i="106"/>
  <c r="O149" i="106"/>
  <c r="N149" i="106" s="1"/>
  <c r="P149" i="106" s="1"/>
  <c r="L150" i="106" s="1"/>
  <c r="Q161" i="106"/>
  <c r="M156" i="106"/>
  <c r="K162" i="106" l="1"/>
  <c r="R161" i="106"/>
  <c r="AC161" i="106" s="1"/>
  <c r="M157" i="106"/>
  <c r="Q162" i="106"/>
  <c r="O150" i="106"/>
  <c r="N150" i="106" s="1"/>
  <c r="P150" i="106" s="1"/>
  <c r="L151" i="106" s="1"/>
  <c r="K163" i="106" l="1"/>
  <c r="R162" i="106"/>
  <c r="AC162" i="106" s="1"/>
  <c r="O151" i="106"/>
  <c r="N151" i="106" s="1"/>
  <c r="P151" i="106" s="1"/>
  <c r="L152" i="106" s="1"/>
  <c r="M158" i="106"/>
  <c r="K164" i="106" l="1"/>
  <c r="Q164" i="106" s="1"/>
  <c r="R163" i="106"/>
  <c r="AC163" i="106" s="1"/>
  <c r="Q163" i="106"/>
  <c r="O152" i="106"/>
  <c r="N152" i="106" s="1"/>
  <c r="P152" i="106" s="1"/>
  <c r="L153" i="106" s="1"/>
  <c r="M159" i="106"/>
  <c r="K165" i="106" l="1"/>
  <c r="R164" i="106"/>
  <c r="AC164" i="106" s="1"/>
  <c r="O153" i="106"/>
  <c r="N153" i="106" s="1"/>
  <c r="P153" i="106" s="1"/>
  <c r="L154" i="106" s="1"/>
  <c r="Q165" i="106"/>
  <c r="M160" i="106"/>
  <c r="K166" i="106" l="1"/>
  <c r="Q166" i="106" s="1"/>
  <c r="R165" i="106"/>
  <c r="AC165" i="106" s="1"/>
  <c r="O154" i="106"/>
  <c r="N154" i="106" s="1"/>
  <c r="P154" i="106" s="1"/>
  <c r="L155" i="106" s="1"/>
  <c r="M161" i="106"/>
  <c r="K167" i="106" l="1"/>
  <c r="Q167" i="106" s="1"/>
  <c r="R166" i="106"/>
  <c r="AC166" i="106" s="1"/>
  <c r="O155" i="106"/>
  <c r="N155" i="106" s="1"/>
  <c r="P155" i="106" s="1"/>
  <c r="L156" i="106" s="1"/>
  <c r="M162" i="106"/>
  <c r="K168" i="106" l="1"/>
  <c r="R167" i="106"/>
  <c r="AC167" i="106" s="1"/>
  <c r="O156" i="106"/>
  <c r="N156" i="106" s="1"/>
  <c r="P156" i="106" s="1"/>
  <c r="L157" i="106" s="1"/>
  <c r="M163" i="106"/>
  <c r="K169" i="106" l="1"/>
  <c r="R168" i="106"/>
  <c r="AC168" i="106" s="1"/>
  <c r="Q168" i="106"/>
  <c r="O157" i="106"/>
  <c r="N157" i="106" s="1"/>
  <c r="P157" i="106" s="1"/>
  <c r="L158" i="106" s="1"/>
  <c r="Q169" i="106"/>
  <c r="M164" i="106"/>
  <c r="K170" i="106" l="1"/>
  <c r="R169" i="106"/>
  <c r="AC169" i="106" s="1"/>
  <c r="O158" i="106"/>
  <c r="N158" i="106" s="1"/>
  <c r="P158" i="106" s="1"/>
  <c r="L159" i="106" s="1"/>
  <c r="M165" i="106"/>
  <c r="Q170" i="106"/>
  <c r="K171" i="106" l="1"/>
  <c r="R170" i="106"/>
  <c r="AC170" i="106" s="1"/>
  <c r="Q171" i="106"/>
  <c r="M166" i="106"/>
  <c r="O159" i="106"/>
  <c r="N159" i="106" s="1"/>
  <c r="P159" i="106" s="1"/>
  <c r="L160" i="106" s="1"/>
  <c r="K172" i="106" l="1"/>
  <c r="R171" i="106"/>
  <c r="AC171" i="106" s="1"/>
  <c r="O160" i="106"/>
  <c r="N160" i="106" s="1"/>
  <c r="P160" i="106" s="1"/>
  <c r="L161" i="106" s="1"/>
  <c r="M167" i="106"/>
  <c r="Q172" i="106"/>
  <c r="K173" i="106" l="1"/>
  <c r="R172" i="106"/>
  <c r="AC172" i="106" s="1"/>
  <c r="O161" i="106"/>
  <c r="N161" i="106" s="1"/>
  <c r="P161" i="106" s="1"/>
  <c r="L162" i="106" s="1"/>
  <c r="Q173" i="106"/>
  <c r="M168" i="106"/>
  <c r="K174" i="106" l="1"/>
  <c r="R173" i="106"/>
  <c r="AC173" i="106" s="1"/>
  <c r="O162" i="106"/>
  <c r="N162" i="106" s="1"/>
  <c r="P162" i="106" s="1"/>
  <c r="L163" i="106" s="1"/>
  <c r="M169" i="106"/>
  <c r="Q174" i="106"/>
  <c r="K175" i="106" l="1"/>
  <c r="R174" i="106"/>
  <c r="AC174" i="106" s="1"/>
  <c r="O163" i="106"/>
  <c r="N163" i="106" s="1"/>
  <c r="P163" i="106" s="1"/>
  <c r="L164" i="106" s="1"/>
  <c r="Q175" i="106"/>
  <c r="M170" i="106"/>
  <c r="K176" i="106" l="1"/>
  <c r="R175" i="106"/>
  <c r="AC175" i="106" s="1"/>
  <c r="O164" i="106"/>
  <c r="N164" i="106" s="1"/>
  <c r="P164" i="106" s="1"/>
  <c r="L165" i="106" s="1"/>
  <c r="M171" i="106"/>
  <c r="Q176" i="106"/>
  <c r="K177" i="106" l="1"/>
  <c r="R176" i="106"/>
  <c r="AC176" i="106" s="1"/>
  <c r="M172" i="106"/>
  <c r="O165" i="106"/>
  <c r="N165" i="106" s="1"/>
  <c r="P165" i="106" s="1"/>
  <c r="L166" i="106" s="1"/>
  <c r="Q177" i="106"/>
  <c r="K178" i="106" l="1"/>
  <c r="R177" i="106"/>
  <c r="AC177" i="106" s="1"/>
  <c r="O166" i="106"/>
  <c r="N166" i="106" s="1"/>
  <c r="P166" i="106" s="1"/>
  <c r="L167" i="106" s="1"/>
  <c r="Q178" i="106"/>
  <c r="M173" i="106"/>
  <c r="K179" i="106" l="1"/>
  <c r="R178" i="106"/>
  <c r="AC178" i="106" s="1"/>
  <c r="M174" i="106"/>
  <c r="Q179" i="106"/>
  <c r="O167" i="106"/>
  <c r="N167" i="106" s="1"/>
  <c r="P167" i="106" s="1"/>
  <c r="L168" i="106" s="1"/>
  <c r="K180" i="106" l="1"/>
  <c r="R179" i="106"/>
  <c r="AC179" i="106" s="1"/>
  <c r="O168" i="106"/>
  <c r="N168" i="106" s="1"/>
  <c r="P168" i="106" s="1"/>
  <c r="L169" i="106" s="1"/>
  <c r="Q180" i="106"/>
  <c r="M175" i="106"/>
  <c r="K181" i="106" l="1"/>
  <c r="R180" i="106"/>
  <c r="AC180" i="106" s="1"/>
  <c r="O169" i="106"/>
  <c r="N169" i="106" s="1"/>
  <c r="P169" i="106" s="1"/>
  <c r="L170" i="106" s="1"/>
  <c r="Q181" i="106"/>
  <c r="M176" i="106"/>
  <c r="K182" i="106" l="1"/>
  <c r="R181" i="106"/>
  <c r="AC181" i="106" s="1"/>
  <c r="O170" i="106"/>
  <c r="N170" i="106" s="1"/>
  <c r="P170" i="106" s="1"/>
  <c r="L171" i="106" s="1"/>
  <c r="M177" i="106"/>
  <c r="Q182" i="106"/>
  <c r="K183" i="106" l="1"/>
  <c r="Q183" i="106" s="1"/>
  <c r="R182" i="106"/>
  <c r="AC182" i="106" s="1"/>
  <c r="O171" i="106"/>
  <c r="N171" i="106" s="1"/>
  <c r="P171" i="106" s="1"/>
  <c r="L172" i="106" s="1"/>
  <c r="M178" i="106"/>
  <c r="K184" i="106" l="1"/>
  <c r="R183" i="106"/>
  <c r="AC183" i="106" s="1"/>
  <c r="O172" i="106"/>
  <c r="N172" i="106" s="1"/>
  <c r="P172" i="106" s="1"/>
  <c r="L173" i="106" s="1"/>
  <c r="M179" i="106"/>
  <c r="Q184" i="106"/>
  <c r="K185" i="106" l="1"/>
  <c r="Q185" i="106" s="1"/>
  <c r="R184" i="106"/>
  <c r="AC184" i="106" s="1"/>
  <c r="O173" i="106"/>
  <c r="N173" i="106" s="1"/>
  <c r="P173" i="106" s="1"/>
  <c r="L174" i="106" s="1"/>
  <c r="M180" i="106"/>
  <c r="K186" i="106" l="1"/>
  <c r="R185" i="106"/>
  <c r="AC185" i="106" s="1"/>
  <c r="O174" i="106"/>
  <c r="N174" i="106" s="1"/>
  <c r="P174" i="106" s="1"/>
  <c r="L175" i="106" s="1"/>
  <c r="Q186" i="106"/>
  <c r="M181" i="106"/>
  <c r="K187" i="106" l="1"/>
  <c r="R186" i="106"/>
  <c r="AC186" i="106" s="1"/>
  <c r="M182" i="106"/>
  <c r="Q187" i="106"/>
  <c r="O175" i="106"/>
  <c r="N175" i="106" s="1"/>
  <c r="P175" i="106" s="1"/>
  <c r="L176" i="106" s="1"/>
  <c r="K188" i="106" l="1"/>
  <c r="R187" i="106"/>
  <c r="AC187" i="106" s="1"/>
  <c r="O176" i="106"/>
  <c r="N176" i="106" s="1"/>
  <c r="P176" i="106" s="1"/>
  <c r="L177" i="106" s="1"/>
  <c r="Q188" i="106"/>
  <c r="M183" i="106"/>
  <c r="K189" i="106" l="1"/>
  <c r="R188" i="106"/>
  <c r="AC188" i="106" s="1"/>
  <c r="O177" i="106"/>
  <c r="N177" i="106" s="1"/>
  <c r="P177" i="106" s="1"/>
  <c r="L178" i="106" s="1"/>
  <c r="Q189" i="106"/>
  <c r="M184" i="106"/>
  <c r="K190" i="106" l="1"/>
  <c r="R189" i="106"/>
  <c r="AC189" i="106" s="1"/>
  <c r="O178" i="106"/>
  <c r="N178" i="106" s="1"/>
  <c r="P178" i="106" s="1"/>
  <c r="L179" i="106" s="1"/>
  <c r="M185" i="106"/>
  <c r="Q190" i="106"/>
  <c r="K191" i="106" l="1"/>
  <c r="R190" i="106"/>
  <c r="AC190" i="106" s="1"/>
  <c r="O179" i="106"/>
  <c r="N179" i="106" s="1"/>
  <c r="P179" i="106" s="1"/>
  <c r="L180" i="106" s="1"/>
  <c r="Q191" i="106"/>
  <c r="M186" i="106"/>
  <c r="K192" i="106" l="1"/>
  <c r="Q192" i="106" s="1"/>
  <c r="R191" i="106"/>
  <c r="AC191" i="106" s="1"/>
  <c r="O180" i="106"/>
  <c r="N180" i="106" s="1"/>
  <c r="P180" i="106" s="1"/>
  <c r="L181" i="106" s="1"/>
  <c r="M187" i="106"/>
  <c r="K193" i="106" l="1"/>
  <c r="R193" i="106" s="1"/>
  <c r="AC193" i="106" s="1"/>
  <c r="R192" i="106"/>
  <c r="AC192" i="106" s="1"/>
  <c r="Q9" i="106"/>
  <c r="O181" i="106"/>
  <c r="N181" i="106" s="1"/>
  <c r="P181" i="106" s="1"/>
  <c r="L182" i="106" s="1"/>
  <c r="M188" i="106"/>
  <c r="Q193" i="106" l="1"/>
  <c r="AB9" i="106"/>
  <c r="F9" i="106" s="1"/>
  <c r="AC4" i="106"/>
  <c r="AB8" i="106"/>
  <c r="AC9" i="106"/>
  <c r="AB7" i="106"/>
  <c r="AC8" i="106"/>
  <c r="AC7" i="106"/>
  <c r="AC5" i="106"/>
  <c r="AC6" i="106"/>
  <c r="AB5" i="106"/>
  <c r="AB4" i="106"/>
  <c r="AB6" i="106"/>
  <c r="O182" i="106"/>
  <c r="N182" i="106" s="1"/>
  <c r="P182" i="106" s="1"/>
  <c r="L183" i="106" s="1"/>
  <c r="M189" i="106"/>
  <c r="AD7" i="106" l="1"/>
  <c r="AD9" i="106"/>
  <c r="AD8" i="106"/>
  <c r="AD5" i="106"/>
  <c r="AB10" i="106"/>
  <c r="AC10" i="106"/>
  <c r="AD4" i="106"/>
  <c r="AD6" i="106"/>
  <c r="M190" i="106"/>
  <c r="O183" i="106"/>
  <c r="N183" i="106" s="1"/>
  <c r="P183" i="106" s="1"/>
  <c r="L184" i="106" s="1"/>
  <c r="AD10" i="106" l="1"/>
  <c r="O184" i="106"/>
  <c r="N184" i="106" s="1"/>
  <c r="P184" i="106" s="1"/>
  <c r="L185" i="106" s="1"/>
  <c r="M191" i="106"/>
  <c r="O185" i="106" l="1"/>
  <c r="N185" i="106" s="1"/>
  <c r="P185" i="106" s="1"/>
  <c r="L186" i="106" s="1"/>
  <c r="M192" i="106"/>
  <c r="O186" i="106" l="1"/>
  <c r="N186" i="106" s="1"/>
  <c r="P186" i="106" s="1"/>
  <c r="L187" i="106" s="1"/>
  <c r="M193" i="106"/>
  <c r="O187" i="106" l="1"/>
  <c r="N187" i="106" s="1"/>
  <c r="P187" i="106" s="1"/>
  <c r="L188" i="106" s="1"/>
  <c r="O188" i="106" l="1"/>
  <c r="N188" i="106" s="1"/>
  <c r="P188" i="106" s="1"/>
  <c r="L189" i="106" s="1"/>
  <c r="O189" i="106" l="1"/>
  <c r="N189" i="106" s="1"/>
  <c r="P189" i="106" s="1"/>
  <c r="L190" i="106" s="1"/>
  <c r="O190" i="106" l="1"/>
  <c r="N190" i="106" s="1"/>
  <c r="P190" i="106" s="1"/>
  <c r="L191" i="106" s="1"/>
  <c r="O191" i="106" l="1"/>
  <c r="N191" i="106" s="1"/>
  <c r="P191" i="106" s="1"/>
  <c r="L192" i="106" s="1"/>
  <c r="O192" i="106" l="1"/>
  <c r="N192" i="106" s="1"/>
  <c r="P192" i="106" s="1"/>
  <c r="L193" i="106" s="1"/>
  <c r="O193" i="106" l="1"/>
  <c r="N193" i="106" l="1"/>
  <c r="P193" i="106" s="1"/>
  <c r="R9" i="106"/>
  <c r="R4" i="106"/>
  <c r="R5" i="106"/>
  <c r="G5" i="106" s="1"/>
  <c r="R6" i="106"/>
  <c r="G6" i="106" s="1"/>
  <c r="R7" i="106"/>
  <c r="G7" i="106" s="1"/>
  <c r="R8" i="106"/>
  <c r="G8" i="106" s="1"/>
  <c r="S9" i="106" l="1"/>
  <c r="G9" i="106"/>
  <c r="H9" i="106" s="1"/>
  <c r="G4" i="106"/>
  <c r="R10" i="106"/>
  <c r="Q4" i="106"/>
  <c r="Q5" i="106"/>
  <c r="Q6" i="106"/>
  <c r="Q7" i="106"/>
  <c r="Q8" i="106"/>
  <c r="G10" i="106" l="1"/>
  <c r="Q10" i="106"/>
  <c r="S4" i="106"/>
  <c r="F4" i="106"/>
  <c r="S8" i="106"/>
  <c r="F8" i="106"/>
  <c r="S7" i="106"/>
  <c r="F7" i="106"/>
  <c r="S6" i="106"/>
  <c r="F6" i="106"/>
  <c r="S5" i="106"/>
  <c r="F5" i="106"/>
  <c r="H5" i="106" l="1"/>
  <c r="H7" i="106"/>
  <c r="H8" i="106"/>
  <c r="H6" i="106"/>
  <c r="S10" i="106"/>
  <c r="F10" i="106"/>
  <c r="H4" i="106"/>
  <c r="H10" i="106" l="1"/>
  <c r="D20" i="200" l="1"/>
  <c r="I47" i="201" s="1"/>
  <c r="AG163" i="1"/>
  <c r="AG142" i="1" s="1"/>
  <c r="S163" i="1"/>
  <c r="S165" i="1" l="1"/>
  <c r="S170" i="1" s="1"/>
  <c r="S118" i="1" s="1"/>
  <c r="AG165" i="1"/>
  <c r="AG170" i="1" s="1"/>
  <c r="AG118" i="1" s="1"/>
  <c r="S200" i="1"/>
  <c r="D21" i="224" l="1"/>
  <c r="I49" i="225" s="1"/>
  <c r="I51" i="225" s="1"/>
  <c r="D21" i="240"/>
  <c r="I49" i="241" s="1"/>
  <c r="I51" i="241" s="1"/>
  <c r="D21" i="232"/>
  <c r="I49" i="233" s="1"/>
  <c r="I51" i="233" s="1"/>
  <c r="AR231" i="1" l="1"/>
  <c r="D17" i="224"/>
  <c r="O29" i="225" s="1"/>
  <c r="O31" i="225" s="1"/>
  <c r="AG200" i="1"/>
  <c r="K51" i="241"/>
  <c r="M51" i="241" s="1"/>
  <c r="AR203" i="1" s="1"/>
  <c r="K51" i="233"/>
  <c r="M51" i="233" s="1"/>
  <c r="AM203" i="1" s="1"/>
  <c r="D17" i="200"/>
  <c r="O29" i="201" s="1"/>
  <c r="O31" i="201" s="1"/>
  <c r="D21" i="200"/>
  <c r="I49" i="201" s="1"/>
  <c r="I51" i="201" s="1"/>
  <c r="S142" i="1"/>
  <c r="AM22" i="1" l="1"/>
  <c r="AR22" i="1"/>
  <c r="AR233" i="1"/>
  <c r="AR403" i="1" s="1"/>
  <c r="M49" i="241"/>
  <c r="M47" i="241"/>
  <c r="M43" i="241"/>
  <c r="M45" i="241"/>
  <c r="M47" i="233"/>
  <c r="M49" i="233"/>
  <c r="M45" i="233"/>
  <c r="M43" i="233"/>
  <c r="K51" i="201"/>
  <c r="M51" i="201" s="1"/>
  <c r="T203" i="1" s="1"/>
  <c r="T22" i="1" s="1"/>
  <c r="AR52" i="1" l="1"/>
  <c r="AR405" i="1"/>
  <c r="AR415" i="1" s="1"/>
  <c r="AR652" i="1" s="1"/>
  <c r="AR285" i="1" s="1"/>
  <c r="AR288" i="1" s="1"/>
  <c r="AR234" i="1"/>
  <c r="AR281" i="1"/>
  <c r="M47" i="201"/>
  <c r="M49" i="201"/>
  <c r="M45" i="201"/>
  <c r="M43" i="201"/>
  <c r="BB48" i="1"/>
  <c r="AR282" i="1" l="1"/>
  <c r="AR286" i="1"/>
  <c r="J18" i="32"/>
  <c r="G8" i="30"/>
  <c r="H31" i="21"/>
  <c r="G8" i="16"/>
  <c r="H55" i="35"/>
  <c r="J22" i="32" s="1"/>
  <c r="H37" i="35"/>
  <c r="H16" i="35"/>
  <c r="J34" i="34"/>
  <c r="Q34" i="34" s="1"/>
  <c r="B34" i="34"/>
  <c r="J32" i="34"/>
  <c r="O32" i="34" s="1"/>
  <c r="B32" i="34"/>
  <c r="J26" i="34"/>
  <c r="J34" i="33"/>
  <c r="M34" i="33" s="1"/>
  <c r="B34" i="33"/>
  <c r="J32" i="33"/>
  <c r="Q32" i="33" s="1"/>
  <c r="B32" i="33"/>
  <c r="J34" i="32"/>
  <c r="M34" i="32" s="1"/>
  <c r="B34" i="32"/>
  <c r="J32" i="32"/>
  <c r="O32" i="32" s="1"/>
  <c r="B32" i="32"/>
  <c r="J26" i="32"/>
  <c r="J34" i="31"/>
  <c r="B34" i="31"/>
  <c r="J32" i="31"/>
  <c r="Q32" i="31" s="1"/>
  <c r="B32" i="31"/>
  <c r="H55" i="28"/>
  <c r="J22" i="26" s="1"/>
  <c r="H37" i="28"/>
  <c r="H16" i="28"/>
  <c r="J34" i="27"/>
  <c r="B34" i="27"/>
  <c r="J32" i="27"/>
  <c r="Q32" i="27" s="1"/>
  <c r="B32" i="27"/>
  <c r="J26" i="27"/>
  <c r="J34" i="26"/>
  <c r="Q34" i="26" s="1"/>
  <c r="B34" i="26"/>
  <c r="J32" i="26"/>
  <c r="O32" i="26" s="1"/>
  <c r="B32" i="26"/>
  <c r="J34" i="25"/>
  <c r="M34" i="25" s="1"/>
  <c r="B34" i="25"/>
  <c r="J32" i="25"/>
  <c r="O32" i="25" s="1"/>
  <c r="B32" i="25"/>
  <c r="J26" i="25"/>
  <c r="J34" i="24"/>
  <c r="M34" i="24" s="1"/>
  <c r="B34" i="24"/>
  <c r="J32" i="24"/>
  <c r="Q32" i="24" s="1"/>
  <c r="B32" i="24"/>
  <c r="H55" i="21"/>
  <c r="J22" i="20" s="1"/>
  <c r="H37" i="21"/>
  <c r="H16" i="21"/>
  <c r="J34" i="20"/>
  <c r="M34" i="20" s="1"/>
  <c r="B34" i="20"/>
  <c r="J32" i="20"/>
  <c r="B32" i="20"/>
  <c r="J26" i="20"/>
  <c r="J34" i="19"/>
  <c r="B34" i="19"/>
  <c r="J32" i="19"/>
  <c r="O32" i="19" s="1"/>
  <c r="B32" i="19"/>
  <c r="J34" i="18"/>
  <c r="M34" i="18" s="1"/>
  <c r="B34" i="18"/>
  <c r="J32" i="18"/>
  <c r="Q32" i="18" s="1"/>
  <c r="B32" i="18"/>
  <c r="J26" i="18"/>
  <c r="J34" i="17"/>
  <c r="B34" i="17"/>
  <c r="J32" i="17"/>
  <c r="O32" i="17" s="1"/>
  <c r="B32" i="17"/>
  <c r="O32" i="18" l="1"/>
  <c r="M32" i="18"/>
  <c r="O34" i="24"/>
  <c r="Q32" i="32"/>
  <c r="Q32" i="17"/>
  <c r="M32" i="17"/>
  <c r="J22" i="24"/>
  <c r="J22" i="18"/>
  <c r="J22" i="17"/>
  <c r="Q34" i="20"/>
  <c r="M32" i="33"/>
  <c r="O32" i="33"/>
  <c r="J22" i="25"/>
  <c r="O34" i="34"/>
  <c r="M32" i="24"/>
  <c r="O32" i="24"/>
  <c r="O34" i="33"/>
  <c r="Q32" i="19"/>
  <c r="O34" i="32"/>
  <c r="J22" i="33"/>
  <c r="M32" i="25"/>
  <c r="M32" i="26"/>
  <c r="M32" i="27"/>
  <c r="J22" i="31"/>
  <c r="J22" i="34"/>
  <c r="J22" i="19"/>
  <c r="Q32" i="25"/>
  <c r="Q32" i="26"/>
  <c r="O32" i="27"/>
  <c r="M32" i="32"/>
  <c r="M32" i="19"/>
  <c r="O34" i="25"/>
  <c r="O34" i="26"/>
  <c r="M32" i="34"/>
  <c r="H39" i="21"/>
  <c r="H41" i="21" s="1"/>
  <c r="H43" i="21" s="1"/>
  <c r="H18" i="17" s="1"/>
  <c r="Q34" i="25"/>
  <c r="Q32" i="34"/>
  <c r="H13" i="28"/>
  <c r="H10" i="28"/>
  <c r="H10" i="21"/>
  <c r="H13" i="21"/>
  <c r="H13" i="35"/>
  <c r="F7" i="24"/>
  <c r="J7" i="24"/>
  <c r="M7" i="24" s="1"/>
  <c r="Q7" i="24" s="1"/>
  <c r="O7" i="24" s="1"/>
  <c r="P7" i="24" s="1"/>
  <c r="H31" i="35"/>
  <c r="H39" i="35" s="1"/>
  <c r="H41" i="35" s="1"/>
  <c r="H43" i="35" s="1"/>
  <c r="J18" i="31" s="1"/>
  <c r="H31" i="28"/>
  <c r="H39" i="28" s="1"/>
  <c r="H41" i="28" s="1"/>
  <c r="H43" i="28" s="1"/>
  <c r="J18" i="24" s="1"/>
  <c r="G10" i="23"/>
  <c r="F18" i="25"/>
  <c r="J18" i="25"/>
  <c r="M18" i="25" s="1"/>
  <c r="Q18" i="25" s="1"/>
  <c r="G7" i="16"/>
  <c r="E9" i="16"/>
  <c r="J7" i="31"/>
  <c r="M7" i="31" s="1"/>
  <c r="Q7" i="31" s="1"/>
  <c r="O7" i="31" s="1"/>
  <c r="P7" i="31" s="1"/>
  <c r="F7" i="31"/>
  <c r="J6" i="32"/>
  <c r="M6" i="32" s="1"/>
  <c r="Q6" i="32" s="1"/>
  <c r="O6" i="32" s="1"/>
  <c r="P6" i="32" s="1"/>
  <c r="F6" i="32"/>
  <c r="G4" i="30"/>
  <c r="G8" i="23"/>
  <c r="E9" i="23"/>
  <c r="G10" i="30"/>
  <c r="H10" i="35"/>
  <c r="G4" i="23"/>
  <c r="F6" i="25"/>
  <c r="G7" i="23"/>
  <c r="J6" i="25"/>
  <c r="M6" i="25" s="1"/>
  <c r="Q6" i="25" s="1"/>
  <c r="O6" i="25" s="1"/>
  <c r="P6" i="25" s="1"/>
  <c r="M18" i="32"/>
  <c r="Q18" i="32" s="1"/>
  <c r="O18" i="32" s="1"/>
  <c r="P18" i="32" s="1"/>
  <c r="F18" i="32"/>
  <c r="Q34" i="19"/>
  <c r="O34" i="19"/>
  <c r="M34" i="19"/>
  <c r="M34" i="17"/>
  <c r="O34" i="17"/>
  <c r="Q34" i="17"/>
  <c r="Q32" i="20"/>
  <c r="O32" i="20"/>
  <c r="M32" i="20"/>
  <c r="Q34" i="31"/>
  <c r="M34" i="31"/>
  <c r="Q34" i="18"/>
  <c r="O34" i="18"/>
  <c r="O34" i="31"/>
  <c r="O34" i="20"/>
  <c r="Q34" i="27"/>
  <c r="O34" i="27"/>
  <c r="M34" i="27"/>
  <c r="Q34" i="24"/>
  <c r="Q34" i="32"/>
  <c r="Q34" i="33"/>
  <c r="J22" i="27"/>
  <c r="M32" i="31"/>
  <c r="M34" i="26"/>
  <c r="O32" i="31"/>
  <c r="M34" i="34"/>
  <c r="T244" i="1" l="1"/>
  <c r="J26" i="19"/>
  <c r="J26" i="17"/>
  <c r="K10" i="28"/>
  <c r="B25" i="28" s="1"/>
  <c r="H18" i="28"/>
  <c r="H20" i="28" s="1"/>
  <c r="H22" i="28" s="1"/>
  <c r="D26" i="28" s="1"/>
  <c r="K13" i="28"/>
  <c r="B26" i="28" s="1"/>
  <c r="K13" i="21"/>
  <c r="B26" i="21" s="1"/>
  <c r="H18" i="21"/>
  <c r="H20" i="21" s="1"/>
  <c r="H22" i="21" s="1"/>
  <c r="D25" i="21" s="1"/>
  <c r="H18" i="35"/>
  <c r="H20" i="35" s="1"/>
  <c r="H22" i="35" s="1"/>
  <c r="J24" i="33" s="1"/>
  <c r="J26" i="24"/>
  <c r="J26" i="31"/>
  <c r="K10" i="21"/>
  <c r="B25" i="21" s="1"/>
  <c r="H18" i="24"/>
  <c r="F18" i="31"/>
  <c r="M18" i="31"/>
  <c r="Q18" i="31" s="1"/>
  <c r="O18" i="31" s="1"/>
  <c r="P18" i="31" s="1"/>
  <c r="K10" i="35"/>
  <c r="B25" i="35" s="1"/>
  <c r="H18" i="31"/>
  <c r="J26" i="33"/>
  <c r="G10" i="16"/>
  <c r="F18" i="18"/>
  <c r="J18" i="18"/>
  <c r="M18" i="18" s="1"/>
  <c r="Q18" i="18" s="1"/>
  <c r="J26" i="26"/>
  <c r="J18" i="17"/>
  <c r="M18" i="24"/>
  <c r="Q18" i="24" s="1"/>
  <c r="F18" i="24"/>
  <c r="J18" i="33"/>
  <c r="J18" i="34"/>
  <c r="F7" i="34"/>
  <c r="J7" i="33"/>
  <c r="M7" i="33" s="1"/>
  <c r="Q7" i="33" s="1"/>
  <c r="O7" i="33" s="1"/>
  <c r="P7" i="33" s="1"/>
  <c r="J7" i="34"/>
  <c r="M7" i="34" s="1"/>
  <c r="Q7" i="34" s="1"/>
  <c r="O7" i="34" s="1"/>
  <c r="P7" i="34" s="1"/>
  <c r="F7" i="33"/>
  <c r="K13" i="35"/>
  <c r="B26" i="35" s="1"/>
  <c r="G7" i="30"/>
  <c r="E9" i="30"/>
  <c r="J7" i="26"/>
  <c r="M7" i="26" s="1"/>
  <c r="Q7" i="26" s="1"/>
  <c r="O7" i="26" s="1"/>
  <c r="P7" i="26" s="1"/>
  <c r="F7" i="26"/>
  <c r="J7" i="27"/>
  <c r="M7" i="27" s="1"/>
  <c r="Q7" i="27" s="1"/>
  <c r="O7" i="27" s="1"/>
  <c r="P7" i="27" s="1"/>
  <c r="F7" i="27"/>
  <c r="G9" i="23"/>
  <c r="G9" i="16"/>
  <c r="J7" i="17"/>
  <c r="M7" i="17" s="1"/>
  <c r="Q7" i="17" s="1"/>
  <c r="O7" i="17" s="1"/>
  <c r="P7" i="17" s="1"/>
  <c r="F7" i="17"/>
  <c r="G4" i="16"/>
  <c r="J6" i="18"/>
  <c r="M6" i="18" s="1"/>
  <c r="Q6" i="18" s="1"/>
  <c r="O6" i="18" s="1"/>
  <c r="P6" i="18" s="1"/>
  <c r="F6" i="18"/>
  <c r="J18" i="27"/>
  <c r="J18" i="26"/>
  <c r="O18" i="25"/>
  <c r="P18" i="25" s="1"/>
  <c r="J24" i="27" l="1"/>
  <c r="J29" i="27" s="1"/>
  <c r="M29" i="27" s="1"/>
  <c r="Q29" i="27" s="1"/>
  <c r="O29" i="27" s="1"/>
  <c r="P29" i="27" s="1"/>
  <c r="J24" i="25"/>
  <c r="J29" i="25" s="1"/>
  <c r="M29" i="25" s="1"/>
  <c r="Q29" i="25" s="1"/>
  <c r="O29" i="25" s="1"/>
  <c r="P29" i="25" s="1"/>
  <c r="J24" i="26"/>
  <c r="J29" i="26" s="1"/>
  <c r="M29" i="26" s="1"/>
  <c r="Q29" i="26" s="1"/>
  <c r="O29" i="26" s="1"/>
  <c r="P29" i="26" s="1"/>
  <c r="J24" i="24"/>
  <c r="J29" i="24" s="1"/>
  <c r="M29" i="24" s="1"/>
  <c r="Q29" i="24" s="1"/>
  <c r="O29" i="24" s="1"/>
  <c r="P29" i="24" s="1"/>
  <c r="D25" i="28"/>
  <c r="H25" i="28" s="1"/>
  <c r="H26" i="28" s="1"/>
  <c r="J24" i="31"/>
  <c r="J29" i="31" s="1"/>
  <c r="M29" i="31" s="1"/>
  <c r="Q29" i="31" s="1"/>
  <c r="O29" i="31" s="1"/>
  <c r="P29" i="31" s="1"/>
  <c r="J24" i="34"/>
  <c r="J29" i="34" s="1"/>
  <c r="M29" i="34" s="1"/>
  <c r="Q29" i="34" s="1"/>
  <c r="O29" i="34" s="1"/>
  <c r="P29" i="34" s="1"/>
  <c r="H25" i="21"/>
  <c r="H26" i="21" s="1"/>
  <c r="J24" i="17"/>
  <c r="J29" i="17" s="1"/>
  <c r="M29" i="17" s="1"/>
  <c r="Q29" i="17" s="1"/>
  <c r="O29" i="17" s="1"/>
  <c r="P29" i="17" s="1"/>
  <c r="D26" i="21"/>
  <c r="J24" i="20"/>
  <c r="J29" i="20" s="1"/>
  <c r="M29" i="20" s="1"/>
  <c r="Q29" i="20" s="1"/>
  <c r="O29" i="20" s="1"/>
  <c r="P29" i="20" s="1"/>
  <c r="J24" i="18"/>
  <c r="J29" i="18" s="1"/>
  <c r="M29" i="18" s="1"/>
  <c r="Q29" i="18" s="1"/>
  <c r="O29" i="18" s="1"/>
  <c r="P29" i="18" s="1"/>
  <c r="T81" i="1"/>
  <c r="J24" i="19"/>
  <c r="J29" i="19" s="1"/>
  <c r="M29" i="19" s="1"/>
  <c r="Q29" i="19" s="1"/>
  <c r="O29" i="19" s="1"/>
  <c r="P29" i="19" s="1"/>
  <c r="D26" i="35"/>
  <c r="D25" i="35"/>
  <c r="H25" i="35" s="1"/>
  <c r="H26" i="35" s="1"/>
  <c r="J24" i="32"/>
  <c r="J29" i="32" s="1"/>
  <c r="M29" i="32" s="1"/>
  <c r="Q29" i="32" s="1"/>
  <c r="O29" i="32" s="1"/>
  <c r="P29" i="32" s="1"/>
  <c r="J29" i="33"/>
  <c r="M29" i="33" s="1"/>
  <c r="Q29" i="33" s="1"/>
  <c r="O29" i="33" s="1"/>
  <c r="P29" i="33" s="1"/>
  <c r="J18" i="20"/>
  <c r="J18" i="19"/>
  <c r="F18" i="17"/>
  <c r="M18" i="17"/>
  <c r="O18" i="18"/>
  <c r="P18" i="18" s="1"/>
  <c r="O18" i="24"/>
  <c r="P18" i="24" s="1"/>
  <c r="F7" i="20"/>
  <c r="J7" i="20"/>
  <c r="M7" i="20" s="1"/>
  <c r="Q7" i="20" s="1"/>
  <c r="O7" i="20" s="1"/>
  <c r="P7" i="20" s="1"/>
  <c r="J7" i="19"/>
  <c r="M7" i="19" s="1"/>
  <c r="Q7" i="19" s="1"/>
  <c r="O7" i="19" s="1"/>
  <c r="P7" i="19" s="1"/>
  <c r="F7" i="19"/>
  <c r="F18" i="34"/>
  <c r="M18" i="34"/>
  <c r="Q18" i="34" s="1"/>
  <c r="O18" i="34" s="1"/>
  <c r="P18" i="34" s="1"/>
  <c r="G9" i="30"/>
  <c r="H18" i="33"/>
  <c r="F18" i="33"/>
  <c r="M18" i="33"/>
  <c r="Q18" i="33" s="1"/>
  <c r="O18" i="33" s="1"/>
  <c r="P18" i="33" s="1"/>
  <c r="H18" i="26"/>
  <c r="M18" i="26"/>
  <c r="Q18" i="26" s="1"/>
  <c r="F18" i="26"/>
  <c r="F18" i="27"/>
  <c r="M18" i="27"/>
  <c r="Q18" i="27" s="1"/>
  <c r="J16" i="31" l="1"/>
  <c r="F16" i="31" s="1"/>
  <c r="J12" i="32"/>
  <c r="H12" i="32" s="1"/>
  <c r="M11" i="34"/>
  <c r="M12" i="32"/>
  <c r="M11" i="33"/>
  <c r="M11" i="31"/>
  <c r="J13" i="33"/>
  <c r="J16" i="32"/>
  <c r="H16" i="32" s="1"/>
  <c r="J11" i="34"/>
  <c r="J11" i="33"/>
  <c r="H11" i="33" s="1"/>
  <c r="M13" i="34"/>
  <c r="M13" i="31"/>
  <c r="M13" i="33"/>
  <c r="M10" i="32"/>
  <c r="J13" i="34"/>
  <c r="J10" i="32"/>
  <c r="H10" i="32" s="1"/>
  <c r="J13" i="31"/>
  <c r="H13" i="31" s="1"/>
  <c r="J11" i="31"/>
  <c r="H11" i="31" s="1"/>
  <c r="O18" i="26"/>
  <c r="P18" i="26" s="1"/>
  <c r="Q18" i="17"/>
  <c r="O18" i="17" s="1"/>
  <c r="F18" i="19"/>
  <c r="H18" i="19"/>
  <c r="M18" i="19"/>
  <c r="Q18" i="19" s="1"/>
  <c r="F18" i="20"/>
  <c r="M18" i="20"/>
  <c r="Q18" i="20" s="1"/>
  <c r="J13" i="24"/>
  <c r="H13" i="24" s="1"/>
  <c r="J12" i="25"/>
  <c r="H12" i="25" s="1"/>
  <c r="J11" i="17"/>
  <c r="J13" i="19"/>
  <c r="J13" i="17"/>
  <c r="H13" i="17" s="1"/>
  <c r="J11" i="27"/>
  <c r="Q11" i="27" s="1"/>
  <c r="J11" i="20"/>
  <c r="J11" i="19"/>
  <c r="J13" i="26"/>
  <c r="J16" i="24"/>
  <c r="J16" i="20"/>
  <c r="M16" i="20" s="1"/>
  <c r="Q16" i="20" s="1"/>
  <c r="O16" i="20" s="1"/>
  <c r="P16" i="20" s="1"/>
  <c r="J16" i="17"/>
  <c r="J16" i="27"/>
  <c r="M16" i="27" s="1"/>
  <c r="Q16" i="27" s="1"/>
  <c r="O16" i="27" s="1"/>
  <c r="P16" i="27" s="1"/>
  <c r="J16" i="25"/>
  <c r="J16" i="19"/>
  <c r="M16" i="19" s="1"/>
  <c r="Q16" i="19" s="1"/>
  <c r="O16" i="19" s="1"/>
  <c r="P16" i="19" s="1"/>
  <c r="J13" i="27"/>
  <c r="J10" i="18"/>
  <c r="J16" i="34"/>
  <c r="J16" i="33"/>
  <c r="J16" i="26"/>
  <c r="M16" i="26" s="1"/>
  <c r="Q16" i="26" s="1"/>
  <c r="O16" i="26" s="1"/>
  <c r="P16" i="26" s="1"/>
  <c r="J11" i="24"/>
  <c r="J16" i="18"/>
  <c r="O18" i="27"/>
  <c r="P18" i="27" s="1"/>
  <c r="J12" i="18"/>
  <c r="J11" i="26"/>
  <c r="J13" i="20"/>
  <c r="J10" i="25"/>
  <c r="Q10" i="25" s="1"/>
  <c r="M13" i="24"/>
  <c r="M13" i="26"/>
  <c r="Q13" i="26" s="1"/>
  <c r="M13" i="17"/>
  <c r="M13" i="20"/>
  <c r="M10" i="18"/>
  <c r="M12" i="18"/>
  <c r="M11" i="27"/>
  <c r="M10" i="25"/>
  <c r="M11" i="17"/>
  <c r="M11" i="19"/>
  <c r="M13" i="27"/>
  <c r="M11" i="20"/>
  <c r="M11" i="26"/>
  <c r="M13" i="19"/>
  <c r="M12" i="25"/>
  <c r="M11" i="24"/>
  <c r="Q10" i="18" l="1"/>
  <c r="Q11" i="20"/>
  <c r="Q13" i="20"/>
  <c r="Q13" i="27"/>
  <c r="P14" i="27" s="1"/>
  <c r="O14" i="27" s="1"/>
  <c r="F13" i="19"/>
  <c r="Q11" i="26"/>
  <c r="P14" i="26" s="1"/>
  <c r="O14" i="26" s="1"/>
  <c r="Q12" i="18"/>
  <c r="O10" i="18" s="1"/>
  <c r="P10" i="18" s="1"/>
  <c r="Q11" i="24"/>
  <c r="O11" i="27"/>
  <c r="P11" i="27" s="1"/>
  <c r="Q12" i="25"/>
  <c r="P13" i="25" s="1"/>
  <c r="O13" i="25" s="1"/>
  <c r="O13" i="27"/>
  <c r="P13" i="27" s="1"/>
  <c r="Q13" i="24"/>
  <c r="F11" i="27"/>
  <c r="Q13" i="17"/>
  <c r="Q13" i="19"/>
  <c r="Q11" i="19"/>
  <c r="Q11" i="17"/>
  <c r="O13" i="20"/>
  <c r="P13" i="20" s="1"/>
  <c r="O11" i="20"/>
  <c r="P11" i="20" s="1"/>
  <c r="F11" i="17"/>
  <c r="F11" i="20"/>
  <c r="Q13" i="33"/>
  <c r="F13" i="34"/>
  <c r="Q11" i="33"/>
  <c r="Q11" i="31"/>
  <c r="F11" i="34"/>
  <c r="Q11" i="34"/>
  <c r="Q12" i="32"/>
  <c r="Q13" i="31"/>
  <c r="F13" i="33"/>
  <c r="Q10" i="32"/>
  <c r="Q13" i="34"/>
  <c r="F12" i="32"/>
  <c r="H11" i="17"/>
  <c r="M16" i="32"/>
  <c r="Q16" i="32" s="1"/>
  <c r="O16" i="32" s="1"/>
  <c r="P16" i="32" s="1"/>
  <c r="H13" i="33"/>
  <c r="H16" i="31"/>
  <c r="M16" i="31"/>
  <c r="Q16" i="31" s="1"/>
  <c r="O16" i="31" s="1"/>
  <c r="P16" i="31" s="1"/>
  <c r="F16" i="32"/>
  <c r="F10" i="32"/>
  <c r="H13" i="34"/>
  <c r="F11" i="33"/>
  <c r="F11" i="31"/>
  <c r="H11" i="34"/>
  <c r="F13" i="31"/>
  <c r="H13" i="19"/>
  <c r="H11" i="27"/>
  <c r="P18" i="17"/>
  <c r="O18" i="20"/>
  <c r="P18" i="20" s="1"/>
  <c r="F13" i="24"/>
  <c r="F12" i="25"/>
  <c r="F13" i="17"/>
  <c r="O18" i="19"/>
  <c r="P18" i="19" s="1"/>
  <c r="H11" i="20"/>
  <c r="F16" i="34"/>
  <c r="H16" i="34"/>
  <c r="M16" i="34"/>
  <c r="Q16" i="34" s="1"/>
  <c r="O16" i="34" s="1"/>
  <c r="P16" i="34" s="1"/>
  <c r="H16" i="26"/>
  <c r="F16" i="26"/>
  <c r="M16" i="24"/>
  <c r="Q16" i="24" s="1"/>
  <c r="O16" i="24" s="1"/>
  <c r="P16" i="24" s="1"/>
  <c r="F16" i="24"/>
  <c r="H16" i="24"/>
  <c r="H12" i="18"/>
  <c r="F12" i="18"/>
  <c r="H16" i="17"/>
  <c r="M16" i="17"/>
  <c r="Q16" i="17" s="1"/>
  <c r="O16" i="17" s="1"/>
  <c r="P16" i="17" s="1"/>
  <c r="F16" i="17"/>
  <c r="H13" i="26"/>
  <c r="F13" i="26"/>
  <c r="H10" i="18"/>
  <c r="F10" i="18"/>
  <c r="H11" i="19"/>
  <c r="F11" i="19"/>
  <c r="H11" i="24"/>
  <c r="F11" i="24"/>
  <c r="F16" i="27"/>
  <c r="H16" i="27"/>
  <c r="H13" i="27"/>
  <c r="F13" i="27"/>
  <c r="F10" i="25"/>
  <c r="H10" i="25"/>
  <c r="H16" i="18"/>
  <c r="F16" i="18"/>
  <c r="M16" i="18"/>
  <c r="Q16" i="18" s="1"/>
  <c r="O16" i="18" s="1"/>
  <c r="P16" i="18" s="1"/>
  <c r="F13" i="20"/>
  <c r="H13" i="20"/>
  <c r="H11" i="26"/>
  <c r="F11" i="26"/>
  <c r="H16" i="19"/>
  <c r="F16" i="19"/>
  <c r="H16" i="20"/>
  <c r="F16" i="20"/>
  <c r="H16" i="33"/>
  <c r="F16" i="33"/>
  <c r="M16" i="33"/>
  <c r="Q16" i="33" s="1"/>
  <c r="O16" i="33" s="1"/>
  <c r="M16" i="25"/>
  <c r="Q16" i="25" s="1"/>
  <c r="O16" i="25" s="1"/>
  <c r="P16" i="25" s="1"/>
  <c r="F16" i="25"/>
  <c r="H16" i="25"/>
  <c r="P14" i="20" l="1"/>
  <c r="O14" i="20" s="1"/>
  <c r="O36" i="20" s="1"/>
  <c r="O11" i="26"/>
  <c r="P11" i="26" s="1"/>
  <c r="O13" i="26"/>
  <c r="P13" i="26" s="1"/>
  <c r="P15" i="24"/>
  <c r="O15" i="24" s="1"/>
  <c r="O12" i="18"/>
  <c r="P12" i="18" s="1"/>
  <c r="P13" i="18"/>
  <c r="O13" i="18" s="1"/>
  <c r="O13" i="17"/>
  <c r="P13" i="17" s="1"/>
  <c r="O13" i="19"/>
  <c r="P13" i="19" s="1"/>
  <c r="P15" i="17"/>
  <c r="O15" i="17" s="1"/>
  <c r="O11" i="19"/>
  <c r="P11" i="19" s="1"/>
  <c r="O11" i="17"/>
  <c r="P11" i="17" s="1"/>
  <c r="O36" i="27"/>
  <c r="O13" i="24"/>
  <c r="P13" i="24" s="1"/>
  <c r="O11" i="24"/>
  <c r="P11" i="24" s="1"/>
  <c r="O12" i="25"/>
  <c r="P12" i="25" s="1"/>
  <c r="O10" i="25"/>
  <c r="P10" i="25" s="1"/>
  <c r="P14" i="19"/>
  <c r="O14" i="19" s="1"/>
  <c r="P15" i="31"/>
  <c r="O15" i="31" s="1"/>
  <c r="O11" i="33"/>
  <c r="P11" i="33" s="1"/>
  <c r="P14" i="34"/>
  <c r="O14" i="34" s="1"/>
  <c r="P13" i="32"/>
  <c r="O13" i="32" s="1"/>
  <c r="O13" i="33"/>
  <c r="P13" i="33" s="1"/>
  <c r="P14" i="33"/>
  <c r="O14" i="33" s="1"/>
  <c r="O11" i="34"/>
  <c r="P11" i="34" s="1"/>
  <c r="O13" i="34"/>
  <c r="P13" i="34" s="1"/>
  <c r="O11" i="31"/>
  <c r="P11" i="31" s="1"/>
  <c r="O13" i="31"/>
  <c r="P13" i="31" s="1"/>
  <c r="O10" i="32"/>
  <c r="P10" i="32" s="1"/>
  <c r="O12" i="32"/>
  <c r="P12" i="32" s="1"/>
  <c r="P16" i="33"/>
  <c r="N36" i="18" l="1"/>
  <c r="O36" i="26"/>
  <c r="M37" i="27" s="1"/>
  <c r="O36" i="19"/>
  <c r="M37" i="20" s="1"/>
  <c r="N36" i="17"/>
  <c r="N36" i="24"/>
  <c r="N36" i="25"/>
  <c r="O36" i="33"/>
  <c r="N36" i="32"/>
  <c r="O36" i="34"/>
  <c r="N36" i="31"/>
  <c r="M37" i="18" l="1"/>
  <c r="M37" i="25"/>
  <c r="AC19" i="1" s="1"/>
  <c r="M37" i="34"/>
  <c r="M37" i="32"/>
  <c r="AH19" i="1" s="1"/>
  <c r="AH215" i="1" s="1"/>
  <c r="AC215" i="1" l="1"/>
  <c r="AC231" i="1" s="1"/>
  <c r="AH196" i="1"/>
  <c r="AC196" i="1"/>
  <c r="Y196" i="1"/>
  <c r="Y233" i="1" s="1"/>
  <c r="D9" i="208"/>
  <c r="W12" i="209" s="1"/>
  <c r="E25" i="209" s="1"/>
  <c r="M25" i="209" s="1"/>
  <c r="Q25" i="209" s="1"/>
  <c r="D9" i="216"/>
  <c r="W12" i="217" s="1"/>
  <c r="E29" i="217" s="1"/>
  <c r="M29" i="217" s="1"/>
  <c r="Q29" i="217" s="1"/>
  <c r="C49" i="217" s="1"/>
  <c r="G49" i="217" s="1"/>
  <c r="W49" i="217" s="1"/>
  <c r="AC200" i="1" s="1"/>
  <c r="T20" i="1"/>
  <c r="Y52" i="1" l="1"/>
  <c r="Y405" i="1"/>
  <c r="Y25" i="209"/>
  <c r="G45" i="209" s="1"/>
  <c r="W45" i="209" s="1"/>
  <c r="Y198" i="1" s="1"/>
  <c r="AC20" i="1"/>
  <c r="Y20" i="1"/>
  <c r="E27" i="209"/>
  <c r="M27" i="209" s="1"/>
  <c r="Q27" i="209" s="1"/>
  <c r="Y27" i="209" s="1"/>
  <c r="G47" i="209" s="1"/>
  <c r="W47" i="209" s="1"/>
  <c r="Y199" i="1" s="1"/>
  <c r="E23" i="209"/>
  <c r="M23" i="209" s="1"/>
  <c r="Q23" i="209" s="1"/>
  <c r="Y23" i="209" s="1"/>
  <c r="G43" i="209" s="1"/>
  <c r="E29" i="209"/>
  <c r="M29" i="209" s="1"/>
  <c r="Q29" i="209" s="1"/>
  <c r="C49" i="209" s="1"/>
  <c r="G49" i="209" s="1"/>
  <c r="W49" i="209" s="1"/>
  <c r="Y200" i="1" s="1"/>
  <c r="E23" i="217"/>
  <c r="M23" i="217" s="1"/>
  <c r="Q23" i="217" s="1"/>
  <c r="Y23" i="217" s="1"/>
  <c r="G43" i="217" s="1"/>
  <c r="E25" i="217"/>
  <c r="M25" i="217" s="1"/>
  <c r="Q25" i="217" s="1"/>
  <c r="Y25" i="217" s="1"/>
  <c r="G45" i="217" s="1"/>
  <c r="W45" i="217" s="1"/>
  <c r="AC198" i="1" s="1"/>
  <c r="E27" i="217"/>
  <c r="M27" i="217" s="1"/>
  <c r="Q27" i="217" s="1"/>
  <c r="Y27" i="217" s="1"/>
  <c r="G47" i="217" s="1"/>
  <c r="W47" i="217" s="1"/>
  <c r="AC199" i="1" s="1"/>
  <c r="D9" i="224"/>
  <c r="W12" i="225" s="1"/>
  <c r="E25" i="225" s="1"/>
  <c r="M25" i="225" s="1"/>
  <c r="Q25" i="225" s="1"/>
  <c r="Y25" i="225" s="1"/>
  <c r="G45" i="225" s="1"/>
  <c r="W45" i="225" s="1"/>
  <c r="AH198" i="1" s="1"/>
  <c r="AM231" i="1"/>
  <c r="AM233" i="1" s="1"/>
  <c r="AM403" i="1" s="1"/>
  <c r="AH20" i="1"/>
  <c r="T231" i="1"/>
  <c r="Y415" i="1" l="1"/>
  <c r="Y652" i="1" s="1"/>
  <c r="Y285" i="1" s="1"/>
  <c r="AM234" i="1"/>
  <c r="AM281" i="1"/>
  <c r="M31" i="209"/>
  <c r="Q31" i="209"/>
  <c r="M31" i="217"/>
  <c r="E23" i="225"/>
  <c r="M23" i="225" s="1"/>
  <c r="Q23" i="225" s="1"/>
  <c r="Q31" i="217"/>
  <c r="E27" i="225"/>
  <c r="M27" i="225" s="1"/>
  <c r="Q27" i="225" s="1"/>
  <c r="Y27" i="225" s="1"/>
  <c r="G47" i="225" s="1"/>
  <c r="W47" i="225" s="1"/>
  <c r="AH199" i="1" s="1"/>
  <c r="E29" i="225"/>
  <c r="M29" i="225" s="1"/>
  <c r="Q29" i="225" s="1"/>
  <c r="C49" i="225" s="1"/>
  <c r="G49" i="225" s="1"/>
  <c r="W49" i="225" s="1"/>
  <c r="AH200" i="1" s="1"/>
  <c r="W43" i="217"/>
  <c r="AC197" i="1" s="1"/>
  <c r="G51" i="217"/>
  <c r="G51" i="209"/>
  <c r="W43" i="209"/>
  <c r="AH231" i="1"/>
  <c r="Y53" i="1" l="1"/>
  <c r="Y288" i="1"/>
  <c r="AM282" i="1"/>
  <c r="M31" i="225"/>
  <c r="W51" i="217"/>
  <c r="AC201" i="1" s="1"/>
  <c r="W51" i="209"/>
  <c r="Y197" i="1"/>
  <c r="Y23" i="225"/>
  <c r="G43" i="225" s="1"/>
  <c r="Q31" i="225"/>
  <c r="K51" i="217"/>
  <c r="M51" i="217" s="1"/>
  <c r="AC203" i="1" s="1"/>
  <c r="AC22" i="1" s="1"/>
  <c r="K51" i="209"/>
  <c r="M51" i="209" s="1"/>
  <c r="AC233" i="1" l="1"/>
  <c r="AC403" i="1" s="1"/>
  <c r="Y21" i="1"/>
  <c r="AC21" i="1"/>
  <c r="Y22" i="1"/>
  <c r="M43" i="217"/>
  <c r="M47" i="217"/>
  <c r="M49" i="217"/>
  <c r="M49" i="209"/>
  <c r="M47" i="209"/>
  <c r="M45" i="217"/>
  <c r="M45" i="209"/>
  <c r="M43" i="209"/>
  <c r="G51" i="225"/>
  <c r="W43" i="225"/>
  <c r="AC281" i="1" l="1"/>
  <c r="AC47" i="1" s="1"/>
  <c r="AM405" i="1"/>
  <c r="AM415" i="1" s="1"/>
  <c r="AM652" i="1" s="1"/>
  <c r="AM285" i="1" s="1"/>
  <c r="AM52" i="1"/>
  <c r="AC234" i="1"/>
  <c r="W51" i="225"/>
  <c r="AH201" i="1" s="1"/>
  <c r="AH197" i="1"/>
  <c r="K51" i="225"/>
  <c r="M51" i="225" s="1"/>
  <c r="AH203" i="1" s="1"/>
  <c r="AH22" i="1" s="1"/>
  <c r="AC48" i="1"/>
  <c r="AM48" i="1"/>
  <c r="AC49" i="1" l="1"/>
  <c r="AC52" i="1"/>
  <c r="AC405" i="1"/>
  <c r="AC415" i="1" s="1"/>
  <c r="AC652" i="1" s="1"/>
  <c r="Y48" i="1"/>
  <c r="Y51" i="1"/>
  <c r="AM288" i="1"/>
  <c r="AM286" i="1"/>
  <c r="AH21" i="1"/>
  <c r="AH233" i="1"/>
  <c r="AH403" i="1" s="1"/>
  <c r="AH52" i="1" s="1"/>
  <c r="AC282" i="1"/>
  <c r="Y234" i="1"/>
  <c r="Y281" i="1"/>
  <c r="Y47" i="1" s="1"/>
  <c r="M49" i="225"/>
  <c r="M47" i="225"/>
  <c r="M45" i="225"/>
  <c r="M43" i="225"/>
  <c r="AC285" i="1" l="1"/>
  <c r="AC288" i="1" s="1"/>
  <c r="Y49" i="1"/>
  <c r="Y54" i="1" s="1"/>
  <c r="Y59" i="1" s="1"/>
  <c r="AH405" i="1"/>
  <c r="AH415" i="1" s="1"/>
  <c r="AH652" i="1" s="1"/>
  <c r="AH285" i="1" s="1"/>
  <c r="AH288" i="1" s="1"/>
  <c r="Y282" i="1"/>
  <c r="Y286" i="1"/>
  <c r="AH234" i="1"/>
  <c r="AH281" i="1"/>
  <c r="BB53" i="1"/>
  <c r="BE52" i="1" s="1"/>
  <c r="BB47" i="1"/>
  <c r="BB49" i="1" s="1"/>
  <c r="AH48" i="1"/>
  <c r="T53" i="1"/>
  <c r="T233" i="1"/>
  <c r="Y56" i="1" l="1"/>
  <c r="Y57" i="1" s="1"/>
  <c r="Y58" i="1" s="1"/>
  <c r="AC53" i="1"/>
  <c r="AC286" i="1"/>
  <c r="T48" i="1"/>
  <c r="T234" i="1"/>
  <c r="T281" i="1"/>
  <c r="AH282" i="1"/>
  <c r="AH286" i="1"/>
  <c r="BB54" i="1"/>
  <c r="BB59" i="1" s="1"/>
  <c r="AH47" i="1"/>
  <c r="BB51" i="1"/>
  <c r="BE51" i="1" s="1"/>
  <c r="AR53" i="1"/>
  <c r="AU52" i="1" s="1"/>
  <c r="AM53" i="1"/>
  <c r="AP52" i="1" s="1"/>
  <c r="AM47" i="1"/>
  <c r="AM49" i="1" s="1"/>
  <c r="AH53" i="1"/>
  <c r="AK52" i="1" s="1"/>
  <c r="AA52" i="1"/>
  <c r="AW53" i="1"/>
  <c r="AZ52" i="1" s="1"/>
  <c r="T288" i="1"/>
  <c r="AR48" i="1"/>
  <c r="AF52" i="1" l="1"/>
  <c r="AC54" i="1"/>
  <c r="AC56" i="1" s="1"/>
  <c r="AC51" i="1"/>
  <c r="AF51" i="1" s="1"/>
  <c r="BB56" i="1"/>
  <c r="AM54" i="1"/>
  <c r="AM59" i="1" s="1"/>
  <c r="AH51" i="1"/>
  <c r="AK51" i="1" s="1"/>
  <c r="AH49" i="1"/>
  <c r="AH54" i="1" s="1"/>
  <c r="AH59" i="1" s="1"/>
  <c r="AR51" i="1"/>
  <c r="AU51" i="1" s="1"/>
  <c r="AM51" i="1"/>
  <c r="AP51" i="1" s="1"/>
  <c r="AA51" i="1"/>
  <c r="AW51" i="1"/>
  <c r="AZ51" i="1" s="1"/>
  <c r="BA283" i="1"/>
  <c r="AW48" i="1"/>
  <c r="AC59" i="1" l="1"/>
  <c r="AM56" i="1"/>
  <c r="AH56" i="1"/>
  <c r="AR47" i="1"/>
  <c r="AR49" i="1" s="1"/>
  <c r="AR54" i="1" s="1"/>
  <c r="AR59" i="1" s="1"/>
  <c r="T47" i="1"/>
  <c r="T49" i="1" s="1"/>
  <c r="T54" i="1" s="1"/>
  <c r="T59" i="1" s="1"/>
  <c r="T56" i="1" l="1"/>
  <c r="T57" i="1" s="1"/>
  <c r="T58" i="1" s="1"/>
  <c r="T282" i="1"/>
  <c r="S283" i="1" s="1"/>
  <c r="AR56" i="1"/>
  <c r="AL283" i="1"/>
  <c r="AG283" i="1"/>
  <c r="AW47" i="1"/>
  <c r="AW49" i="1" s="1"/>
  <c r="AW54" i="1" s="1"/>
  <c r="AW59" i="1" s="1"/>
  <c r="AB283" i="1"/>
  <c r="T286" i="1"/>
  <c r="AC55" i="1" l="1"/>
  <c r="AW56" i="1"/>
  <c r="AV283" i="1"/>
  <c r="AQ283" i="1" l="1"/>
  <c r="X283" i="1" l="1"/>
  <c r="AC57" i="1" l="1"/>
  <c r="AC58" i="1" s="1"/>
  <c r="AH55" i="1" l="1"/>
  <c r="AH57" i="1" s="1"/>
  <c r="AH58" i="1" s="1"/>
  <c r="AM55" i="1" l="1"/>
  <c r="AM57" i="1" s="1"/>
  <c r="AM58" i="1" s="1"/>
  <c r="AR55" i="1" l="1"/>
  <c r="AR57" i="1" s="1"/>
  <c r="AR58" i="1" s="1"/>
  <c r="AW55" i="1" l="1"/>
  <c r="AW57" i="1" s="1"/>
  <c r="AW58" i="1" s="1"/>
  <c r="BB55" i="1" l="1"/>
  <c r="BB57" i="1" l="1"/>
  <c r="BB58" i="1" s="1"/>
  <c r="T51" i="1" l="1"/>
  <c r="X52" i="1"/>
  <c r="X51"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Marc Carignan</author>
    <author>Cole Skinner</author>
  </authors>
  <commentList>
    <comment ref="T11" authorId="0" shapeId="0" xr:uid="{4E2A6D0E-2953-4245-9576-0920BF3B2258}">
      <text>
        <r>
          <rPr>
            <b/>
            <sz val="9"/>
            <color indexed="81"/>
            <rFont val="Tahoma"/>
            <family val="2"/>
          </rPr>
          <t>Marc Carignan:</t>
        </r>
        <r>
          <rPr>
            <sz val="9"/>
            <color indexed="81"/>
            <rFont val="Tahoma"/>
            <family val="2"/>
          </rPr>
          <t xml:space="preserve">
Matched to SDE template
</t>
        </r>
      </text>
    </comment>
    <comment ref="Y11" authorId="0" shapeId="0" xr:uid="{4571808E-5955-42EA-B7EB-FD76112FD2A1}">
      <text>
        <r>
          <rPr>
            <b/>
            <sz val="9"/>
            <color indexed="81"/>
            <rFont val="Tahoma"/>
            <family val="2"/>
          </rPr>
          <t xml:space="preserve">Verified 2021-2022 is $29,542
</t>
        </r>
        <r>
          <rPr>
            <sz val="9"/>
            <color indexed="81"/>
            <rFont val="Tahoma"/>
            <family val="2"/>
          </rPr>
          <t xml:space="preserve">
</t>
        </r>
      </text>
    </comment>
    <comment ref="T13" authorId="0" shapeId="0" xr:uid="{A08223C2-6F45-4878-88CB-93249E8E7A7A}">
      <text>
        <r>
          <rPr>
            <b/>
            <sz val="9"/>
            <color indexed="81"/>
            <rFont val="Tahoma"/>
            <family val="2"/>
          </rPr>
          <t>Marc Carignan:</t>
        </r>
        <r>
          <rPr>
            <sz val="9"/>
            <color indexed="81"/>
            <rFont val="Tahoma"/>
            <family val="2"/>
          </rPr>
          <t xml:space="preserve">
Per law/post-legislative session</t>
        </r>
      </text>
    </comment>
    <comment ref="T15" authorId="0" shapeId="0" xr:uid="{4B32C625-33FB-4A41-BBB7-6B96AA1D7912}">
      <text>
        <r>
          <rPr>
            <b/>
            <sz val="9"/>
            <color indexed="81"/>
            <rFont val="Tahoma"/>
            <family val="2"/>
          </rPr>
          <t>Marc Carignan:</t>
        </r>
        <r>
          <rPr>
            <sz val="9"/>
            <color indexed="81"/>
            <rFont val="Tahoma"/>
            <family val="2"/>
          </rPr>
          <t xml:space="preserve">
Matched to SDE Template
</t>
        </r>
      </text>
    </comment>
    <comment ref="BF105" authorId="1" shapeId="0" xr:uid="{F4B4AE12-82CD-4294-802D-555054248359}">
      <text>
        <r>
          <rPr>
            <b/>
            <sz val="9"/>
            <color indexed="81"/>
            <rFont val="Tahoma"/>
            <family val="2"/>
          </rPr>
          <t>Cole Skinner:</t>
        </r>
        <r>
          <rPr>
            <sz val="9"/>
            <color indexed="81"/>
            <rFont val="Tahoma"/>
            <family val="2"/>
          </rPr>
          <t xml:space="preserve">
Original Part-Time Amount</t>
        </r>
      </text>
    </comment>
    <comment ref="BF110" authorId="1" shapeId="0" xr:uid="{AD2285F7-FC56-4260-B22D-D8FFBAD307F5}">
      <text>
        <r>
          <rPr>
            <b/>
            <sz val="9"/>
            <color indexed="81"/>
            <rFont val="Tahoma"/>
            <family val="2"/>
          </rPr>
          <t>Cole Skinner:</t>
        </r>
        <r>
          <rPr>
            <sz val="9"/>
            <color indexed="81"/>
            <rFont val="Tahoma"/>
            <family val="2"/>
          </rPr>
          <t xml:space="preserve">
Based on Full-Time Equivalent of Last Year Contract
</t>
        </r>
      </text>
    </comment>
    <comment ref="D238" authorId="0" shapeId="0" xr:uid="{7FF67DF5-348F-45BB-A266-53D473F6FD75}">
      <text>
        <r>
          <rPr>
            <b/>
            <sz val="9"/>
            <color indexed="81"/>
            <rFont val="Tahoma"/>
            <family val="2"/>
          </rPr>
          <t>Budget $220 per eligible English Learner (see following eligibility) that
was tested on the spring ACCESS assessment. Funding is for students identified as L1 and LE as reported in the Idaho English Learner Management System (ELMS)</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Marc Carignan</author>
  </authors>
  <commentList>
    <comment ref="B3" authorId="0" shapeId="0" xr:uid="{00000000-0006-0000-0100-000001000000}">
      <text>
        <r>
          <rPr>
            <b/>
            <sz val="9"/>
            <color indexed="81"/>
            <rFont val="Tahoma"/>
            <family val="2"/>
          </rPr>
          <t>Enter bank LTV rate, tables to the right will split loans between bank and BH</t>
        </r>
      </text>
    </comment>
    <comment ref="B9" authorId="0" shapeId="0" xr:uid="{00000000-0006-0000-0100-000002000000}">
      <text>
        <r>
          <rPr>
            <b/>
            <sz val="9"/>
            <color indexed="81"/>
            <rFont val="Tahoma"/>
            <family val="2"/>
          </rPr>
          <t xml:space="preserve">Enter a Date, drives the amortization table dates
</t>
        </r>
      </text>
    </comment>
    <comment ref="B11" authorId="0" shapeId="0" xr:uid="{00000000-0006-0000-0100-000003000000}">
      <text>
        <r>
          <rPr>
            <b/>
            <sz val="9"/>
            <color indexed="81"/>
            <rFont val="Tahoma"/>
            <family val="2"/>
          </rPr>
          <t xml:space="preserve">First fiscal year end date after start of loan. This helps group the payments by fiscal year.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<sst xmlns="http://schemas.openxmlformats.org/spreadsheetml/2006/main" count="8065" uniqueCount="1495">
  <si>
    <t>K</t>
  </si>
  <si>
    <t>Charter Schools Only</t>
  </si>
  <si>
    <t>Input Estimated Information</t>
  </si>
  <si>
    <t>Estimated Fall Enrollment</t>
  </si>
  <si>
    <t>Estimated ADA Midterm</t>
  </si>
  <si>
    <t>Estimated ADA Best 28 Weeks</t>
  </si>
  <si>
    <t>Kindergarten Administrative</t>
  </si>
  <si>
    <t>Elementary Administrative</t>
  </si>
  <si>
    <t>Grades 1-3</t>
  </si>
  <si>
    <t>Grades 4-6</t>
  </si>
  <si>
    <t>Secondary Administrative</t>
  </si>
  <si>
    <t>Optional programs you may or may not have</t>
  </si>
  <si>
    <t>ALTERNATIVE HIGH SCHOOL</t>
  </si>
  <si>
    <t>Summer Alternative High School</t>
  </si>
  <si>
    <t>EXCEPTIONAL PRESCHOOL</t>
  </si>
  <si>
    <t>Number of Pre-school Students</t>
  </si>
  <si>
    <t>Hours and minutes of service per student per week</t>
  </si>
  <si>
    <t>Exceptional students eligible for tuition equivalency allowance</t>
  </si>
  <si>
    <t>Elementary</t>
  </si>
  <si>
    <t>Secondary</t>
  </si>
  <si>
    <t>Current Year Support Unit Calculation</t>
  </si>
  <si>
    <t>Midterm Reporting Period</t>
  </si>
  <si>
    <t>ADMINISTRATIVE UNITS</t>
  </si>
  <si>
    <t>A.D.A</t>
  </si>
  <si>
    <r>
      <t>Special</t>
    </r>
    <r>
      <rPr>
        <u/>
        <sz val="10"/>
        <rFont val="Arial"/>
        <family val="2"/>
      </rPr>
      <t xml:space="preserve">
Education</t>
    </r>
  </si>
  <si>
    <r>
      <t>Adjusted</t>
    </r>
    <r>
      <rPr>
        <u/>
        <sz val="10"/>
        <rFont val="Arial"/>
        <family val="2"/>
      </rPr>
      <t xml:space="preserve">
A.D.A</t>
    </r>
  </si>
  <si>
    <r>
      <t xml:space="preserve">Unit      </t>
    </r>
    <r>
      <rPr>
        <u/>
        <sz val="10"/>
        <rFont val="Arial"/>
        <family val="2"/>
      </rPr>
      <t>Divisor</t>
    </r>
  </si>
  <si>
    <t>Support Units</t>
  </si>
  <si>
    <t>¸</t>
  </si>
  <si>
    <t>=</t>
  </si>
  <si>
    <t>equals 300 or more:</t>
  </si>
  <si>
    <t>-</t>
  </si>
  <si>
    <t>less than 300:</t>
  </si>
  <si>
    <t>Grades 1-6</t>
  </si>
  <si>
    <t>Exceptional Education</t>
  </si>
  <si>
    <t xml:space="preserve">Exceptional Preschool </t>
  </si>
  <si>
    <t xml:space="preserve">Exceptional Elementary </t>
  </si>
  <si>
    <t xml:space="preserve">Exceptional Secondary </t>
  </si>
  <si>
    <t>Exceptional Education Total</t>
  </si>
  <si>
    <t>ALTERNATIVE HIGH SCHOOL UNITS</t>
  </si>
  <si>
    <t>TOTAL Estimated Support Units (Round to nearest hundredth)</t>
  </si>
  <si>
    <t>Second copy for district without Secondary Special Education Approvals</t>
  </si>
  <si>
    <t>BEST 28 WEEKS</t>
  </si>
  <si>
    <t>EXCEPTIONAL CHILD UNITS</t>
  </si>
  <si>
    <t>Preschool Approvals</t>
  </si>
  <si>
    <t>Elementary Approvals</t>
  </si>
  <si>
    <t>Secondary Approvals</t>
  </si>
  <si>
    <t>Total Exceptional A.D.A</t>
  </si>
  <si>
    <t>Without Secondary Special Education Approvals</t>
  </si>
  <si>
    <t>C</t>
  </si>
  <si>
    <t>BUDGET WORKSHEETS</t>
  </si>
  <si>
    <t>ESTIMATING EXCEPTIONAL CHILD UNIT APPROVALS</t>
  </si>
  <si>
    <t>% of</t>
  </si>
  <si>
    <t>Total</t>
  </si>
  <si>
    <t>ELEMENTARY</t>
  </si>
  <si>
    <t>1.</t>
  </si>
  <si>
    <t>Fall Enrollment, grades K-3</t>
  </si>
  <si>
    <t>2.</t>
  </si>
  <si>
    <t>Fall Enrollment, grades 4-6</t>
  </si>
  <si>
    <t>(Do not include border students)</t>
  </si>
  <si>
    <t>3.</t>
  </si>
  <si>
    <t>Elementary exceptional students eligible</t>
  </si>
  <si>
    <t>for tuition equivalency allowance</t>
  </si>
  <si>
    <t>4.</t>
  </si>
  <si>
    <t>Line 1 + Line 2 - Line 3</t>
  </si>
  <si>
    <t>5.</t>
  </si>
  <si>
    <t>Line 4 x 6%</t>
  </si>
  <si>
    <t>6.</t>
  </si>
  <si>
    <t>Line 3 + Line 5 = the number of elementary</t>
  </si>
  <si>
    <t>students approved for special education unit funding</t>
  </si>
  <si>
    <t>6.a</t>
  </si>
  <si>
    <t>X</t>
  </si>
  <si>
    <t>grades 1-3 Portion</t>
  </si>
  <si>
    <t>6.b</t>
  </si>
  <si>
    <t>grades 4-6 Portion</t>
  </si>
  <si>
    <t>SECONDARY</t>
  </si>
  <si>
    <t>7.</t>
  </si>
  <si>
    <t>Fall enrollment for regular secondary</t>
  </si>
  <si>
    <t>students, grades 7-12</t>
  </si>
  <si>
    <t>(Do not include alternative school,</t>
  </si>
  <si>
    <t>detention center, or border students)</t>
  </si>
  <si>
    <t>8.</t>
  </si>
  <si>
    <r>
      <t xml:space="preserve">Secondary </t>
    </r>
    <r>
      <rPr>
        <u/>
        <sz val="12"/>
        <rFont val="Arial"/>
        <family val="2"/>
      </rPr>
      <t>exeptional</t>
    </r>
    <r>
      <rPr>
        <sz val="12"/>
        <rFont val="Arial"/>
        <family val="2"/>
      </rPr>
      <t xml:space="preserve"> students eligible for</t>
    </r>
  </si>
  <si>
    <r>
      <t xml:space="preserve">tuition equivalency allowance </t>
    </r>
    <r>
      <rPr>
        <sz val="10"/>
        <rFont val="Arial"/>
        <family val="2"/>
      </rPr>
      <t>(other than</t>
    </r>
  </si>
  <si>
    <t>juvenile detention center students)</t>
  </si>
  <si>
    <t>9.</t>
  </si>
  <si>
    <t>Line 7 - line 8</t>
  </si>
  <si>
    <t>10.</t>
  </si>
  <si>
    <t>Line 9 x 5.5%</t>
  </si>
  <si>
    <t>11.</t>
  </si>
  <si>
    <t>Line 8 + line 10 = the number of secondary</t>
  </si>
  <si>
    <t>students approved for special education unit funding.</t>
  </si>
  <si>
    <t>PRESCHOOL</t>
  </si>
  <si>
    <t>12.</t>
  </si>
  <si>
    <t>Preschool Student Approvals</t>
  </si>
  <si>
    <r>
      <t xml:space="preserve">a.     For </t>
    </r>
    <r>
      <rPr>
        <u/>
        <sz val="12"/>
        <rFont val="Arial"/>
        <family val="2"/>
      </rPr>
      <t>each</t>
    </r>
    <r>
      <rPr>
        <sz val="12"/>
        <rFont val="Arial"/>
        <family val="2"/>
      </rPr>
      <t xml:space="preserve"> exceptional preschool</t>
    </r>
  </si>
  <si>
    <t xml:space="preserve">        student, total the number of hours and</t>
  </si>
  <si>
    <r>
      <t xml:space="preserve">        minutes </t>
    </r>
    <r>
      <rPr>
        <u/>
        <sz val="12"/>
        <rFont val="Arial"/>
        <family val="2"/>
      </rPr>
      <t>per week</t>
    </r>
    <r>
      <rPr>
        <sz val="12"/>
        <rFont val="Arial"/>
        <family val="2"/>
      </rPr>
      <t xml:space="preserve"> of direct service;</t>
    </r>
  </si>
  <si>
    <t xml:space="preserve">        then divide by 16 hours.  No student</t>
  </si>
  <si>
    <t xml:space="preserve">        will be approved for more than 1 FTE</t>
  </si>
  <si>
    <t>b.     Total all Preschool FTE approvals</t>
  </si>
  <si>
    <t xml:space="preserve">        Line 12(b) equals the number of preschool</t>
  </si>
  <si>
    <t xml:space="preserve">        exceptional students approved for unit funding.</t>
  </si>
  <si>
    <t>KINDERGARTEN</t>
  </si>
  <si>
    <t>Elementary grades 1-3</t>
  </si>
  <si>
    <t>Elementary grades 4-6</t>
  </si>
  <si>
    <t>Elementary grades 1-6</t>
  </si>
  <si>
    <t>SECONDARY LESS THAN 99.99</t>
  </si>
  <si>
    <t>Low</t>
  </si>
  <si>
    <t>Unit</t>
  </si>
  <si>
    <t>Minimum</t>
  </si>
  <si>
    <t>high grade</t>
  </si>
  <si>
    <t>units</t>
  </si>
  <si>
    <t>(Check)</t>
  </si>
  <si>
    <t>Math and Science Requirement</t>
  </si>
  <si>
    <t>Professional Development</t>
  </si>
  <si>
    <t>N</t>
  </si>
  <si>
    <t>Salary Apportionment</t>
  </si>
  <si>
    <t>TOTAL EXPECTED REVENUES:</t>
  </si>
  <si>
    <t xml:space="preserve">Required Data Elements for Calculating Salary Based Apportionment </t>
  </si>
  <si>
    <t>Include only staff paid from General Fund Money (code 10)</t>
  </si>
  <si>
    <t>Charter Number</t>
  </si>
  <si>
    <t>Charter Enters</t>
  </si>
  <si>
    <t>Charter Name</t>
  </si>
  <si>
    <t>Charter February Support Units</t>
  </si>
  <si>
    <t>Units - from 1st Reporting Period Support Unit Calculation</t>
  </si>
  <si>
    <t>Separate Secondary School Allowance</t>
  </si>
  <si>
    <t>N/A</t>
  </si>
  <si>
    <t>Applies to School Districts with one or more Separate Secondary Schools (9-12) (I.C. 33-1004 (5)(d))</t>
  </si>
  <si>
    <t>Charter Staff Index - Administration</t>
  </si>
  <si>
    <t>From "Index - Admin" worksheet (tabs at bottom of this worksheet) or Charter enters</t>
  </si>
  <si>
    <t>Average Instructional Salary</t>
  </si>
  <si>
    <t>Actual FTE  - Administration</t>
  </si>
  <si>
    <t>Actual FTE  - Instructional</t>
  </si>
  <si>
    <t>Actual FTE  - Pupil Services</t>
  </si>
  <si>
    <t>Actual FTE  - Noncertified</t>
  </si>
  <si>
    <t>Actual Total Salary - Administration</t>
  </si>
  <si>
    <t>Actual Total Salary - Instructional</t>
  </si>
  <si>
    <t>Actual Total Salary - Pupil Services</t>
  </si>
  <si>
    <t>Actual Total Salary - Noncertified</t>
  </si>
  <si>
    <t>INSTRUCTIONS:</t>
  </si>
  <si>
    <t>Blue Cells require data entry.</t>
  </si>
  <si>
    <t>Red Cells contain formulas. You may elect to complete the appropriate worksheet or override by entering the data</t>
  </si>
  <si>
    <r>
      <t xml:space="preserve">       SUGGESTION:    If you choose to override one of the </t>
    </r>
    <r>
      <rPr>
        <b/>
        <sz val="10"/>
        <color indexed="10"/>
        <rFont val="Arial"/>
        <family val="2"/>
      </rPr>
      <t xml:space="preserve">"RED" </t>
    </r>
    <r>
      <rPr>
        <b/>
        <sz val="10"/>
        <rFont val="Arial"/>
        <family val="2"/>
      </rPr>
      <t xml:space="preserve"> numbers, change the font color to </t>
    </r>
    <r>
      <rPr>
        <b/>
        <sz val="10"/>
        <color indexed="12"/>
        <rFont val="Arial"/>
        <family val="2"/>
      </rPr>
      <t>"BLUE"</t>
    </r>
    <r>
      <rPr>
        <b/>
        <sz val="10"/>
        <color indexed="8"/>
        <rFont val="Arial"/>
        <family val="2"/>
      </rPr>
      <t xml:space="preserve">, thus indicating the cell </t>
    </r>
  </si>
  <si>
    <r>
      <t xml:space="preserve">                                  </t>
    </r>
    <r>
      <rPr>
        <b/>
        <sz val="10"/>
        <color indexed="8"/>
        <rFont val="Arial"/>
        <family val="2"/>
      </rPr>
      <t xml:space="preserve"> is no longer a formula.</t>
    </r>
  </si>
  <si>
    <t>Basic Education Data System</t>
  </si>
  <si>
    <t>Salary Based Apportionment and Benefit Apportionment</t>
  </si>
  <si>
    <t>Computation</t>
  </si>
  <si>
    <t>District</t>
  </si>
  <si>
    <t>Statewide Information:</t>
  </si>
  <si>
    <t>District Information:</t>
  </si>
  <si>
    <t>Administrative Staff Index</t>
  </si>
  <si>
    <t>Administrative Staff Index Cap</t>
  </si>
  <si>
    <t>Administrative Staff Index (adjusted for cap)</t>
  </si>
  <si>
    <t>PERSI plus FICA Employer Rate</t>
  </si>
  <si>
    <t>Mid-Term Support Units:</t>
  </si>
  <si>
    <t>Staff</t>
  </si>
  <si>
    <t>Small District Staff Allowance</t>
  </si>
  <si>
    <t>Separate</t>
  </si>
  <si>
    <t>Adjusted</t>
  </si>
  <si>
    <t>Actual</t>
  </si>
  <si>
    <t>Base</t>
  </si>
  <si>
    <t>Average</t>
  </si>
  <si>
    <t>Certified</t>
  </si>
  <si>
    <t>Allowance</t>
  </si>
  <si>
    <t>&lt; 40 units</t>
  </si>
  <si>
    <t>&lt; 20 units</t>
  </si>
  <si>
    <t>Sec. School</t>
  </si>
  <si>
    <t>FTE</t>
  </si>
  <si>
    <t>Index</t>
  </si>
  <si>
    <t>Salary</t>
  </si>
  <si>
    <t>Preliminary</t>
  </si>
  <si>
    <t>Ratio</t>
  </si>
  <si>
    <t>then + 0.5 FTE</t>
  </si>
  <si>
    <t>Salary Based</t>
  </si>
  <si>
    <t>Apportionment</t>
  </si>
  <si>
    <t>(Units x a)</t>
  </si>
  <si>
    <t>(b + c + d + e)</t>
  </si>
  <si>
    <t>col (f)</t>
  </si>
  <si>
    <t>(i x j)</t>
  </si>
  <si>
    <t>(h x k)</t>
  </si>
  <si>
    <t>a</t>
  </si>
  <si>
    <t>b</t>
  </si>
  <si>
    <t>c</t>
  </si>
  <si>
    <t>d</t>
  </si>
  <si>
    <t>e</t>
  </si>
  <si>
    <t>f</t>
  </si>
  <si>
    <t>g</t>
  </si>
  <si>
    <t>h</t>
  </si>
  <si>
    <t>j</t>
  </si>
  <si>
    <t>k</t>
  </si>
  <si>
    <t>l</t>
  </si>
  <si>
    <t>Administration</t>
  </si>
  <si>
    <t>Instructional</t>
  </si>
  <si>
    <t>Pupil Service</t>
  </si>
  <si>
    <t>Noncertified</t>
  </si>
  <si>
    <t>TOTAL</t>
  </si>
  <si>
    <t>Benefit</t>
  </si>
  <si>
    <t>Virtual</t>
  </si>
  <si>
    <t>Ancillary</t>
  </si>
  <si>
    <t>Maximum</t>
  </si>
  <si>
    <t>Eligible for</t>
  </si>
  <si>
    <t>Plus Allowances</t>
  </si>
  <si>
    <t>Benefits</t>
  </si>
  <si>
    <t>(h x j)</t>
  </si>
  <si>
    <r>
      <t xml:space="preserve">(Max </t>
    </r>
    <r>
      <rPr>
        <sz val="11"/>
        <color indexed="14"/>
        <rFont val="Arial"/>
        <family val="2"/>
      </rPr>
      <t>15%</t>
    </r>
    <r>
      <rPr>
        <sz val="11"/>
        <rFont val="Arial"/>
        <family val="2"/>
      </rPr>
      <t>)</t>
    </r>
  </si>
  <si>
    <t>m</t>
  </si>
  <si>
    <t>n</t>
  </si>
  <si>
    <t>o</t>
  </si>
  <si>
    <t>q</t>
  </si>
  <si>
    <t>r</t>
  </si>
  <si>
    <t>s</t>
  </si>
  <si>
    <t>t</t>
  </si>
  <si>
    <t>u</t>
  </si>
  <si>
    <t>v</t>
  </si>
  <si>
    <t>MA</t>
  </si>
  <si>
    <t>MA+12</t>
  </si>
  <si>
    <t>MA+24</t>
  </si>
  <si>
    <t>MA+36</t>
  </si>
  <si>
    <t>Year</t>
  </si>
  <si>
    <t>BA</t>
  </si>
  <si>
    <t>BA+12</t>
  </si>
  <si>
    <t>BA+24</t>
  </si>
  <si>
    <t>BA+36</t>
  </si>
  <si>
    <t>BA+48</t>
  </si>
  <si>
    <t>BA+60</t>
  </si>
  <si>
    <t>ES/DR</t>
  </si>
  <si>
    <t>13 or more</t>
  </si>
  <si>
    <t>QUALIFYING FTE PLACEMENT</t>
  </si>
  <si>
    <t>TOTALS</t>
  </si>
  <si>
    <t xml:space="preserve">  Actual FTE</t>
  </si>
  <si>
    <t>TOTAL FTE</t>
  </si>
  <si>
    <t>FACTORED FTE PLACEMENT</t>
  </si>
  <si>
    <t xml:space="preserve">  Administrative Index</t>
  </si>
  <si>
    <t>FACTOR</t>
  </si>
  <si>
    <t xml:space="preserve"> </t>
  </si>
  <si>
    <t>INDEX</t>
  </si>
  <si>
    <t>Data populates Instructional Staff Worksheet</t>
  </si>
  <si>
    <t>2015-2016</t>
  </si>
  <si>
    <t>Yrs.</t>
  </si>
  <si>
    <t>Career Ladder Placement</t>
  </si>
  <si>
    <t>R1</t>
  </si>
  <si>
    <t>NA</t>
  </si>
  <si>
    <t>RP2</t>
  </si>
  <si>
    <t>to</t>
  </si>
  <si>
    <t>RP3</t>
  </si>
  <si>
    <t>P1</t>
  </si>
  <si>
    <t>P2</t>
  </si>
  <si>
    <t>P3</t>
  </si>
  <si>
    <t>P4</t>
  </si>
  <si>
    <t>P5</t>
  </si>
  <si>
    <t>P6</t>
  </si>
  <si>
    <t>P7</t>
  </si>
  <si>
    <t>P8</t>
  </si>
  <si>
    <t>P9</t>
  </si>
  <si>
    <t>13+</t>
  </si>
  <si>
    <t>P10</t>
  </si>
  <si>
    <t>Instructional Staff Worksheet</t>
  </si>
  <si>
    <t xml:space="preserve">Average Instructional Salary calculates automatically </t>
  </si>
  <si>
    <t xml:space="preserve">Total </t>
  </si>
  <si>
    <t xml:space="preserve">Enter Number of Advanced Degrees </t>
  </si>
  <si>
    <t xml:space="preserve">Education Allocation </t>
  </si>
  <si>
    <t xml:space="preserve">BA + 24  </t>
  </si>
  <si>
    <t xml:space="preserve">MA  </t>
  </si>
  <si>
    <t>Total Ed Allocation</t>
  </si>
  <si>
    <t>RP1</t>
  </si>
  <si>
    <t>Total Special Distributions</t>
  </si>
  <si>
    <t>Projected Salary Apportionment</t>
  </si>
  <si>
    <t>Projected Benefit Apportionment</t>
  </si>
  <si>
    <t>Amount</t>
  </si>
  <si>
    <t>Rate</t>
  </si>
  <si>
    <t>TOTAL EXPENDITURES:</t>
  </si>
  <si>
    <t>TOTAL BUDGETED EXPENDITURES:</t>
  </si>
  <si>
    <t>EXPENDITURES</t>
  </si>
  <si>
    <t>KEY ASSUMPTIONS</t>
  </si>
  <si>
    <t>LOAN SUMMARY</t>
  </si>
  <si>
    <t>PAYMENT SUMMARY</t>
  </si>
  <si>
    <t>Loan amount</t>
  </si>
  <si>
    <t>Scheduled payment</t>
  </si>
  <si>
    <t>Monthly payment</t>
  </si>
  <si>
    <t>Annual interest rate</t>
  </si>
  <si>
    <t>Total # of loan pmts</t>
  </si>
  <si>
    <t>Annual payment</t>
  </si>
  <si>
    <t>Monthly interest rate</t>
  </si>
  <si>
    <t>Total # of am pmts</t>
  </si>
  <si>
    <t>Total interest</t>
  </si>
  <si>
    <t>Loan term in years</t>
  </si>
  <si>
    <t>Loan term ends</t>
  </si>
  <si>
    <t># payments per year</t>
  </si>
  <si>
    <t>Balloon date</t>
  </si>
  <si>
    <t>Start date of the loan</t>
  </si>
  <si>
    <t>Balloon pmt no.</t>
  </si>
  <si>
    <t>Amortization in years</t>
  </si>
  <si>
    <t>Pmt No.</t>
  </si>
  <si>
    <t>Date</t>
  </si>
  <si>
    <t>Beg Bal</t>
  </si>
  <si>
    <t>Pmt</t>
  </si>
  <si>
    <t>Princ</t>
  </si>
  <si>
    <t>Int</t>
  </si>
  <si>
    <t>End Bal</t>
  </si>
  <si>
    <t>Calendar Yr</t>
  </si>
  <si>
    <t>Fiscal Year</t>
  </si>
  <si>
    <t>EXPENDITURES PER STUDENT:</t>
  </si>
  <si>
    <t>Total Enrollment</t>
  </si>
  <si>
    <t>2016-2017</t>
  </si>
  <si>
    <t>Total Teacher Budget</t>
  </si>
  <si>
    <t>Total Salaries Budgeted</t>
  </si>
  <si>
    <t>Pupil Services</t>
  </si>
  <si>
    <t>Subtotal - Pupil Services</t>
  </si>
  <si>
    <t>Breakout for G/L Classification:</t>
  </si>
  <si>
    <t>Elementary (formula driven)</t>
  </si>
  <si>
    <t>Secondary (enter data here - count and total comp.)</t>
  </si>
  <si>
    <t>TOTAL EXPECTED STATE REVENUES:</t>
  </si>
  <si>
    <t>PER PUPIL FUNDING:</t>
  </si>
  <si>
    <t>PER PUPIL FACILITIES FUNDING:</t>
  </si>
  <si>
    <t>TOTAL FEDERAL FUNDS</t>
  </si>
  <si>
    <t>NET INCOME</t>
  </si>
  <si>
    <t>2021-2022</t>
  </si>
  <si>
    <t>Balloon payment @ 60 months:</t>
  </si>
  <si>
    <t>LOAN AMORTIZATION SCHEDULE - BANK</t>
  </si>
  <si>
    <t>LOAN AMORTIZATION SCHEDULE - BUILDING HOPE</t>
  </si>
  <si>
    <t>DATA FROM PROJECT COST SHEET</t>
  </si>
  <si>
    <t>Percentage Financed:</t>
  </si>
  <si>
    <t>5 year summary</t>
  </si>
  <si>
    <t>School Fiscal Year</t>
  </si>
  <si>
    <t>SCHEDULED PAYMENTS:</t>
  </si>
  <si>
    <t>PRINCIPAL</t>
  </si>
  <si>
    <t>INTEREST</t>
  </si>
  <si>
    <t>Blended Annual Interest Rate</t>
  </si>
  <si>
    <t>TOTALS - BOTH LOANS</t>
  </si>
  <si>
    <t>Equity Build-Up:</t>
  </si>
  <si>
    <t>Cash Needed for 20%</t>
  </si>
  <si>
    <t>JKAFF GRANT SUPPORT</t>
  </si>
  <si>
    <t>2022-2023</t>
  </si>
  <si>
    <t># of Teachers MA+24</t>
  </si>
  <si>
    <t># of Teachers with Masters or &gt;</t>
  </si>
  <si>
    <t>MA/BA+36</t>
  </si>
  <si>
    <t>MA+12 / BA+48</t>
  </si>
  <si>
    <t>MA+36 / ES/DR</t>
  </si>
  <si>
    <t>MA+24 / BA+60</t>
  </si>
  <si>
    <t>BA+24 Bonus</t>
  </si>
  <si>
    <t>MA Bonus</t>
  </si>
  <si>
    <t>(1)</t>
  </si>
  <si>
    <t>(3)</t>
  </si>
  <si>
    <t>(4)</t>
  </si>
  <si>
    <t>(5)</t>
  </si>
  <si>
    <t>(6)</t>
  </si>
  <si>
    <t>(7)</t>
  </si>
  <si>
    <t>(8)</t>
  </si>
  <si>
    <t>Sq Ft</t>
  </si>
  <si>
    <t>Total Expenses</t>
  </si>
  <si>
    <t>Net Income</t>
  </si>
  <si>
    <t>From "Pupil Services FTE" worksheet (tabs at bottom of this worksheet) or Charter enters</t>
  </si>
  <si>
    <t>From "Instructional FTE Wksht" worksheet (tabs at bottom of this worksheet) or district enters</t>
  </si>
  <si>
    <r>
      <t xml:space="preserve">Average Pupil Services Salary </t>
    </r>
    <r>
      <rPr>
        <b/>
        <sz val="10"/>
        <color indexed="10"/>
        <rFont val="Arial"/>
        <family val="2"/>
      </rPr>
      <t>(NEW)</t>
    </r>
  </si>
  <si>
    <t>For Budgeting Purposes 2016-2017</t>
  </si>
  <si>
    <t>p</t>
  </si>
  <si>
    <t>col (n)</t>
  </si>
  <si>
    <t>Smaller: n or o</t>
  </si>
  <si>
    <t>(l + m)</t>
  </si>
  <si>
    <r>
      <t xml:space="preserve">School Year: </t>
    </r>
    <r>
      <rPr>
        <sz val="11"/>
        <color indexed="12"/>
        <rFont val="Arial"/>
        <family val="2"/>
      </rPr>
      <t>2016-2017</t>
    </r>
  </si>
  <si>
    <t>ADMINISTRATIVE INDEX 2016-2017</t>
  </si>
  <si>
    <t>NEW</t>
  </si>
  <si>
    <t>Average Salary</t>
  </si>
  <si>
    <t>Salaries plus allocations &amp; qualifying adj</t>
  </si>
  <si>
    <t>(from instr Lane Change tab)</t>
  </si>
  <si>
    <t>Qualifying salary adj (lane Changes)</t>
  </si>
  <si>
    <t>Total OS Allocation</t>
  </si>
  <si>
    <t>OS Certificate</t>
  </si>
  <si>
    <t>Allocation</t>
  </si>
  <si>
    <t>(Applies to Instructional staff holding an Occupational Specialist certificate in the area for which they are teaching)</t>
  </si>
  <si>
    <t>Enter FTE of Occupational Specialist (OS) Certificates</t>
  </si>
  <si>
    <t>FY17 Premium</t>
  </si>
  <si>
    <t>(Only applies to Instructional staff w/professional endorsement)*</t>
  </si>
  <si>
    <t>Total Salaries</t>
  </si>
  <si>
    <t>total fte</t>
  </si>
  <si>
    <t>(fte * cohort Salary)</t>
  </si>
  <si>
    <t>Estimated Staff  FTE by cohort</t>
  </si>
  <si>
    <t>Total ftes and Salaries calculate automatically</t>
  </si>
  <si>
    <t xml:space="preserve">Enter fte for staff with OS certificates (cell B38) </t>
  </si>
  <si>
    <t xml:space="preserve">Enter fte for Educational Allocations (cells B31 &amp; B32) </t>
  </si>
  <si>
    <t>Enter fte  for each cohort.</t>
  </si>
  <si>
    <r>
      <t>*I.C.331201A(2) Instructional staff employees who have held a certificate that qualifies them to teach in a classroom to (3) or more years prior to July 1, 2015,</t>
    </r>
    <r>
      <rPr>
        <b/>
        <sz val="10"/>
        <color indexed="12"/>
        <rFont val="Arial"/>
        <family val="2"/>
      </rPr>
      <t xml:space="preserve"> or pupil service staff employees who have held a pupil personnel services certificate for (3) or more years</t>
    </r>
    <r>
      <rPr>
        <b/>
        <i/>
        <sz val="10"/>
        <color indexed="12"/>
        <rFont val="Arial"/>
        <family val="2"/>
      </rPr>
      <t xml:space="preserve"> </t>
    </r>
    <r>
      <rPr>
        <b/>
        <i/>
        <u/>
        <sz val="10"/>
        <color indexed="12"/>
        <rFont val="Arial"/>
        <family val="2"/>
      </rPr>
      <t>prior to July 1, 2016</t>
    </r>
    <r>
      <rPr>
        <b/>
        <sz val="10"/>
        <color indexed="12"/>
        <rFont val="Arial"/>
        <family val="2"/>
      </rPr>
      <t>, shall automatically obtain an Idaho professional endorsement under this section.</t>
    </r>
  </si>
  <si>
    <t>Salaries plus education allocations</t>
  </si>
  <si>
    <t>(from Pupil Services LaneChange tab )</t>
  </si>
  <si>
    <t>(Only applies to Pupil Service Staff w/professional endorsement)*</t>
  </si>
  <si>
    <t>2016-2017 Salary Apport.</t>
  </si>
  <si>
    <t>2016-2017 Career Ladder Placement dervied form 2015-16 Index</t>
  </si>
  <si>
    <t>ENTER 2015-2016  Pupil Services FTE</t>
  </si>
  <si>
    <t>2016-2017 Salary Apportionment</t>
  </si>
  <si>
    <t xml:space="preserve"> 2016-2017 Cohorts/Career Ladder Placement</t>
  </si>
  <si>
    <t>Mapping FY16  Pupil Services Staff FTE to Career Ladder</t>
  </si>
  <si>
    <t>Enter Number of Advanced Degrees (cells K49 &amp; K50)</t>
  </si>
  <si>
    <t>4</t>
  </si>
  <si>
    <t>3</t>
  </si>
  <si>
    <t>Adjust for terminated staff and new hires. First year pupil services fte  are entered in cell L31.</t>
  </si>
  <si>
    <t>2</t>
  </si>
  <si>
    <t xml:space="preserve">Input FY17 Pupil Services fte on the FY16 grid.  </t>
  </si>
  <si>
    <t>1</t>
  </si>
  <si>
    <t>Pupil Services Staff Mapping</t>
  </si>
  <si>
    <t>Mapping FY16 Pupil Servies Staff FTE to FY17 Career Ladder</t>
  </si>
  <si>
    <t>Number of Occupational Specialists</t>
  </si>
  <si>
    <t>PUPIL SERVICES ASSUMPTIONS</t>
  </si>
  <si>
    <t>2017-2018 Salary Apport.</t>
  </si>
  <si>
    <t>Estimated  20176-2018 fte by cohort</t>
  </si>
  <si>
    <t>2018-2019 Salary Apport.</t>
  </si>
  <si>
    <t>Estimated  2018-2019 fte by cohort</t>
  </si>
  <si>
    <t>2019-2020 Salary Apport.</t>
  </si>
  <si>
    <t>Estimated  2019-2020 fte by cohort</t>
  </si>
  <si>
    <t>2020-2021 Salary Apport.</t>
  </si>
  <si>
    <t>Estimated  2020-2021 fte by cohort</t>
  </si>
  <si>
    <t>Pull Down</t>
  </si>
  <si>
    <t>First Fiscal Year End</t>
  </si>
  <si>
    <t>TITLE I FUNDS</t>
  </si>
  <si>
    <t>TITLE II FUNDS</t>
  </si>
  <si>
    <t>IDEA PART B FUNDS</t>
  </si>
  <si>
    <t>ADMINISTRATIVE INDEX 2017-2018</t>
  </si>
  <si>
    <t>Projected "Entitlement" Funding</t>
  </si>
  <si>
    <t>College &amp; Career Advisors &amp; Student Mentors</t>
  </si>
  <si>
    <t>BANK LTV:</t>
  </si>
  <si>
    <t>Occupational Specialist</t>
  </si>
  <si>
    <t>2023-2024</t>
  </si>
  <si>
    <t>2024-2025</t>
  </si>
  <si>
    <t>2025-2026</t>
  </si>
  <si>
    <t>Projected Food Service Support/Revenue (calc as 100%)</t>
  </si>
  <si>
    <t>Beginning Cash:</t>
  </si>
  <si>
    <t>Net Income:</t>
  </si>
  <si>
    <t>Ending Cash:</t>
  </si>
  <si>
    <t>Renovation psf</t>
  </si>
  <si>
    <t>Add</t>
  </si>
  <si>
    <t>= 75K per million</t>
  </si>
  <si>
    <t>Debt / Lease Coverage Ratio (Goal: 1.2)</t>
  </si>
  <si>
    <t>Projected Transportation Reimbursement  (calc as 75% of cost based on IACS 80%, HCCS is 86%)</t>
  </si>
  <si>
    <t>SPED Director - Enter Here</t>
  </si>
  <si>
    <t>SPED Teachers - Enter Here</t>
  </si>
  <si>
    <t>Specialty Teachers, enter here</t>
  </si>
  <si>
    <t>Enrollment:</t>
  </si>
  <si>
    <t>Operating Expenses</t>
  </si>
  <si>
    <t>Days Cash (Goal: &gt; 60 days end of Year 5)</t>
  </si>
  <si>
    <t>2026-2027</t>
  </si>
  <si>
    <t>AP1</t>
  </si>
  <si>
    <t>AP2</t>
  </si>
  <si>
    <t>AP3</t>
  </si>
  <si>
    <t>AP4</t>
  </si>
  <si>
    <t>AP5</t>
  </si>
  <si>
    <t>Land/Facility Acquisition</t>
  </si>
  <si>
    <t>Construction/Remodel</t>
  </si>
  <si>
    <t>Total Project Cost</t>
  </si>
  <si>
    <t>Primary Lender %</t>
  </si>
  <si>
    <t>Primary Interest Rate</t>
  </si>
  <si>
    <t>Second Lender %</t>
  </si>
  <si>
    <t>Second Lender Rate</t>
  </si>
  <si>
    <t>FACILITY COST ANALYSIS - enter data in green fields, flows to Loan Amortization Tab</t>
  </si>
  <si>
    <t>Calculated Blended Rate:</t>
  </si>
  <si>
    <t>Calculated Annual Debt Service:</t>
  </si>
  <si>
    <r>
      <t xml:space="preserve">p x </t>
    </r>
    <r>
      <rPr>
        <sz val="11"/>
        <color indexed="12"/>
        <rFont val="Arial"/>
        <family val="2"/>
      </rPr>
      <t>19.59%</t>
    </r>
  </si>
  <si>
    <t>Enrollment as % of Prior Year</t>
  </si>
  <si>
    <t>BUDGET STRESS TEST ENTER % REDUCTION OF REVENUE FROM P/Y:</t>
  </si>
  <si>
    <t>Total Revenues Per Current Formulas</t>
  </si>
  <si>
    <t>Reduce State Revenues by Stress Test %</t>
  </si>
  <si>
    <t>R2</t>
  </si>
  <si>
    <t>R3</t>
  </si>
  <si>
    <t xml:space="preserve">Career Ladder Placement dervied form </t>
  </si>
  <si>
    <t>Salary Apport.</t>
  </si>
  <si>
    <t>Estimated fte by cohort</t>
  </si>
  <si>
    <t>Computed Salary Apport.</t>
  </si>
  <si>
    <t>Enter FTE  for each cohort.</t>
  </si>
  <si>
    <t xml:space="preserve">Enter FTE for Educational Allocations (cells B30 &amp; B31) </t>
  </si>
  <si>
    <t>Total FTEs and Salaries calculate automatically</t>
  </si>
  <si>
    <t xml:space="preserve">Average Pupil Personnel Salary calculates automatically </t>
  </si>
  <si>
    <t>Pupil Services  Staff Worksheet</t>
  </si>
  <si>
    <t>MEDICAID FUNDS</t>
  </si>
  <si>
    <t>Instructor</t>
  </si>
  <si>
    <t>Days</t>
  </si>
  <si>
    <t>Actual Comp</t>
  </si>
  <si>
    <t>Fund</t>
  </si>
  <si>
    <t>Place</t>
  </si>
  <si>
    <t>Ins</t>
  </si>
  <si>
    <t>PERSI</t>
  </si>
  <si>
    <t>No</t>
  </si>
  <si>
    <t>Yes</t>
  </si>
  <si>
    <t>TITLE III FUNDS</t>
  </si>
  <si>
    <t>TITLE IV FUNDS</t>
  </si>
  <si>
    <t>Remediation</t>
  </si>
  <si>
    <t>JKAFF KINDERGARTEN SUPPORT</t>
  </si>
  <si>
    <t>100-512110-000-000-0</t>
  </si>
  <si>
    <t>100-512115-000-000-0</t>
  </si>
  <si>
    <t>100-512160-000-000-0</t>
  </si>
  <si>
    <t>K-6 SUBSTITUTE PAY</t>
  </si>
  <si>
    <t>100-512210-000-000-0</t>
  </si>
  <si>
    <t>K-6 EMPLOYEE BENEFITS -  PERSI</t>
  </si>
  <si>
    <t>100-512220-000-000-0</t>
  </si>
  <si>
    <t>K-6 EMPLOYEE BENEFITS - TAXES</t>
  </si>
  <si>
    <t>100-512240-000-000-0</t>
  </si>
  <si>
    <t>K-6 EMPLOYEE BENEFITS - INSURANCE</t>
  </si>
  <si>
    <t>100-512300-000-000-0</t>
  </si>
  <si>
    <t>K-6 TRAVEL/PURCHASED SERVICE</t>
  </si>
  <si>
    <t>100-512400-000-000-0</t>
  </si>
  <si>
    <t>K-6 SUPPLIES</t>
  </si>
  <si>
    <t>100-512450-000-000-0</t>
  </si>
  <si>
    <t>100-512490-000-000-0</t>
  </si>
  <si>
    <t>100-512110-200-000-0</t>
  </si>
  <si>
    <t>100-512115-200-000-0</t>
  </si>
  <si>
    <t>100-512210-200-000-0</t>
  </si>
  <si>
    <t>LITERACY BENEFITS -  PERSI</t>
  </si>
  <si>
    <t>100-512220-200-000-0</t>
  </si>
  <si>
    <t>LITERACY BENEFITS - TAXES</t>
  </si>
  <si>
    <t>100-512240-200-000-0</t>
  </si>
  <si>
    <t>LITERACY BENEFITS - INSURANCE</t>
  </si>
  <si>
    <t>100-512305-000-000-0</t>
  </si>
  <si>
    <t>100-512402-000-000-0</t>
  </si>
  <si>
    <t>100-512304-000-000-0</t>
  </si>
  <si>
    <t>PURCHASED SERV-PROF DEVELOPMENT</t>
  </si>
  <si>
    <t>100-512306-000-000-0</t>
  </si>
  <si>
    <t>PURCHASED SERV - REMEDIATION</t>
  </si>
  <si>
    <t>**TOTAL ELEMENTARY SCHOOL PROGRAM</t>
  </si>
  <si>
    <t>100-515110-000-000-0</t>
  </si>
  <si>
    <t>100-515210-000-000-0</t>
  </si>
  <si>
    <t>SECONDARY EE BENEFITS - PERSI</t>
  </si>
  <si>
    <t>100-515220-000-000-0</t>
  </si>
  <si>
    <t>SECONDARY EE BENEFITS - TAXES</t>
  </si>
  <si>
    <t>100-515240-000-000-0</t>
  </si>
  <si>
    <t>SECONDARY EE BENEFITS - INSURANCE</t>
  </si>
  <si>
    <t>100-515300-000-000-0</t>
  </si>
  <si>
    <t>**TOTAL SECONDARY PROGRAM</t>
  </si>
  <si>
    <t>100-521110-000-000-0</t>
  </si>
  <si>
    <t>SALARIES - SPED CERTIFIED-GEN FUND</t>
  </si>
  <si>
    <t>100-521115-000-000-0</t>
  </si>
  <si>
    <t>SALARIES - SPED CLASSIFIED-GEN FUN</t>
  </si>
  <si>
    <t>100-521160-000-000-0</t>
  </si>
  <si>
    <t>SALARIES - SPED SUBSTITUTES-GEN FU</t>
  </si>
  <si>
    <t>100-521210-000-000-0</t>
  </si>
  <si>
    <t>GEN FUND SPED BENEFITS - PERSI</t>
  </si>
  <si>
    <t>100-521220-000-000-0</t>
  </si>
  <si>
    <t>GEN FUND SPED BENEFITS - TAXES</t>
  </si>
  <si>
    <t>100-521240-000-000-0</t>
  </si>
  <si>
    <t>GEN FUND SPED BENEFITS - INSURANCE</t>
  </si>
  <si>
    <t>100-521300-000-000-0</t>
  </si>
  <si>
    <t>TRAVEL/PURCH SERVICES-EXCEP CHILD</t>
  </si>
  <si>
    <t>100-521400-000-000-0</t>
  </si>
  <si>
    <t>SUPPLIES - EXCEPTIONAL CHILD PROG</t>
  </si>
  <si>
    <t>100-616300-000-000-0</t>
  </si>
  <si>
    <t>MEDICAID MATCH PAYMENTS</t>
  </si>
  <si>
    <t>100-521500-000-000-0</t>
  </si>
  <si>
    <t>EQUIPMENT - EXCEPT. CHILD PROGRAM</t>
  </si>
  <si>
    <t>**TOTAL EXCEPTIONAL CHILD PROGRAM</t>
  </si>
  <si>
    <t>100-524400-000-000-0</t>
  </si>
  <si>
    <t>SUPPLIES - GIFTED AND TALENTED</t>
  </si>
  <si>
    <t>**TOTAL GIFTED AND TALENTED</t>
  </si>
  <si>
    <t>SALARIES - ADVISORS</t>
  </si>
  <si>
    <t>ADVISORS EE BENEFITS - PERSI</t>
  </si>
  <si>
    <t>ADVISORS EE BENEFITS - TAXES</t>
  </si>
  <si>
    <t>100-631300-000-000-0</t>
  </si>
  <si>
    <t>LEGAL SERVICES - BOARD EXPENSES</t>
  </si>
  <si>
    <t>100-631325-000-000-0</t>
  </si>
  <si>
    <t>BOARD TRAINING/CONTINUOUS IMP COST</t>
  </si>
  <si>
    <t>100-631340-000-000-0</t>
  </si>
  <si>
    <t>AUDIT FEES - BOARD EXPENSES</t>
  </si>
  <si>
    <t>**BOARD OF EDUCATION EXPENSE</t>
  </si>
  <si>
    <t>100-632700-000-000-0</t>
  </si>
  <si>
    <t>WORKER'S COMPENSATION INS</t>
  </si>
  <si>
    <t>100-632400-000-000-0</t>
  </si>
  <si>
    <t>SUPPLIES - DISTRICT ADMIN. PROGRAM</t>
  </si>
  <si>
    <t>100-632620-000-000-0</t>
  </si>
  <si>
    <t>BANK SERVICE CHARGES</t>
  </si>
  <si>
    <t xml:space="preserve">**TOTAL DISTRICT ADMINISTRATION </t>
  </si>
  <si>
    <t>ADMIN EE BENEFITS - PERSI</t>
  </si>
  <si>
    <t>ADMIN EE BENEFITS - TAXES</t>
  </si>
  <si>
    <t>ADMIN EE BENEFITS - INSURANCE</t>
  </si>
  <si>
    <t>100-641300-000-000-0</t>
  </si>
  <si>
    <t>ADMIN TRAVEL/PURCHASED SERVICES</t>
  </si>
  <si>
    <t>100-641310-000-000-0</t>
  </si>
  <si>
    <t>ADVERTISING/ENROLLMENT</t>
  </si>
  <si>
    <t>100-641330-000-000-0</t>
  </si>
  <si>
    <t>UTILITIES</t>
  </si>
  <si>
    <t>100-641340-000-000-0</t>
  </si>
  <si>
    <t>COPIER LEASE</t>
  </si>
  <si>
    <t>100-641360-000-000-0</t>
  </si>
  <si>
    <t>FACILITY REFINANCE COSTS</t>
  </si>
  <si>
    <t>100-641400-000-000-0</t>
  </si>
  <si>
    <t>SUPPLIES - SCHOOL ADMINISTRATION</t>
  </si>
  <si>
    <t>100-641490-000-000-0</t>
  </si>
  <si>
    <t>OFFICE OF THE PRINCIPAL</t>
  </si>
  <si>
    <t>100-641500-000-000-0</t>
  </si>
  <si>
    <t>EQUIPMENT - SCHOOL ADMINISTRATION</t>
  </si>
  <si>
    <t>100-641700-000-000-0</t>
  </si>
  <si>
    <t>PROPERTY/LIABILITY INSURANCE</t>
  </si>
  <si>
    <t>**TOTAL SCHOOL ADMINISTRATION</t>
  </si>
  <si>
    <t>100-651300-000-000-0</t>
  </si>
  <si>
    <t>PURCHASED SERVICES - BUSINESS OP</t>
  </si>
  <si>
    <t>100-651400-000-000-0</t>
  </si>
  <si>
    <t>SUPPLIES - BUSINESS OPERATION</t>
  </si>
  <si>
    <t>100-651500-000-000-0</t>
  </si>
  <si>
    <t>EQUIPMENT - BUSINESS OPERATION</t>
  </si>
  <si>
    <t>100-651700-000-000-0</t>
  </si>
  <si>
    <t>LIAB. INS. - BUSINESS OPERERATION</t>
  </si>
  <si>
    <t>100-656300-000-000-0</t>
  </si>
  <si>
    <t>PAYROLL PROCESSING FEE</t>
  </si>
  <si>
    <t>**TOTAL BUSINESS OPERATION</t>
  </si>
  <si>
    <t>100-661115-000-000-0</t>
  </si>
  <si>
    <t>SALARIES - BUILDING CARE</t>
  </si>
  <si>
    <t>100-661210-000-000-0</t>
  </si>
  <si>
    <t>BUILDING CARE EE BENEFITS - PERSI</t>
  </si>
  <si>
    <t>100-661220-000-000-0</t>
  </si>
  <si>
    <t>BUILDING CARE EE BENEFITS - TAXES</t>
  </si>
  <si>
    <t>100-661240-000-000-0</t>
  </si>
  <si>
    <t>BUILDING CARE EE BENEFITS - INSUR.</t>
  </si>
  <si>
    <t>100-661270-000-000-0</t>
  </si>
  <si>
    <t>WORKER'S COMPENSATION INSURANCE</t>
  </si>
  <si>
    <t>100-661300-000-000-0</t>
  </si>
  <si>
    <t>PURCHASED SERVICE - BUILDING CARE</t>
  </si>
  <si>
    <t>100-661330-000-000-0</t>
  </si>
  <si>
    <t>PURCHASE SERVICE - UTILITIES</t>
  </si>
  <si>
    <t>100-661400-000-000-0</t>
  </si>
  <si>
    <t>SUPPLIES - BUILDING CARE</t>
  </si>
  <si>
    <t>100-661500-000-000-0</t>
  </si>
  <si>
    <t>CAPITAL OBJECTS</t>
  </si>
  <si>
    <t>100-664700-000-000-0</t>
  </si>
  <si>
    <t>100-664500-000-000-0</t>
  </si>
  <si>
    <t>BUILDING MAINTENANCE</t>
  </si>
  <si>
    <t>100-664321-000-000-0</t>
  </si>
  <si>
    <t>BUILDING RENTAL</t>
  </si>
  <si>
    <t>100-664400-000-000-0</t>
  </si>
  <si>
    <t>SUPPLIES - BUILDING</t>
  </si>
  <si>
    <t>**TOTAL BUILDINGS</t>
  </si>
  <si>
    <t>100-665300-000-000-0</t>
  </si>
  <si>
    <t>MAINTENANCE - GROUNDS PURCHASES</t>
  </si>
  <si>
    <t>100-665400-000-000-0</t>
  </si>
  <si>
    <t>MAINTENANCE - GROUNDS SUPPLIES</t>
  </si>
  <si>
    <t>100-665550-000-000-0</t>
  </si>
  <si>
    <t>MAINTENANCE - SCHOOL SIGN</t>
  </si>
  <si>
    <t>**TOTAL GROUNDS MAINTENANCE</t>
  </si>
  <si>
    <t>100-681300-000-000-0</t>
  </si>
  <si>
    <t>**TOTAL TRANS PROGRAM</t>
  </si>
  <si>
    <t>****TOTAL EXPENDITURES</t>
  </si>
  <si>
    <t xml:space="preserve">   TECHNOLOGY FUND</t>
  </si>
  <si>
    <t>245-512100-000-000-0</t>
  </si>
  <si>
    <t>SALARIES - TECH FUND</t>
  </si>
  <si>
    <t>245-512300-000-000-0</t>
  </si>
  <si>
    <t>PURCHASED SERVICE - TECH FUND</t>
  </si>
  <si>
    <t>245-512400-000-000-0</t>
  </si>
  <si>
    <t>SUPPLIES - TECH FUND</t>
  </si>
  <si>
    <t>245-512500-000-000-0</t>
  </si>
  <si>
    <t>EQUIPMENT - TECH FUND</t>
  </si>
  <si>
    <t>245-920810-000-000-0</t>
  </si>
  <si>
    <t>TRANSFER TO OTHER FUNDS-TECH FUND</t>
  </si>
  <si>
    <t xml:space="preserve">   SAFE &amp; DRUG FREE PROGRAM FUND</t>
  </si>
  <si>
    <t>246-512300-000-000-0</t>
  </si>
  <si>
    <t>PURCHASED SERVICES-SAFE&amp; DRUG FREE</t>
  </si>
  <si>
    <t>246-512400-000-000-0</t>
  </si>
  <si>
    <t>SUPPLIES--SAFE&amp; DRUG FREE</t>
  </si>
  <si>
    <t>246-512500-000-000-0</t>
  </si>
  <si>
    <t>EQUIPMENT-SAFE&amp; DRUG FREE</t>
  </si>
  <si>
    <t xml:space="preserve">   TITLE I FUND</t>
  </si>
  <si>
    <t>251-512110-000-000-0</t>
  </si>
  <si>
    <t>SALARIES - TITLE I-BASIC-CERTIFIED</t>
  </si>
  <si>
    <t>251-512115-000-000-0</t>
  </si>
  <si>
    <t>CLASSIFIED SALARIES -TITLE I-BASIC</t>
  </si>
  <si>
    <t>251-512210-000-000-0</t>
  </si>
  <si>
    <t>BENEFITS - TITLE I-BASIC - PERSI</t>
  </si>
  <si>
    <t>251-512220-000-000-0</t>
  </si>
  <si>
    <t>BENEFITS - TITLE I-BASIC - TAXES</t>
  </si>
  <si>
    <t>251-512240-000-000-0</t>
  </si>
  <si>
    <t>BENEFITS - TITLE I-BASIC - INSUR.</t>
  </si>
  <si>
    <t>251-512300-000-000-0</t>
  </si>
  <si>
    <t>PURCHASED SERVICES - TITLE I-BASIC</t>
  </si>
  <si>
    <t>251-512300-100-000-0</t>
  </si>
  <si>
    <t>PURCHASED SERVICES - TITLE I-SIG</t>
  </si>
  <si>
    <t>251-512400-000-000-0</t>
  </si>
  <si>
    <t>SUPPLIES - TITLE I-BASIC</t>
  </si>
  <si>
    <t>251-512400-100-000-0</t>
  </si>
  <si>
    <t>SUPPLIES - TITLE I-SIG</t>
  </si>
  <si>
    <t>251-512400-200-000-0</t>
  </si>
  <si>
    <t>SUPPLIES - PARENT ENGAGEMENT</t>
  </si>
  <si>
    <t>251-512400-300-000-0</t>
  </si>
  <si>
    <t>SUPPLIES - HOMELESS</t>
  </si>
  <si>
    <t>251-512500-000-000-0</t>
  </si>
  <si>
    <t>EQUIPMENT - TITLE I</t>
  </si>
  <si>
    <t>251-920810-000-000-0</t>
  </si>
  <si>
    <t>TRANSFER OUT - TITLE I</t>
  </si>
  <si>
    <t xml:space="preserve">   CARES ACT - ESSERF</t>
  </si>
  <si>
    <t>252-512100-000-000-0</t>
  </si>
  <si>
    <t>SALARIES - ESSERF</t>
  </si>
  <si>
    <t>252-512210-000-000-0</t>
  </si>
  <si>
    <t>BENEFITS - ESSERF - PERSI</t>
  </si>
  <si>
    <t>252-512220-000-000-0</t>
  </si>
  <si>
    <t>BENEFITS - ESSERF - TAXES</t>
  </si>
  <si>
    <t>252-512240-000-000-0</t>
  </si>
  <si>
    <t>BENEFITS - ESSERF - INSURANCE</t>
  </si>
  <si>
    <t>252-512300-000-000-0</t>
  </si>
  <si>
    <t>PURCHASED SERVICE - ESSERF</t>
  </si>
  <si>
    <t>252-512350-000-000-0</t>
  </si>
  <si>
    <t>INTERNET SERVICE - ESSERF</t>
  </si>
  <si>
    <t>252-512300-000-100-0</t>
  </si>
  <si>
    <t>PURCHASED SERVICE - ESSERF LMS</t>
  </si>
  <si>
    <t>252-512300-000-200-0</t>
  </si>
  <si>
    <t>PURCHASED SERVICE - ESSERF SEL</t>
  </si>
  <si>
    <t>252-512400-000-000-0</t>
  </si>
  <si>
    <t>SUPPLIES - ESSERF</t>
  </si>
  <si>
    <t>252-512400-000-200-0</t>
  </si>
  <si>
    <t>SUPPLIES - ESSERF SEL</t>
  </si>
  <si>
    <t>252-512400-000-300-0</t>
  </si>
  <si>
    <t xml:space="preserve"> SUPPLIES - ESSERF SEL-BH&amp;W</t>
  </si>
  <si>
    <t>252-512500-000-000-0</t>
  </si>
  <si>
    <t>EQUIPMENT - ESSERF</t>
  </si>
  <si>
    <t>252-521400-000-000-0</t>
  </si>
  <si>
    <t>SPED ADAPTIVE TECH-ESSERF</t>
  </si>
  <si>
    <t>252-641400-000-000-0</t>
  </si>
  <si>
    <t>ADMIN SUPPLIES - ESSERF</t>
  </si>
  <si>
    <t>252-661115-000-000-0</t>
  </si>
  <si>
    <t>BUILDING CARE/JANITORIAL SALARIES</t>
  </si>
  <si>
    <t>252-661210-000-000-0</t>
  </si>
  <si>
    <t>PERSI BEN - BUILDING/JANITORIAL</t>
  </si>
  <si>
    <t>252-661220-000-000-0</t>
  </si>
  <si>
    <t>FICA/MCARE - BUILDING/JANITORIAL</t>
  </si>
  <si>
    <t>252-661240-000-000-0</t>
  </si>
  <si>
    <t>INSURANCE BEN - BLDG/JANIT</t>
  </si>
  <si>
    <t>252-661300-000-000-0</t>
  </si>
  <si>
    <t>252-661400-000-000-0</t>
  </si>
  <si>
    <t>252-661410-000-000-0</t>
  </si>
  <si>
    <t>CUSTODIAL SUPPLIES - ESSERF</t>
  </si>
  <si>
    <t xml:space="preserve">   IDEA PART B FUND</t>
  </si>
  <si>
    <t>257-521110-000-000-0</t>
  </si>
  <si>
    <t>SALARIES - IDEA PART B - CERTIFIED</t>
  </si>
  <si>
    <t>257-521115-000-000-0</t>
  </si>
  <si>
    <t>SALARIES - IDEA PART B -CLASSIFIED</t>
  </si>
  <si>
    <t>257-521210-000-000-0</t>
  </si>
  <si>
    <t>SPED IDEA EE BENEFITS - PERSI</t>
  </si>
  <si>
    <t>257-521220-000-000-0</t>
  </si>
  <si>
    <t>SPED IDEA EE BENEFITS - TAXES</t>
  </si>
  <si>
    <t>257-521240-000-000-0</t>
  </si>
  <si>
    <t>SPED IDEA EE BENEFITS - INSURANCE</t>
  </si>
  <si>
    <t>257-521300-000-000-0</t>
  </si>
  <si>
    <t>PURCHASED SERVICES - IDEA PART B</t>
  </si>
  <si>
    <t>257-521400-000-000-0</t>
  </si>
  <si>
    <t>SUPPLIES - IDEA PART B</t>
  </si>
  <si>
    <t>257-521500-000-000-0</t>
  </si>
  <si>
    <t>EQUIPMENT - IDEA PART B</t>
  </si>
  <si>
    <t xml:space="preserve">   MEDICAID</t>
  </si>
  <si>
    <t>260-521115-000-000-0</t>
  </si>
  <si>
    <t>SALARIES - MEDICAID - CLASSIFIED</t>
  </si>
  <si>
    <t>260-521210-000-000-0</t>
  </si>
  <si>
    <t>MEDICAID EE BENEFITS - PERSI</t>
  </si>
  <si>
    <t>260-521220-000-000-0</t>
  </si>
  <si>
    <t>MEDICAID EE BENEFITS - TAXES</t>
  </si>
  <si>
    <t>260-521240-000-000-0</t>
  </si>
  <si>
    <t>MEDICAID EE BENEFITS - INSURANCE</t>
  </si>
  <si>
    <t>260-521300-000-000-0</t>
  </si>
  <si>
    <t>CONTRACTORS - MEDICAID</t>
  </si>
  <si>
    <t>260-616399-000-000-0</t>
  </si>
  <si>
    <t>BILLING COSTS - MEDICAID</t>
  </si>
  <si>
    <t>260-521400-000-000-0</t>
  </si>
  <si>
    <t>SUPPLIES - MEDICAID</t>
  </si>
  <si>
    <t>260-521500-000-000-0</t>
  </si>
  <si>
    <t>EQUIPMENT - MEDICAID</t>
  </si>
  <si>
    <t xml:space="preserve">   TITLE III ESEA-LEP FUND</t>
  </si>
  <si>
    <t>270-512110-000-000-0</t>
  </si>
  <si>
    <t>SALARIES - TITLE III - CERTIFIED</t>
  </si>
  <si>
    <t>270-512115-000-000-0</t>
  </si>
  <si>
    <t>SALARIES - TITLE III - CLASSIFIED</t>
  </si>
  <si>
    <t>270-512210-000-000-0</t>
  </si>
  <si>
    <t>TITLE III EE BENEFITS - PERSI</t>
  </si>
  <si>
    <t>270-512220-000-000-0</t>
  </si>
  <si>
    <t>TITLE III EE BENEFITS - TAXES</t>
  </si>
  <si>
    <t>270-512240-000-000-0</t>
  </si>
  <si>
    <t>TITLE III EE BENEFITS - INSURANCE</t>
  </si>
  <si>
    <t>270-512300-000-000-0</t>
  </si>
  <si>
    <t>PURCHASED SVCS - TITLE III</t>
  </si>
  <si>
    <t>270-512400-000-000-0</t>
  </si>
  <si>
    <t>SUPPLIES - TITLE III</t>
  </si>
  <si>
    <t xml:space="preserve">   TITLE II A - TEACHER QUALITY</t>
  </si>
  <si>
    <t xml:space="preserve">   TITLE IV-A STUDENT SUPPORT</t>
  </si>
  <si>
    <t>261-512110-000-000-0</t>
  </si>
  <si>
    <t>261-512115-000-000-0</t>
  </si>
  <si>
    <t>261-512210-000-000-0</t>
  </si>
  <si>
    <t>261-512220-000-000-0</t>
  </si>
  <si>
    <t>261-512240-000-000-0</t>
  </si>
  <si>
    <t>261-512300-000-000-0</t>
  </si>
  <si>
    <t>PURCHASED SERVICES - TITLE IV-A</t>
  </si>
  <si>
    <t>261-512400-000-000-0</t>
  </si>
  <si>
    <t>SUPPLIES - TITLE IV-A</t>
  </si>
  <si>
    <t>285-512110-000-000-0</t>
  </si>
  <si>
    <t>TEACHER SALARIES - FED CSP GRANT</t>
  </si>
  <si>
    <t>285-512115-000-000-0</t>
  </si>
  <si>
    <t>CLASSIFIED SALARIES - FED CSP GRAN</t>
  </si>
  <si>
    <t>285-512210-000-000-0</t>
  </si>
  <si>
    <t>FED CSP EE BENEFITS - PERSI</t>
  </si>
  <si>
    <t>285-512220-000-000-0</t>
  </si>
  <si>
    <t>FED CSP EE BENEFITS - TAXES</t>
  </si>
  <si>
    <t>285-512240-000-000-0</t>
  </si>
  <si>
    <t>FED CSP EE BENEFITS - INSURANCE</t>
  </si>
  <si>
    <t>285-512623-000-000-0</t>
  </si>
  <si>
    <t>INSTRUCTIONAL TECH SERVICES</t>
  </si>
  <si>
    <t>285-641110-000-000-0</t>
  </si>
  <si>
    <t>ADMIN SALARIES - FED CSP GRANT</t>
  </si>
  <si>
    <t>285-521110-000-000-0</t>
  </si>
  <si>
    <t>SALARIES - SPED CERTIFIED</t>
  </si>
  <si>
    <t>285-521210-000-000-0</t>
  </si>
  <si>
    <t>SPED EE BENEFITS - PERSI</t>
  </si>
  <si>
    <t>285-521220-000-000-0</t>
  </si>
  <si>
    <t>SPED EE BENEFITS - TAXES</t>
  </si>
  <si>
    <t>285-521240-000-000-0</t>
  </si>
  <si>
    <t>SPED EE BENEFITS - INSURANCE</t>
  </si>
  <si>
    <t>285-611110-000-000-0</t>
  </si>
  <si>
    <t>285-611210-000-000-0</t>
  </si>
  <si>
    <t>285-611220-000-000-0</t>
  </si>
  <si>
    <t>285-641390-000-000-0</t>
  </si>
  <si>
    <t>PROF DEV - ADMIN STAFF TRAVEL</t>
  </si>
  <si>
    <t>285-512400-000-000-0</t>
  </si>
  <si>
    <t>SUPPLIES – ELEMENTARY</t>
  </si>
  <si>
    <t>285-512440-000-000-0</t>
  </si>
  <si>
    <t>CURRICULUM – ELEMENTARY</t>
  </si>
  <si>
    <t>285-512401-000-000-0</t>
  </si>
  <si>
    <t>TECHNOLOGY - STUDENT - ELEM</t>
  </si>
  <si>
    <t>285-512470-000-000-0</t>
  </si>
  <si>
    <t>SOFTWARE - EDUCATIONAL</t>
  </si>
  <si>
    <t>285-632400-000-000-0</t>
  </si>
  <si>
    <t>TECHNOLOGY - SCHOOL (GENERAL)</t>
  </si>
  <si>
    <t>285-632460-000-000-0</t>
  </si>
  <si>
    <t>SOFTWARE - ADMIN</t>
  </si>
  <si>
    <t>285-641300-000-000-0</t>
  </si>
  <si>
    <t>SCHOOL ADMINISTRATION PROGRAM</t>
  </si>
  <si>
    <t>285-641115-000-000-0</t>
  </si>
  <si>
    <t>CLASSIFIED ADMIN SALARIES - CSP</t>
  </si>
  <si>
    <t>285-641210-000-000-0</t>
  </si>
  <si>
    <t>FED CSP EE BENEFITS - PERSI -ADMIN</t>
  </si>
  <si>
    <t>285-641220-000-000-0</t>
  </si>
  <si>
    <t>FED CSP EE BENEFITS - TAXES -ADMIN</t>
  </si>
  <si>
    <t>285-641240-000-000-0</t>
  </si>
  <si>
    <t>FED CSP EE BEN - INSURANCE - ADMIN</t>
  </si>
  <si>
    <t>285-515400-000-000-0</t>
  </si>
  <si>
    <t>SUPPLIES SECONDARY</t>
  </si>
  <si>
    <t>285-515500-000-000-0</t>
  </si>
  <si>
    <t>EQUIPMENT SECONDARY</t>
  </si>
  <si>
    <t>285-621300-000-000-0</t>
  </si>
  <si>
    <t>TRAVEL PURCHASE SERVICE</t>
  </si>
  <si>
    <t>285-621370-000-000-0</t>
  </si>
  <si>
    <t>PROF DEV - INSTRUCTOR TUITION</t>
  </si>
  <si>
    <t>285-621390-000-000-0</t>
  </si>
  <si>
    <t>PROF DEV - INST. PURCHASED SVCS</t>
  </si>
  <si>
    <t>285-641311-000-000-0</t>
  </si>
  <si>
    <t>OFFICE ADMIN SERVICES</t>
  </si>
  <si>
    <t>285-641400-000-000-0</t>
  </si>
  <si>
    <t>STARTUP SUPPLIES</t>
  </si>
  <si>
    <t>285-641500-000-000-0</t>
  </si>
  <si>
    <t>STARTUP EQUIP/FURNITURE</t>
  </si>
  <si>
    <t xml:space="preserve">   GOVERNOR'S CARES ACT 5%</t>
  </si>
  <si>
    <t>274-512110-000-000-0</t>
  </si>
  <si>
    <t>GOVERNOR'S 5% - STIPENDS</t>
  </si>
  <si>
    <t>274-512200-000-000-0</t>
  </si>
  <si>
    <t>GOVERNOR'S 5% - BENEFITS</t>
  </si>
  <si>
    <t>274-512300-000-000-0</t>
  </si>
  <si>
    <t>GOVERNOR'S 5% - PURCHASED SVS</t>
  </si>
  <si>
    <t>274-512400-000-000-0</t>
  </si>
  <si>
    <t>GOVERNOR'S 5% - SUPPLIES</t>
  </si>
  <si>
    <t xml:space="preserve">   COVID TECH $10K FUND</t>
  </si>
  <si>
    <t>287-512400-000-000-0</t>
  </si>
  <si>
    <t>COVID TECH $10K - TECH PURCHASE</t>
  </si>
  <si>
    <t xml:space="preserve">   COVID RELIEF-DISTANCE/BLENDED</t>
  </si>
  <si>
    <t>289-512400-000-000-0</t>
  </si>
  <si>
    <t>SUPPLIES - DIST/BLEND</t>
  </si>
  <si>
    <t xml:space="preserve">   FOOD SERVICE FUND</t>
  </si>
  <si>
    <t>290-710300-000-000-0</t>
  </si>
  <si>
    <t>SERVICE PROVIDE - FOOD SVC</t>
  </si>
  <si>
    <t>****TOTAL GENERAL FUND EXPENDITURES</t>
  </si>
  <si>
    <t>Teacher Name</t>
  </si>
  <si>
    <t>Position</t>
  </si>
  <si>
    <t>Notes</t>
  </si>
  <si>
    <t>Grade K</t>
  </si>
  <si>
    <t>Grade 1</t>
  </si>
  <si>
    <t>Name</t>
  </si>
  <si>
    <t>2027-2028</t>
  </si>
  <si>
    <t>ASSUMPTIONS - DRIVE CERTAIN FORMULAS, AND CAN BE REFERENCED IN YOUR OWN FORMULAS:</t>
  </si>
  <si>
    <t>Enter Expected ADA or enrollment variance for funding:</t>
  </si>
  <si>
    <t xml:space="preserve">Cells colored with this green shading are intended to be cells where data is input/changed.  </t>
  </si>
  <si>
    <t>The number in this row corresponds to the computation sheets with the same numbers (eg. Input (1)):</t>
  </si>
  <si>
    <t>Projected
2025-2026</t>
  </si>
  <si>
    <t>Projected
2026-2027</t>
  </si>
  <si>
    <t>Projected
2027-2028</t>
  </si>
  <si>
    <t>Resulting Noncertified Index for Salary Apportionment Formula</t>
  </si>
  <si>
    <t>Inflation Rate to Use for Expenses:</t>
  </si>
  <si>
    <t>Resulting Entitlement "State Distribution Factor Per Support Unit:</t>
  </si>
  <si>
    <t>Noncertified index x entitlement growth %:</t>
  </si>
  <si>
    <t>Admin Index x entitlement growth %:</t>
  </si>
  <si>
    <t>Entitlement Funding Growth Expected from Prior Year, %:</t>
  </si>
  <si>
    <t>SUMMARY FINANCIAL STATEMENTS</t>
  </si>
  <si>
    <t>ENROLLMENT PLAN - ENTER ENROLLMENT DATA HERE, DRIVES MANY FORMULAS</t>
  </si>
  <si>
    <t>Calculated Entitlement</t>
  </si>
  <si>
    <t>Calculated Salary Based Apportionment</t>
  </si>
  <si>
    <t>Calculated benefit Apportionment</t>
  </si>
  <si>
    <t>(1) &amp; (2)</t>
  </si>
  <si>
    <t>Can Also be PCSC Year Zero</t>
  </si>
  <si>
    <r>
      <t xml:space="preserve">(2) - </t>
    </r>
    <r>
      <rPr>
        <b/>
        <sz val="8"/>
        <color theme="1"/>
        <rFont val="Calibri"/>
        <family val="2"/>
        <scheme val="minor"/>
      </rPr>
      <t>can also be PCSC Break Even Y1</t>
    </r>
  </si>
  <si>
    <t>OS</t>
  </si>
  <si>
    <t>Total Enrollment per computation sheets (check figure):</t>
  </si>
  <si>
    <t>ADA or average enrollment rate:</t>
  </si>
  <si>
    <t>Calculated Support Units</t>
  </si>
  <si>
    <t>STAFFING PLAN - ENTER STAFF DATA HERE, DRIVES MANY FORMULAS</t>
  </si>
  <si>
    <t>ADMINISTRATORS</t>
  </si>
  <si>
    <t>Education Current Year
pull down the code</t>
  </si>
  <si>
    <t>Years</t>
  </si>
  <si>
    <t>Code</t>
  </si>
  <si>
    <t>Subtotal - Teachers</t>
  </si>
  <si>
    <t>Rate After Current Year Increases by Inflation Rate (row 7), or type in an amount</t>
  </si>
  <si>
    <t>TEACHERS</t>
  </si>
  <si>
    <t>PUPIL SERVICE STAFF</t>
  </si>
  <si>
    <t>Staff Name</t>
  </si>
  <si>
    <t>Counselor</t>
  </si>
  <si>
    <t xml:space="preserve">Teachers </t>
  </si>
  <si>
    <t>Check figure against computation sheets</t>
  </si>
  <si>
    <t>Aide</t>
  </si>
  <si>
    <t>CLASSIFIED STAFF</t>
  </si>
  <si>
    <t>Subtotal - Administrators</t>
  </si>
  <si>
    <t>STATE REVENUE FORMULA RESULTS</t>
  </si>
  <si>
    <t>SPECIAL DISTRIBUTION COMPUTATION SECTION (SEE SDE GUIDANCE)</t>
  </si>
  <si>
    <t>Charter School Facilities</t>
  </si>
  <si>
    <t>Safe &amp; Drug Free</t>
  </si>
  <si>
    <t>Total Noncertified, GENERAL FUND 100, for SBA Computation</t>
  </si>
  <si>
    <t>Subtotal - Noncertified</t>
  </si>
  <si>
    <t>Historical and Projected Statement of Revenues and Expenses</t>
  </si>
  <si>
    <t>Audited</t>
  </si>
  <si>
    <t>Budgeted</t>
  </si>
  <si>
    <t>Projected</t>
  </si>
  <si>
    <t>YTD</t>
  </si>
  <si>
    <t>2018-2019</t>
  </si>
  <si>
    <t>2019-2020</t>
  </si>
  <si>
    <t>2020-2021</t>
  </si>
  <si>
    <t>Revenue</t>
  </si>
  <si>
    <t>State, Federal and Local Ongoing Revenue</t>
  </si>
  <si>
    <t xml:space="preserve">State Sources: State Support </t>
  </si>
  <si>
    <t xml:space="preserve">State Sources: Transportation </t>
  </si>
  <si>
    <t>Donations, Contributions, Interest</t>
  </si>
  <si>
    <t>Other Local and State Support</t>
  </si>
  <si>
    <t>Federal Title Funds: I, II, VIB, FRL</t>
  </si>
  <si>
    <t>Subtotal - Ongoing Revenues</t>
  </si>
  <si>
    <t>Federal and Philanthropic Temporary Revenue</t>
  </si>
  <si>
    <t>Albertson's Grants</t>
  </si>
  <si>
    <t>Future Foundation Contribution</t>
  </si>
  <si>
    <t>Other Philanthropic Grants</t>
  </si>
  <si>
    <t>Federal CSP Grant</t>
  </si>
  <si>
    <t>Federal Covid Response Funds</t>
  </si>
  <si>
    <t>Federal PPP Loan - (Forgiven)</t>
  </si>
  <si>
    <t>Subtotal - Temporary Revenue</t>
  </si>
  <si>
    <t xml:space="preserve">Total Revenue  </t>
  </si>
  <si>
    <t>Expenses</t>
  </si>
  <si>
    <t>Instruction</t>
  </si>
  <si>
    <t>Salaries</t>
  </si>
  <si>
    <t>S</t>
  </si>
  <si>
    <t>B</t>
  </si>
  <si>
    <t>Purchased Services</t>
  </si>
  <si>
    <t>P</t>
  </si>
  <si>
    <t>Supplies &amp; Materials</t>
  </si>
  <si>
    <t>M</t>
  </si>
  <si>
    <t>Nutrition</t>
  </si>
  <si>
    <t>F</t>
  </si>
  <si>
    <t>Transportation</t>
  </si>
  <si>
    <t>T</t>
  </si>
  <si>
    <t>Total Instruction</t>
  </si>
  <si>
    <t xml:space="preserve">     Salaries</t>
  </si>
  <si>
    <t>SA</t>
  </si>
  <si>
    <t xml:space="preserve">    Benefits</t>
  </si>
  <si>
    <t xml:space="preserve">    Purchased Services</t>
  </si>
  <si>
    <t>PA</t>
  </si>
  <si>
    <t xml:space="preserve">    Supplies &amp; Materials</t>
  </si>
  <si>
    <t>Total Administration</t>
  </si>
  <si>
    <t>Facilities</t>
  </si>
  <si>
    <t xml:space="preserve">      Salaries &amp; Benefits:  Bldg. Care</t>
  </si>
  <si>
    <t>SF</t>
  </si>
  <si>
    <t xml:space="preserve">     Utilities - Electric, Gas, Water, Sewer</t>
  </si>
  <si>
    <t>U</t>
  </si>
  <si>
    <t xml:space="preserve">     Contracted Services</t>
  </si>
  <si>
    <t>PF</t>
  </si>
  <si>
    <t xml:space="preserve">     Custodial Supplies</t>
  </si>
  <si>
    <t>MF</t>
  </si>
  <si>
    <t xml:space="preserve">     Insurance - fire, theft, liability</t>
  </si>
  <si>
    <t>I</t>
  </si>
  <si>
    <t xml:space="preserve">     Maintenance - Property/Grounds</t>
  </si>
  <si>
    <t>G</t>
  </si>
  <si>
    <t>Total Facility Expenditures</t>
  </si>
  <si>
    <t>Federal Covid Response Temporary Expenses</t>
  </si>
  <si>
    <t xml:space="preserve">SubTotal Operating Expenditures </t>
  </si>
  <si>
    <t>Est. Net Operating Rev. Avail.For Debt Svc</t>
  </si>
  <si>
    <t>Facility Lease / Debt Service Cost</t>
  </si>
  <si>
    <t>Total Facility Debt Service and Payments</t>
  </si>
  <si>
    <t>Estimated Facility Expense Coverage</t>
  </si>
  <si>
    <t>Estimated Facility Expense Burden</t>
  </si>
  <si>
    <t>Maximum Annual Debt Service</t>
  </si>
  <si>
    <t>Maximum Annual Debt Service Coverage</t>
  </si>
  <si>
    <t>Prior Year Fund Balance</t>
  </si>
  <si>
    <t>End of Year Unrestricted Fund Balance</t>
  </si>
  <si>
    <t>Est.Unrestricted  General Fund Cash Balance</t>
  </si>
  <si>
    <t>Days Cash on Hand</t>
  </si>
  <si>
    <t>Total Revenues</t>
  </si>
  <si>
    <t>Deduct - JKAFF, CSP and Covid Grants</t>
  </si>
  <si>
    <t>Net Revenue For Computation:</t>
  </si>
  <si>
    <t>Facility costs:</t>
  </si>
  <si>
    <t>Facility Costs as Percentage of Ongoing Revenues:</t>
  </si>
  <si>
    <t xml:space="preserve">"Debt Service as a % of (Ongoing) Revenues” </t>
  </si>
  <si>
    <t>.</t>
  </si>
  <si>
    <t>Data Sources:</t>
  </si>
  <si>
    <t>Audited Financial Data taken from "Statement of Revenues, Expenditures, and Changes in Fund Balances - Governmental Funds</t>
  </si>
  <si>
    <t>Enrollment history:</t>
  </si>
  <si>
    <t xml:space="preserve">      https://www.sde.idaho.gov/finance/files/attendance-enrollment/historical/Charter-School-Historical-Enrollment-by-Year.xls</t>
  </si>
  <si>
    <t>Assumptions:</t>
  </si>
  <si>
    <t>State "Entitlement", "Salary Apportionment" and "Benefit Apportionment" revenue estimates are based on Idaho's funding formula, which requires a reduction based on "Average Daily Attendance". The expected Average Daily Attendance is 95%.</t>
  </si>
  <si>
    <t>State Support increases as enrollment increases, based on the Idaho funding formula, plus an added 3% inflation adjustment is added FY22 forward.</t>
  </si>
  <si>
    <t>Federat Title and IDEA funds increase in proportion to enrollment plus an added 3% inflation adjustment is added FY22 forward.</t>
  </si>
  <si>
    <t>Student transportation reimbursement is estimated at approximately 85% of the cost of transportation.</t>
  </si>
  <si>
    <t>Salaries for certified staff assume an average increase each year of 3%.</t>
  </si>
  <si>
    <t>Health insurance cost assumes an increase of 5% each year, which is, on average, the increases over the past three years.</t>
  </si>
  <si>
    <t>Expenses that increase with enrollment (for example, curriculum) increase at the same rate as enrollment increases, plus an added 3% inflation adjustment is added FY22 forward.</t>
  </si>
  <si>
    <t>Grant revenue: only executed/committed grants from the J.A and Kathryn Albertson Foundation (JKAF), and other large donors, are included in projections.</t>
  </si>
  <si>
    <t>Lease costs (for FY 2022) and debt service calculations for all future years are based on the financing schedules provided by Piper Sandler &amp; Co on 12/03/2021.</t>
  </si>
  <si>
    <t>Historic Balance Sheet</t>
  </si>
  <si>
    <t>For Audited Fiscal Years ended June 30, 2019-2021</t>
  </si>
  <si>
    <t>Assets:</t>
  </si>
  <si>
    <t>Cash and Investments</t>
  </si>
  <si>
    <t>Intergovernmental Receivables</t>
  </si>
  <si>
    <t>Restricted Cash</t>
  </si>
  <si>
    <t>Due From Other Funds</t>
  </si>
  <si>
    <t>Prepaid Expenses</t>
  </si>
  <si>
    <t>Total Assets</t>
  </si>
  <si>
    <t>Liabilities:</t>
  </si>
  <si>
    <t>Advanced Revenues</t>
  </si>
  <si>
    <t>Accounts Payable</t>
  </si>
  <si>
    <t>Accrued Revenue</t>
  </si>
  <si>
    <t>Due to Other Funds</t>
  </si>
  <si>
    <t>Total Liabilities</t>
  </si>
  <si>
    <t>Fund Balances:</t>
  </si>
  <si>
    <t>Nonspendable</t>
  </si>
  <si>
    <t>Restricted</t>
  </si>
  <si>
    <t>Committed</t>
  </si>
  <si>
    <t>Unassigned</t>
  </si>
  <si>
    <t>Total Fund Balances</t>
  </si>
  <si>
    <t>Total Liabilities and Fund Balances</t>
  </si>
  <si>
    <t>Balance Sheet Metrics:</t>
  </si>
  <si>
    <t>Cash to Proforma Debt</t>
  </si>
  <si>
    <t>Historic Income Statement</t>
  </si>
  <si>
    <t>Revenues:</t>
  </si>
  <si>
    <t>Local Revenues</t>
  </si>
  <si>
    <t>State Revenue</t>
  </si>
  <si>
    <t>Foundation</t>
  </si>
  <si>
    <t>Program specific</t>
  </si>
  <si>
    <t>Federal Revenue</t>
  </si>
  <si>
    <t>Other Revenue</t>
  </si>
  <si>
    <t>Expenditures:</t>
  </si>
  <si>
    <t>Total instructional</t>
  </si>
  <si>
    <t>Total support services</t>
  </si>
  <si>
    <t>Principal</t>
  </si>
  <si>
    <t>Interest</t>
  </si>
  <si>
    <t>Capital outlay</t>
  </si>
  <si>
    <t>Total Expenditures</t>
  </si>
  <si>
    <t>Excess of Revenues over Expenditures</t>
  </si>
  <si>
    <t>Funds from financing</t>
  </si>
  <si>
    <t>Proceeds from loans</t>
  </si>
  <si>
    <t>Transfers</t>
  </si>
  <si>
    <t>Net other financing sources</t>
  </si>
  <si>
    <t>Net Change in Fund Balances</t>
  </si>
  <si>
    <t>Fund Balances, Beginning</t>
  </si>
  <si>
    <t>Fund Balances, Ending</t>
  </si>
  <si>
    <t>Proforma Series 2022 MADS Coverage:</t>
  </si>
  <si>
    <t>Plus: Capitalized outlays</t>
  </si>
  <si>
    <t>Plus: Principal and Interest</t>
  </si>
  <si>
    <t>Available for Debt Service</t>
  </si>
  <si>
    <t>Proforma MADS</t>
  </si>
  <si>
    <t>MADS Coverage</t>
  </si>
  <si>
    <t>Scovid</t>
  </si>
  <si>
    <t>Bcovid</t>
  </si>
  <si>
    <t>Pcovid</t>
  </si>
  <si>
    <t>Mcovid</t>
  </si>
  <si>
    <t>Bonds - P&amp;I, estimated</t>
  </si>
  <si>
    <t>Receivables</t>
  </si>
  <si>
    <t>Prepaid and Other</t>
  </si>
  <si>
    <t>Assets</t>
  </si>
  <si>
    <t>Liabilities</t>
  </si>
  <si>
    <t>Payables</t>
  </si>
  <si>
    <t>Balance Sheet - Government Funds</t>
  </si>
  <si>
    <t>Fund Balances</t>
  </si>
  <si>
    <t>Accruals and Deferrals</t>
  </si>
  <si>
    <t>Cash and Cash Equivalents</t>
  </si>
  <si>
    <t>Revenues - State</t>
  </si>
  <si>
    <t>Revenues - Federal</t>
  </si>
  <si>
    <t>Revenues - Local</t>
  </si>
  <si>
    <t>Revenues - Covid</t>
  </si>
  <si>
    <t>Revenues</t>
  </si>
  <si>
    <t>Net Revenues</t>
  </si>
  <si>
    <t>TOTAL LOCAL REVENUES</t>
  </si>
  <si>
    <t>TOTAL COVID OR OTHER TEMPORARY FEDERAL REVENUES</t>
  </si>
  <si>
    <t>OTHER</t>
  </si>
  <si>
    <t>FUND</t>
  </si>
  <si>
    <t>IDEA PART B 619 - PRESCHOOL FUNDS</t>
  </si>
  <si>
    <t>SRSA GRANTS</t>
  </si>
  <si>
    <t xml:space="preserve">   ARPA - ESSERF III</t>
  </si>
  <si>
    <t>FEDERAL TITLE FUNDS</t>
  </si>
  <si>
    <t xml:space="preserve">  GENERAL FUND </t>
  </si>
  <si>
    <t>290-710115-000-000-0</t>
  </si>
  <si>
    <t>WAGES - FOOD SVC</t>
  </si>
  <si>
    <t>290-710270-000-000-0</t>
  </si>
  <si>
    <t>290-710300-100-000-0</t>
  </si>
  <si>
    <t>SALES TAX - FOOD SERVICE</t>
  </si>
  <si>
    <t>290-710400-000-000-0</t>
  </si>
  <si>
    <t>FOOD/SUPPLIES - FOOD SVC</t>
  </si>
  <si>
    <t>290-710500-000-000-0</t>
  </si>
  <si>
    <t>EQUIPMENT - FOOD SVC</t>
  </si>
  <si>
    <t>290-710210-000-000-0</t>
  </si>
  <si>
    <t>290-710240-000-000-0</t>
  </si>
  <si>
    <t>BENEFITS - FOOD SVC - PERSI</t>
  </si>
  <si>
    <t>BENEFITS - FOOD SVC - TAXES</t>
  </si>
  <si>
    <t>BENEFITS - FOOD SVC - INSURANCE</t>
  </si>
  <si>
    <r>
      <rPr>
        <b/>
        <sz val="11"/>
        <color theme="1"/>
        <rFont val="Calibri"/>
        <family val="2"/>
        <scheme val="minor"/>
      </rPr>
      <t>100-</t>
    </r>
    <r>
      <rPr>
        <sz val="11"/>
        <color theme="1"/>
        <rFont val="Calibri"/>
        <family val="2"/>
        <scheme val="minor"/>
      </rPr>
      <t>710220-000-000-0</t>
    </r>
  </si>
  <si>
    <t>STATE FUNDS - GENERAL, TECH, S&amp;DF, &amp; FED FOOD SERVICE</t>
  </si>
  <si>
    <t>271-512110-000-000-0</t>
  </si>
  <si>
    <t>271-512115-000-000-0</t>
  </si>
  <si>
    <t>271-512210-000-000-0</t>
  </si>
  <si>
    <t>271-512220-000-000-0</t>
  </si>
  <si>
    <t>271-512240-000-000-0</t>
  </si>
  <si>
    <t>271-512300-000-000-0</t>
  </si>
  <si>
    <t>271-512400-000-000-0</t>
  </si>
  <si>
    <t>SALARIES - TITLE II - CERTIFIED</t>
  </si>
  <si>
    <t>SALARIES - TITLE II - CLASSIFIED</t>
  </si>
  <si>
    <t>TITLE II EE BENEFITS - PERSI</t>
  </si>
  <si>
    <t>TITLE II EE BENEFITS - TAXES</t>
  </si>
  <si>
    <t>TITLE II EE BENEFITS - INSURANCE</t>
  </si>
  <si>
    <t>PURCHASED SVCS - TITLE II</t>
  </si>
  <si>
    <t>SUPPLIES - TITLE II</t>
  </si>
  <si>
    <t>SALARIES - TITLE IV-A - CERTIFIED</t>
  </si>
  <si>
    <t>SALARIES - TITLE IV-A - CLASSIFIED</t>
  </si>
  <si>
    <t>TITLE IV-A EE BENEFITS - PERSI</t>
  </si>
  <si>
    <t>TITLE IV-A EE BENEFITS - TAXES</t>
  </si>
  <si>
    <t>TITLE IV-A EE BENEFITS - INSURANCE</t>
  </si>
  <si>
    <t>SPECIAL EDUCATION-RELATED FUNDS</t>
  </si>
  <si>
    <t xml:space="preserve">   IDEA PART B 619 PRESCHOOL FUND</t>
  </si>
  <si>
    <t>258-521110-000-000-0</t>
  </si>
  <si>
    <t>258-521115-000-000-0</t>
  </si>
  <si>
    <t>258-521210-000-000-0</t>
  </si>
  <si>
    <t>258-521220-000-000-0</t>
  </si>
  <si>
    <t>258-521240-000-000-0</t>
  </si>
  <si>
    <t>258-521300-000-000-0</t>
  </si>
  <si>
    <t>258-521400-000-000-0</t>
  </si>
  <si>
    <t>SALARIES - IDEA PART B 619 - CERTIFIED</t>
  </si>
  <si>
    <t>SALARIES - IDEA PART B 619 -CLASSIFIED</t>
  </si>
  <si>
    <t>PURCHASED SERVICES - IDEA PART B 619</t>
  </si>
  <si>
    <t>SUPPLIES - IDEA PART B 619</t>
  </si>
  <si>
    <t>TEMPORARY FEDERAL FUNDS</t>
  </si>
  <si>
    <t>254-512100-000-000-0</t>
  </si>
  <si>
    <t>SALARIES - ESSERF II</t>
  </si>
  <si>
    <t>254-512200-000-000-0</t>
  </si>
  <si>
    <t>BENEFITS - ESSERF II</t>
  </si>
  <si>
    <t>254-512300-000-000-0</t>
  </si>
  <si>
    <t>PURCHASED SERVICES - ESSERF II</t>
  </si>
  <si>
    <t>254-512400-000-000-0</t>
  </si>
  <si>
    <t>SUPPLIES - ESSERF II</t>
  </si>
  <si>
    <t>254-661400-000-000-0</t>
  </si>
  <si>
    <t>BLDG SUPPLIES - ESSERF II</t>
  </si>
  <si>
    <t>254-661500-000-000-0</t>
  </si>
  <si>
    <t>CAPITAL OBJECTS - ESSER II</t>
  </si>
  <si>
    <t>254-920810-000-000-0</t>
  </si>
  <si>
    <t>TRANSFER TO OTHER FUNDS</t>
  </si>
  <si>
    <t xml:space="preserve">  CRRSA - ESSERF II</t>
  </si>
  <si>
    <t xml:space="preserve">   SUB RECRUITMENT FUND</t>
  </si>
  <si>
    <t>250-512110-000-000-0</t>
  </si>
  <si>
    <t>CLASS SALARIES - AIDES LEARN LOSS</t>
  </si>
  <si>
    <t>250-512200-000-000-0</t>
  </si>
  <si>
    <t>BENEFITS - ESSERF III</t>
  </si>
  <si>
    <t>250-512300-000-000-0</t>
  </si>
  <si>
    <t>PURCHASED SERVICES - ESSERF III</t>
  </si>
  <si>
    <t>250-512400-000-000-0</t>
  </si>
  <si>
    <t>SUPPLIES - ESSERF III</t>
  </si>
  <si>
    <t>250-512450-000-000-0</t>
  </si>
  <si>
    <t>CURRICULUM SUPPLIES - ESSERF III</t>
  </si>
  <si>
    <t>SALARIES - SUB RECRUITMENT FUND</t>
  </si>
  <si>
    <t>BENEFITS - SUB RECRUITMENT FUND</t>
  </si>
  <si>
    <t>284-512100-000-000-0</t>
  </si>
  <si>
    <t>284-512200-000-000-0</t>
  </si>
  <si>
    <t xml:space="preserve">   CSP START UP GRANT FUND</t>
  </si>
  <si>
    <t>See Formula</t>
  </si>
  <si>
    <t>Up to $6,600, reimbursement only</t>
  </si>
  <si>
    <t>Is this Y1? In year 1, certain special distributions are not available (eg. Lottery, safe &amp; drug free, literacy, remediation because they are based on prior year data</t>
  </si>
  <si>
    <t>2021 NSLP Emergency Operating</t>
  </si>
  <si>
    <t>ARPA - ESSER III - F/T Discretionary</t>
  </si>
  <si>
    <t>ARPA - ESSER III - F/T Learning Loss</t>
  </si>
  <si>
    <t>CARES Act - Substitute Recruitment - Idaho Rebounds</t>
  </si>
  <si>
    <t>CARES Act - Child Nutrition - Idaho Rebounds</t>
  </si>
  <si>
    <t>CARES Act - Distance/Blended Learning</t>
  </si>
  <si>
    <t>CARES Act - Governor's 5% Recovery Funds ("Idaho Rebounds")</t>
  </si>
  <si>
    <t>CARES Act - Covid Technology $10K</t>
  </si>
  <si>
    <t>Cultivating Readers Grant - Year 1</t>
  </si>
  <si>
    <t>Department of Health &amp; Welfare Grant</t>
  </si>
  <si>
    <t>CARES Act - ESSER I Learning Management System</t>
  </si>
  <si>
    <t>CARES Act - ESSER I Social &amp; Emotional Learning &amp; Behavioral Health and Wellness</t>
  </si>
  <si>
    <t>CARES Act - ESSER I Discretionary</t>
  </si>
  <si>
    <t>ARPA - IDEA PART B 611 Preschool</t>
  </si>
  <si>
    <t>Building Idaho Future-K-12 Learning Loss (governor's)</t>
  </si>
  <si>
    <t>Building Idaho Future-K-4 Learning Loss (Governor's)</t>
  </si>
  <si>
    <t>CRRSA - ESSER II - COVID-Response Related Funds</t>
  </si>
  <si>
    <t>CRRSA - ESSER II - State Set-Aside Reserve</t>
  </si>
  <si>
    <t>2020 SBA PPP PROGRAM</t>
  </si>
  <si>
    <t>THE GROUPED ROWS BELOW CAN BE LEFT HIDDEN - THESE ARE COMPUTATION ROWS - DO NOT OVERWRITE OR EDIT</t>
  </si>
  <si>
    <t>Facility Debt Service / Facility Lease Expense</t>
  </si>
  <si>
    <t>none</t>
  </si>
  <si>
    <t>Literacy Intervention</t>
  </si>
  <si>
    <t># students remaining proficient + # students moving 1 full tier</t>
  </si>
  <si>
    <t># of economically disadvantaged</t>
  </si>
  <si>
    <t>Enter count:</t>
  </si>
  <si>
    <t>This is a formula that can be copied to multiply amounts by the percentage in row 10 - Inflation Rate</t>
  </si>
  <si>
    <t>(inflation)</t>
  </si>
  <si>
    <t>(Enrl Chg)</t>
  </si>
  <si>
    <t>This is a formula that can be copied to multiply amounts  by the percentages in rows 10 and 77 together - this is student growth + Inflation</t>
  </si>
  <si>
    <t>This is a formula that can be copied to multiply amounts by the percentage in row 77 - the increase in students (usually use this for bussing, food service, etc.)</t>
  </si>
  <si>
    <t>GL Code</t>
  </si>
  <si>
    <t>Audited
2021-2022</t>
  </si>
  <si>
    <t>Projected
2028-2029</t>
  </si>
  <si>
    <t>2028-2029</t>
  </si>
  <si>
    <t>PER IDAHO LAW:</t>
  </si>
  <si>
    <t>adjustment flowed below:</t>
  </si>
  <si>
    <t>Corrected Rates</t>
  </si>
  <si>
    <t>Corrected PERSI-adjusted Rates</t>
  </si>
  <si>
    <t>Continuous Improvement / Strategic Planning</t>
  </si>
  <si>
    <t>English Language learners</t>
  </si>
  <si>
    <t>Count</t>
  </si>
  <si>
    <t>Professional Development - Dyslexia</t>
  </si>
  <si>
    <t>National Board For Prof Teaching Std</t>
  </si>
  <si>
    <t>Career Ladder Level</t>
  </si>
  <si>
    <t>IMPACT ON CURRENT STAFF</t>
  </si>
  <si>
    <t xml:space="preserve">IF WE KEPT THE SAME SCHEDULE </t>
  </si>
  <si>
    <r>
      <rPr>
        <b/>
        <sz val="12"/>
        <color rgb="FFFFFFFF"/>
        <rFont val="Calibri"/>
        <family val="2"/>
      </rPr>
      <t xml:space="preserve">Future Salary Schedule 2022-2023 - CLASSIFIED SUPPORT STAFF </t>
    </r>
    <r>
      <rPr>
        <b/>
        <sz val="12"/>
        <color rgb="FFFFFF00"/>
        <rFont val="Calibri"/>
        <family val="2"/>
      </rPr>
      <t xml:space="preserve">(OPTION 1 - BASED ON LAST YEAR) </t>
    </r>
  </si>
  <si>
    <t>Category</t>
  </si>
  <si>
    <t>Current Wage</t>
  </si>
  <si>
    <t>Updated Schedule - New Wage</t>
  </si>
  <si>
    <t>Difference</t>
  </si>
  <si>
    <t xml:space="preserve">Annual </t>
  </si>
  <si>
    <t>Existing Schedule - New Wage</t>
  </si>
  <si>
    <t>Annual</t>
  </si>
  <si>
    <t>Based on XX days</t>
  </si>
  <si>
    <t>Years Exp</t>
  </si>
  <si>
    <t xml:space="preserve">HS </t>
  </si>
  <si>
    <t>BA+</t>
  </si>
  <si>
    <t>Teacher Certified</t>
  </si>
  <si>
    <t>River A</t>
  </si>
  <si>
    <t>Pay - HS</t>
  </si>
  <si>
    <t>Annual Increase</t>
  </si>
  <si>
    <t>Pay - BA+</t>
  </si>
  <si>
    <t>Pay - Cert</t>
  </si>
  <si>
    <t>Karen B</t>
  </si>
  <si>
    <t>Kendra E</t>
  </si>
  <si>
    <t>Tami H</t>
  </si>
  <si>
    <t>Teacher Cert</t>
  </si>
  <si>
    <t>Allie K</t>
  </si>
  <si>
    <t xml:space="preserve">Marlee L </t>
  </si>
  <si>
    <t>HS</t>
  </si>
  <si>
    <t>Taylor S</t>
  </si>
  <si>
    <t>Kermit S</t>
  </si>
  <si>
    <t>Kathy W</t>
  </si>
  <si>
    <t>Dona O</t>
  </si>
  <si>
    <t>OTHER HELPFUL CONTEXT</t>
  </si>
  <si>
    <t>Annual increases of 3% - matches admin team and is the average annual increase for teachers; aligned with average % increase for employers in general</t>
  </si>
  <si>
    <t>Starting classified salary in BSD is $13/hr so I think, at a minimum, we should increase the HS folks from $12 to $13</t>
  </si>
  <si>
    <t>Changed the BA+ to $14.50 so it was "in the middle" of our lowest (HS @ $12) and highest (Teacher Cert @ $16) rungs</t>
  </si>
  <si>
    <t xml:space="preserve">Starting teacher salary is $19.59 per hour (they get paid all year round so still more $ annually) </t>
  </si>
  <si>
    <t xml:space="preserve">Tami (and anyone certified) is expensive - are we maximizing her expertise? </t>
  </si>
  <si>
    <r>
      <rPr>
        <b/>
        <sz val="12"/>
        <color rgb="FFFFFFFF"/>
        <rFont val="Calibri"/>
        <family val="2"/>
      </rPr>
      <t xml:space="preserve">Future Salary Schedule 2022-2023 - INTERVENTION SPECIALISTS </t>
    </r>
    <r>
      <rPr>
        <b/>
        <sz val="12"/>
        <color rgb="FFFFFF00"/>
        <rFont val="Calibri"/>
        <family val="2"/>
      </rPr>
      <t xml:space="preserve">(OPTION 1 - BASED ON LAST YEAR) </t>
    </r>
  </si>
  <si>
    <t xml:space="preserve">Based on 179 days (173 billable days) </t>
  </si>
  <si>
    <t>BILLABLE RATE</t>
  </si>
  <si>
    <t>Nicole R</t>
  </si>
  <si>
    <t>Specialist</t>
  </si>
  <si>
    <t>BI, Intervention Paraprofessional</t>
  </si>
  <si>
    <t>BI, Intervention Specialist</t>
  </si>
  <si>
    <t xml:space="preserve">BI, Intervention Professional </t>
  </si>
  <si>
    <t>Katie M</t>
  </si>
  <si>
    <t>Pay - Para</t>
  </si>
  <si>
    <t>Pay -  Spec</t>
  </si>
  <si>
    <t>Pay - Prof</t>
  </si>
  <si>
    <t>Ariel T</t>
  </si>
  <si>
    <t>Brooke P</t>
  </si>
  <si>
    <t>Amber L</t>
  </si>
  <si>
    <t xml:space="preserve">Professional </t>
  </si>
  <si>
    <t>McKenna M</t>
  </si>
  <si>
    <t>Andrew C</t>
  </si>
  <si>
    <t>Kim R</t>
  </si>
  <si>
    <t>Allie E</t>
  </si>
  <si>
    <t>Natasha B</t>
  </si>
  <si>
    <t>Erin M</t>
  </si>
  <si>
    <t>Lucy D</t>
  </si>
  <si>
    <t>Annual gain</t>
  </si>
  <si>
    <t>Total Hours</t>
  </si>
  <si>
    <t xml:space="preserve">SUPPORTS COMPUTATION TABLES FOR PUPIL SERVICES </t>
  </si>
  <si>
    <t>SUPPORTS COMPUTATION TABLES FOR TEACHERS</t>
  </si>
  <si>
    <t>Per PY ADA:</t>
  </si>
  <si>
    <t>FY24:</t>
  </si>
  <si>
    <t>Audited
2022-2023</t>
  </si>
  <si>
    <t>Current Budget
2023-2024</t>
  </si>
  <si>
    <t>Amended Budget
2023-2024</t>
  </si>
  <si>
    <t>Budgeted
2024-2025</t>
  </si>
  <si>
    <t>Projected
2029-2030</t>
  </si>
  <si>
    <t>Per SDE for FY25</t>
  </si>
  <si>
    <t>PERSI EMPLOYER CONTRIBUTION RATES - GEN MEMBER</t>
  </si>
  <si>
    <t>PERSI EMPLOYER CONTRIBUTION RATES - SCHOOL EE</t>
  </si>
  <si>
    <t>2029-2030</t>
  </si>
  <si>
    <t>Inc. PY Cost by % in row 10 - inflation</t>
  </si>
  <si>
    <t>Inc. PY Cost by % in row 9 - inflation</t>
  </si>
  <si>
    <t>Career Ladder</t>
  </si>
  <si>
    <t>Per Law</t>
  </si>
  <si>
    <t>Enter Actual Comp If Different</t>
  </si>
  <si>
    <t>FY 25 - GONE</t>
  </si>
  <si>
    <t>School Facilities Maint Match - Gone FY25</t>
  </si>
  <si>
    <t>FY25 $2000 per person + 422.60 benefits</t>
  </si>
  <si>
    <t>FY25 $8,000 + $449 per FTE instructional &amp; pupil svcs</t>
  </si>
  <si>
    <t>FY25 $1,500 +126 per FTE</t>
  </si>
  <si>
    <t xml:space="preserve">FY25 Budget $20 per student for each section in which the student does not meet proficiency on the ISAT. </t>
  </si>
  <si>
    <t>Enter Manually:</t>
  </si>
  <si>
    <t>FY25 $400 per ADA</t>
  </si>
  <si>
    <t>FY 25 see formula</t>
  </si>
  <si>
    <t>Digital Content &amp; Curriculum</t>
  </si>
  <si>
    <t>FY 25 TBD, old formula left in for now</t>
  </si>
  <si>
    <t>FY25 $227 per identified EL student</t>
  </si>
  <si>
    <t>FY25 $387 per K enrolled + $390 per remaining + increasing + $292.5 per Econ Dis</t>
  </si>
  <si>
    <t>Do not delete these columns, data needed for funding formula</t>
  </si>
  <si>
    <t>(Enrl Chng + Inflat)</t>
  </si>
  <si>
    <t>Resulting Administrative Index for Salary Apportionment Formula</t>
  </si>
  <si>
    <t>Years of experience current yr.</t>
  </si>
  <si>
    <t>FY25 See Formula</t>
  </si>
  <si>
    <t>FY25 $2,000 + 13.00 x prior year ADA</t>
  </si>
  <si>
    <t>School Facilities Funding (Lottery) Gone FY25 for now</t>
  </si>
  <si>
    <t>Technology</t>
  </si>
  <si>
    <t>Wiesmore, Kristina</t>
  </si>
  <si>
    <t>Erikson, Jessica</t>
  </si>
  <si>
    <t>Grade 4</t>
  </si>
  <si>
    <t>Grade 5</t>
  </si>
  <si>
    <t>Grades 4-9 Music</t>
  </si>
  <si>
    <t>Browning, Gail</t>
  </si>
  <si>
    <t>Walker, Jennifer</t>
  </si>
  <si>
    <t>Belliston, Michelle</t>
  </si>
  <si>
    <t>Clifton, Kerena</t>
  </si>
  <si>
    <t>Grades 6-8 Math</t>
  </si>
  <si>
    <t>Rasmussen, Lily</t>
  </si>
  <si>
    <t>Grades 6-8 Science</t>
  </si>
  <si>
    <t>Child, Heidi</t>
  </si>
  <si>
    <t>Hilverda, Chellee</t>
  </si>
  <si>
    <t>Richard, Brianne</t>
  </si>
  <si>
    <t>McClane, Ailie</t>
  </si>
  <si>
    <t>Office Staff</t>
  </si>
  <si>
    <t>Paraprofessionals</t>
  </si>
  <si>
    <t>Alvey, Shannon</t>
  </si>
  <si>
    <t>O'Connell, Lynn</t>
  </si>
  <si>
    <t>Rickards, Joanne</t>
  </si>
  <si>
    <t>Knight, Susan</t>
  </si>
  <si>
    <t>Slagel, Hanna</t>
  </si>
  <si>
    <t>Barrett, Laura</t>
  </si>
  <si>
    <t>TBD</t>
  </si>
  <si>
    <t>Applewhite, Nicole</t>
  </si>
  <si>
    <t>Grades 6-9 Lang Arts</t>
  </si>
  <si>
    <t>Grades 6-9 History</t>
  </si>
  <si>
    <t>Frandsen, Bryce</t>
  </si>
  <si>
    <t>Cann, Jessica</t>
  </si>
  <si>
    <t>Grade 9 Math</t>
  </si>
  <si>
    <t>Riley, Kevin</t>
  </si>
  <si>
    <t>Grades 9-12 Math</t>
  </si>
  <si>
    <t>Maikranz, Brittany</t>
  </si>
  <si>
    <t>Walters, Bethany</t>
  </si>
  <si>
    <t>Helm, Brooke</t>
  </si>
  <si>
    <t>Kelsy, Heather</t>
  </si>
  <si>
    <t>CTE - Part-Time</t>
  </si>
  <si>
    <t>Physical Eduation</t>
  </si>
  <si>
    <t>Spanish</t>
  </si>
  <si>
    <t>SPED / ELL Migrant</t>
  </si>
  <si>
    <t>Grades 9-12 English</t>
  </si>
  <si>
    <t>Teacher Name - TBD Stipend</t>
  </si>
  <si>
    <t>After School Club Lead</t>
  </si>
  <si>
    <t>After School Homework</t>
  </si>
  <si>
    <t>Sunshine Coordinator</t>
  </si>
  <si>
    <t>100-515115-000-000-0</t>
  </si>
  <si>
    <t>100-515115-100-000-0</t>
  </si>
  <si>
    <t>K-6 STIPENDS</t>
  </si>
  <si>
    <t>SECONDARY STIPENDS</t>
  </si>
  <si>
    <t>SECONDARY TRAVEL/PURCHASED SERVICE</t>
  </si>
  <si>
    <t>SECONDARY SUPPLIES</t>
  </si>
  <si>
    <t>100-515400-000-000-0</t>
  </si>
  <si>
    <t>100-515440-000-000-0</t>
  </si>
  <si>
    <t>SECONDARY CURRICULUM</t>
  </si>
  <si>
    <t>100-515550-000-000-0</t>
  </si>
  <si>
    <t>SECONDARY EQUIPMENT</t>
  </si>
  <si>
    <t>SECONDARY SUBSTITUTE PAY</t>
  </si>
  <si>
    <t>TRANSPORTATION - FIELD TRIPS</t>
  </si>
  <si>
    <t>100-515500-000-000-0</t>
  </si>
  <si>
    <t>SECONDARY EQUIPMENT - TECHNOLOGY</t>
  </si>
  <si>
    <t>100-512500-100-000-0</t>
  </si>
  <si>
    <t>K-6 EQUIPMENT - TECHNOLOGY</t>
  </si>
  <si>
    <t>100-512400-100-000-0</t>
  </si>
  <si>
    <t>K-6 SUPPLIES - SCIENCE</t>
  </si>
  <si>
    <t>ISBA DUES</t>
  </si>
  <si>
    <t>100-641300-100-000-0</t>
  </si>
  <si>
    <t>100-641300-200-000-0</t>
  </si>
  <si>
    <t>SOFTWARE - 2M</t>
  </si>
  <si>
    <t>NURSE SERVICES</t>
  </si>
  <si>
    <t>100-641300-300-000-0</t>
  </si>
  <si>
    <t>Grades 9-12 Science</t>
  </si>
  <si>
    <t>Idso, Rachel</t>
  </si>
  <si>
    <t>Wall, Heather</t>
  </si>
  <si>
    <t>DIFFERENCE BETWEEN YOUR SALARY SCHEDULE AND THE CAREER LADDER</t>
  </si>
  <si>
    <t>CUSTOM SALARY SCHEDULE (IF DESIRED)</t>
  </si>
  <si>
    <t>CUSTOM SALARY SCHEDULE (IF APPLICABLE)</t>
  </si>
  <si>
    <t>If you want to increase last year's by a fixed percentage - enter it here:</t>
  </si>
  <si>
    <t>A positve number means your custom schedule is higher than the career ladder</t>
  </si>
  <si>
    <t>ENTER LAST YEAR'S CUSTOM SALARY SCHEDULE HERE</t>
  </si>
  <si>
    <t>There is a formula in each cell, you can overwrite it</t>
  </si>
  <si>
    <t>2024-2025
Base</t>
  </si>
  <si>
    <t>2024-2025
BA+24</t>
  </si>
  <si>
    <t>2024-2025
MA/DR/ES</t>
  </si>
  <si>
    <t>2023-2024
Base</t>
  </si>
  <si>
    <t>203-2024
BA+24</t>
  </si>
  <si>
    <t>2023-2024
MA/DR/ES</t>
  </si>
  <si>
    <t>n/a</t>
  </si>
  <si>
    <t>Increase From Going Up Ladder</t>
  </si>
  <si>
    <t>Increase if you Don't Move Up the Ladder</t>
  </si>
  <si>
    <t>CAREER LADDER LAW 2024-2025</t>
  </si>
  <si>
    <t>Dollars</t>
  </si>
  <si>
    <t>%</t>
  </si>
  <si>
    <t>Under current law, Residency Rungs do not qualify for the $2000 BA+24 increase or the $3,500 Masters+ increase</t>
  </si>
  <si>
    <t>RISE CHARTER SCHOOL</t>
  </si>
  <si>
    <t>2023-2024 Contract Amount</t>
  </si>
  <si>
    <t>Percentage Diff</t>
  </si>
  <si>
    <t>2023-2024  Hourly Rate</t>
  </si>
  <si>
    <t>2023-2024
BA+24</t>
  </si>
  <si>
    <t>K-6 CURRICULUM</t>
  </si>
  <si>
    <t>K-6 FURNITURE &amp; EQUIPMENT</t>
  </si>
  <si>
    <t>Adjust Literacy Funds from Para or Cert</t>
  </si>
  <si>
    <t>LITERACY PURCHASED SERVICE</t>
  </si>
  <si>
    <t>LITERACY SUPPLIES</t>
  </si>
  <si>
    <t>K-6 SALARIES - CERTIFIED</t>
  </si>
  <si>
    <t>K-6 SALARIES - CLASSIFIED</t>
  </si>
  <si>
    <t>LITERACY SALARIES - CERTIFIED</t>
  </si>
  <si>
    <t>LITERACY SALARIES - CLASSIFIED</t>
  </si>
  <si>
    <t>SECONDARY SALARIES - CERTIFIED</t>
  </si>
  <si>
    <t>SECONDARY SALARIES - CLASSIFIED</t>
  </si>
  <si>
    <t>100-515165-000-000-0</t>
  </si>
  <si>
    <t>100-512115-100-000-0</t>
  </si>
  <si>
    <t>KSD SUPPLEMENTAL LEVY</t>
  </si>
  <si>
    <t>LGIP INTEREST REVENUE</t>
  </si>
  <si>
    <t>Built in Additional 10%</t>
  </si>
  <si>
    <t>Goodwin, Dennis</t>
  </si>
  <si>
    <t>Additional Stipends - TBD</t>
  </si>
  <si>
    <t>Otto, Rebecca</t>
  </si>
  <si>
    <t>QUOTE RECEIVED</t>
  </si>
  <si>
    <t>DO NOT USE</t>
  </si>
  <si>
    <t>Lowman, Grace</t>
  </si>
  <si>
    <t>100-621300-000-000-0</t>
  </si>
  <si>
    <t>100-621320-000-000-0</t>
  </si>
  <si>
    <t>STAFF DEVELOPMENT</t>
  </si>
  <si>
    <t>DUES FEES TRAVEL</t>
  </si>
  <si>
    <t>DONATIONS/CONTRIBUTIONS</t>
  </si>
  <si>
    <t>FEDERAL CSP GRANT</t>
  </si>
  <si>
    <t>285-515550-000-000-0</t>
  </si>
  <si>
    <t>FURNITURE/FIXTURES - SECONDARY</t>
  </si>
  <si>
    <t>Supplemental/Additional Discretionary</t>
  </si>
  <si>
    <t>FY24 Only</t>
  </si>
  <si>
    <t>UNITED WAY COMMUNITY IMPACT FUND</t>
  </si>
  <si>
    <t>AWARE GRANT</t>
  </si>
  <si>
    <t>FIRST FEDERAL SAVINGS BANK GRANT</t>
  </si>
  <si>
    <t>WILBER-ELLIS GRANT</t>
  </si>
  <si>
    <t xml:space="preserve">  UNITED WAY COMMUNITY IMPACT FUND</t>
  </si>
  <si>
    <t>230-515300-000-000-0</t>
  </si>
  <si>
    <t>PURCHASED SERVICE - UNITED WAY</t>
  </si>
  <si>
    <t>230-515400-000-000-0</t>
  </si>
  <si>
    <t>SUPPLIES - UNITED WAY GRANT</t>
  </si>
  <si>
    <t>230-515500-000-000-0</t>
  </si>
  <si>
    <t>EQUIPMENT - UNITED WAY GRANT</t>
  </si>
  <si>
    <t>236-515300-000-000-0</t>
  </si>
  <si>
    <t>PURCHASED SERVICE - FIRST FEDERAL</t>
  </si>
  <si>
    <t>236-515400-000-000-0</t>
  </si>
  <si>
    <t>SUPPLIES - FIRST FEDERAL GRANT</t>
  </si>
  <si>
    <t>231-632300-000-000-0</t>
  </si>
  <si>
    <t>PURCHASED SERVICES - AWARE GRANT</t>
  </si>
  <si>
    <t>231-632400-000-000-0</t>
  </si>
  <si>
    <t>SUPPLIES - AWARE GRANT</t>
  </si>
  <si>
    <t>231-632500-000-000-0</t>
  </si>
  <si>
    <t>EQUIPMENT - AWARE GRANT</t>
  </si>
  <si>
    <t>237-515300-000-000-0</t>
  </si>
  <si>
    <t>PURCHASED SERVICE - WILBER-ELLIS</t>
  </si>
  <si>
    <t>237-515400-000-000-0</t>
  </si>
  <si>
    <t>SUPPLIES - WILBER-ELLIS GRANT</t>
  </si>
  <si>
    <t>100-632115-000-000-0</t>
  </si>
  <si>
    <t>PUPIL SERVICES SALARIES</t>
  </si>
  <si>
    <t>100-632115-002-000-0</t>
  </si>
  <si>
    <t>100-632110-000-000-0</t>
  </si>
  <si>
    <t>SALARIES - ADMINISTRATION</t>
  </si>
  <si>
    <t>OFFICE SALARIES</t>
  </si>
  <si>
    <t>100-632210-000-000-0</t>
  </si>
  <si>
    <t>100-632220-000-000-0</t>
  </si>
  <si>
    <t>100-632240-000-000-0</t>
  </si>
  <si>
    <t>Grade 2</t>
  </si>
  <si>
    <t>Grade 3</t>
  </si>
  <si>
    <t>Teacher Name - TBD FY 25/26</t>
  </si>
  <si>
    <t>Audited
2023-2024</t>
  </si>
  <si>
    <t>285-512400-100-000-0</t>
  </si>
  <si>
    <t>SUPPLIES - ELEMENTARY SCIENCE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</si>
</sst>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6" formatCode="&quot;$&quot;#,##0_);[Red]\(&quot;$&quot;#,##0\)"/>
    <numFmt numFmtId="8" formatCode="&quot;$&quot;#,##0.00_);[Red]\(&quot;$&quot;#,##0.00\)"/>
    <numFmt numFmtId="41" formatCode="_(* #,##0_);_(* \(#,##0\);_(* &quot;-&quot;_);_(@_)"/>
    <numFmt numFmtId="44" formatCode="_(&quot;$&quot;* #,##0.00_);_(&quot;$&quot;* \(#,##0.00\);_(&quot;$&quot;* &quot;-&quot;??_);_(@_)"/>
    <numFmt numFmtId="43" formatCode="_(* #,##0.00_);_(* \(#,##0.00\);_(* &quot;-&quot;??_);_(@_)"/>
    <numFmt numFmtId="164" formatCode="0.0"/>
    <numFmt numFmtId="165" formatCode="_(* #,##0_);_(* \(#,##0\);_(* &quot;-&quot;??_);_(@_)"/>
    <numFmt numFmtId="166" formatCode="&quot;$&quot;#,##0"/>
    <numFmt numFmtId="167" formatCode="#,##0.00000_);\(#,##0.00000\)"/>
    <numFmt numFmtId="168" formatCode="000"/>
    <numFmt numFmtId="169" formatCode="0.00000"/>
    <numFmt numFmtId="170" formatCode="#,##0.00000"/>
    <numFmt numFmtId="171" formatCode="0.000000"/>
    <numFmt numFmtId="172" formatCode="0.0%"/>
    <numFmt numFmtId="173" formatCode="0.0000"/>
    <numFmt numFmtId="174" formatCode="_(* #,##0.00000_);_(* \(#,##0.00000\);_(* &quot;-&quot;?????_);_(@_)"/>
    <numFmt numFmtId="175" formatCode="_(&quot;$&quot;* #,##0_);_(&quot;$&quot;* \(#,##0\);_(&quot;$&quot;* &quot;-&quot;??_);_(@_)"/>
    <numFmt numFmtId="176" formatCode="_(* #,##0.0_);_(* \(#,##0.0\);_(* &quot;-&quot;??_);_(@_)"/>
    <numFmt numFmtId="177" formatCode="&quot;$&quot;#,##0.00"/>
    <numFmt numFmtId="178" formatCode="#,##0.0_);\(#,##0.0\)"/>
    <numFmt numFmtId="179" formatCode="_(* #,##0.0_);_(* \(#,##0.0\);_(* &quot;-&quot;?_);_(@_)"/>
    <numFmt numFmtId="180" formatCode="0.00\x"/>
    <numFmt numFmtId="181" formatCode="_(* #,##0.00_);_(* \(#,##0.00\);_(* &quot;-&quot;_);_(@_)"/>
  </numFmts>
  <fonts count="142">
    <font>
      <sz val="11"/>
      <color theme="1"/>
      <name val="Calibri"/>
      <family val="2"/>
      <scheme val="minor"/>
    </font>
    <font>
      <sz val="11"/>
      <color theme="1"/>
      <name val="Calibri"/>
      <family val="2"/>
    </font>
    <font>
      <sz val="11"/>
      <color theme="1"/>
      <name val="Calibri"/>
      <family val="2"/>
      <scheme val="minor"/>
    </font>
    <font>
      <b/>
      <sz val="11"/>
      <color theme="1"/>
      <name val="Calibri"/>
      <family val="2"/>
      <scheme val="minor"/>
    </font>
    <font>
      <sz val="10"/>
      <name val="Arial"/>
      <family val="2"/>
    </font>
    <font>
      <sz val="16"/>
      <name val="Arial"/>
      <family val="2"/>
    </font>
    <font>
      <sz val="12"/>
      <name val="Arial"/>
      <family val="2"/>
    </font>
    <font>
      <u/>
      <sz val="10"/>
      <name val="Arial"/>
      <family val="2"/>
    </font>
    <font>
      <sz val="10"/>
      <color indexed="48"/>
      <name val="Arial"/>
      <family val="2"/>
    </font>
    <font>
      <sz val="10"/>
      <color indexed="12"/>
      <name val="Arial"/>
      <family val="2"/>
    </font>
    <font>
      <sz val="11"/>
      <name val="Arial"/>
      <family val="2"/>
    </font>
    <font>
      <sz val="10"/>
      <color indexed="22"/>
      <name val="Arial"/>
      <family val="2"/>
    </font>
    <font>
      <sz val="10"/>
      <color indexed="10"/>
      <name val="Arial"/>
      <family val="2"/>
    </font>
    <font>
      <sz val="10"/>
      <name val="Arial"/>
      <family val="2"/>
    </font>
    <font>
      <sz val="9"/>
      <name val="Arial"/>
      <family val="2"/>
    </font>
    <font>
      <b/>
      <sz val="12"/>
      <name val="Arial"/>
      <family val="2"/>
    </font>
    <font>
      <sz val="10"/>
      <color indexed="9"/>
      <name val="Arial"/>
      <family val="2"/>
    </font>
    <font>
      <sz val="12"/>
      <name val="Symbol"/>
      <family val="1"/>
      <charset val="2"/>
    </font>
    <font>
      <sz val="8"/>
      <name val="Arial"/>
      <family val="2"/>
    </font>
    <font>
      <b/>
      <sz val="12"/>
      <color indexed="9"/>
      <name val="Arial"/>
      <family val="2"/>
    </font>
    <font>
      <u/>
      <sz val="12"/>
      <name val="Arial"/>
      <family val="2"/>
    </font>
    <font>
      <sz val="11"/>
      <name val="Calibri"/>
      <family val="2"/>
      <scheme val="minor"/>
    </font>
    <font>
      <b/>
      <sz val="11"/>
      <name val="Calibri"/>
      <family val="2"/>
      <scheme val="minor"/>
    </font>
    <font>
      <b/>
      <sz val="11"/>
      <color theme="9" tint="-0.499984740745262"/>
      <name val="Calibri"/>
      <family val="2"/>
      <scheme val="minor"/>
    </font>
    <font>
      <b/>
      <sz val="10"/>
      <name val="Arial"/>
      <family val="2"/>
    </font>
    <font>
      <b/>
      <sz val="10"/>
      <color indexed="12"/>
      <name val="Arial"/>
      <family val="2"/>
    </font>
    <font>
      <b/>
      <sz val="10"/>
      <color indexed="10"/>
      <name val="Arial"/>
      <family val="2"/>
    </font>
    <font>
      <b/>
      <sz val="10"/>
      <color indexed="8"/>
      <name val="Arial"/>
      <family val="2"/>
    </font>
    <font>
      <b/>
      <sz val="10"/>
      <color rgb="FFFF0000"/>
      <name val="Arial"/>
      <family val="2"/>
    </font>
    <font>
      <sz val="11"/>
      <color indexed="12"/>
      <name val="Arial"/>
      <family val="2"/>
    </font>
    <font>
      <sz val="11"/>
      <color rgb="FF0000FF"/>
      <name val="Arial"/>
      <family val="2"/>
    </font>
    <font>
      <sz val="11"/>
      <color indexed="14"/>
      <name val="Arial"/>
      <family val="2"/>
    </font>
    <font>
      <sz val="11"/>
      <color indexed="22"/>
      <name val="Arial"/>
      <family val="2"/>
    </font>
    <font>
      <sz val="11"/>
      <color indexed="9"/>
      <name val="Arial"/>
      <family val="2"/>
    </font>
    <font>
      <b/>
      <sz val="7.5"/>
      <color indexed="8"/>
      <name val="Arial"/>
      <family val="2"/>
    </font>
    <font>
      <b/>
      <sz val="7.5"/>
      <name val="Arial"/>
      <family val="2"/>
    </font>
    <font>
      <b/>
      <sz val="7.5"/>
      <color indexed="10"/>
      <name val="Arial"/>
      <family val="2"/>
    </font>
    <font>
      <b/>
      <sz val="7.5"/>
      <color indexed="12"/>
      <name val="Arial"/>
      <family val="2"/>
    </font>
    <font>
      <sz val="7.5"/>
      <name val="Arial"/>
      <family val="2"/>
    </font>
    <font>
      <sz val="7.5"/>
      <color indexed="10"/>
      <name val="Arial"/>
      <family val="2"/>
    </font>
    <font>
      <b/>
      <sz val="8"/>
      <color indexed="10"/>
      <name val="Arial"/>
      <family val="2"/>
    </font>
    <font>
      <b/>
      <sz val="9"/>
      <name val="Calibri"/>
      <family val="2"/>
      <scheme val="minor"/>
    </font>
    <font>
      <sz val="9"/>
      <name val="Calibri"/>
      <family val="2"/>
      <scheme val="minor"/>
    </font>
    <font>
      <sz val="9"/>
      <color theme="1"/>
      <name val="Calibri"/>
      <family val="2"/>
      <scheme val="minor"/>
    </font>
    <font>
      <b/>
      <sz val="9"/>
      <color rgb="FF0000FF"/>
      <name val="Calibri"/>
      <family val="2"/>
      <scheme val="minor"/>
    </font>
    <font>
      <b/>
      <sz val="9"/>
      <color theme="1"/>
      <name val="Calibri"/>
      <family val="2"/>
      <scheme val="minor"/>
    </font>
    <font>
      <b/>
      <sz val="9"/>
      <color rgb="FFFF0000"/>
      <name val="Calibri"/>
      <family val="2"/>
      <scheme val="minor"/>
    </font>
    <font>
      <sz val="10"/>
      <name val="Calibri"/>
      <family val="2"/>
      <scheme val="minor"/>
    </font>
    <font>
      <sz val="10"/>
      <color rgb="FF0000FF"/>
      <name val="Calibri"/>
      <family val="2"/>
      <scheme val="minor"/>
    </font>
    <font>
      <b/>
      <u/>
      <sz val="10"/>
      <color rgb="FF0000FF"/>
      <name val="Calibri"/>
      <family val="2"/>
      <scheme val="minor"/>
    </font>
    <font>
      <sz val="10"/>
      <color theme="1"/>
      <name val="Calibri"/>
      <family val="2"/>
      <scheme val="minor"/>
    </font>
    <font>
      <b/>
      <sz val="10"/>
      <color rgb="FF0000FF"/>
      <name val="Calibri"/>
      <family val="2"/>
      <scheme val="minor"/>
    </font>
    <font>
      <b/>
      <sz val="10"/>
      <name val="Calibri"/>
      <family val="2"/>
      <scheme val="minor"/>
    </font>
    <font>
      <b/>
      <sz val="10"/>
      <color rgb="FFFF0000"/>
      <name val="Calibri"/>
      <family val="2"/>
      <scheme val="minor"/>
    </font>
    <font>
      <b/>
      <i/>
      <u/>
      <sz val="10"/>
      <color rgb="FF0000FF"/>
      <name val="Calibri"/>
      <family val="2"/>
      <scheme val="minor"/>
    </font>
    <font>
      <sz val="10"/>
      <color rgb="FFFF0000"/>
      <name val="Calibri"/>
      <family val="2"/>
      <scheme val="minor"/>
    </font>
    <font>
      <b/>
      <sz val="10"/>
      <color theme="1"/>
      <name val="Calibri"/>
      <family val="2"/>
      <scheme val="minor"/>
    </font>
    <font>
      <b/>
      <u/>
      <sz val="10"/>
      <color rgb="FFFF0000"/>
      <name val="Calibri"/>
      <family val="2"/>
      <scheme val="minor"/>
    </font>
    <font>
      <b/>
      <sz val="10"/>
      <color rgb="FF0000FF"/>
      <name val="Arial"/>
      <family val="2"/>
    </font>
    <font>
      <sz val="10"/>
      <color rgb="FF0000FF"/>
      <name val="Arial"/>
      <family val="2"/>
    </font>
    <font>
      <b/>
      <sz val="8"/>
      <name val="Arial"/>
      <family val="2"/>
    </font>
    <font>
      <b/>
      <sz val="11"/>
      <color theme="0"/>
      <name val="Calibri"/>
      <family val="2"/>
      <scheme val="minor"/>
    </font>
    <font>
      <i/>
      <sz val="11"/>
      <color theme="1"/>
      <name val="Calibri"/>
      <family val="2"/>
      <scheme val="minor"/>
    </font>
    <font>
      <b/>
      <sz val="12"/>
      <color theme="1"/>
      <name val="Calibri"/>
      <family val="2"/>
      <scheme val="minor"/>
    </font>
    <font>
      <b/>
      <sz val="14"/>
      <color theme="1"/>
      <name val="Calibri"/>
      <family val="2"/>
      <scheme val="minor"/>
    </font>
    <font>
      <sz val="8"/>
      <color theme="1"/>
      <name val="Calibri"/>
      <family val="2"/>
      <scheme val="minor"/>
    </font>
    <font>
      <sz val="10"/>
      <color rgb="FF000000"/>
      <name val="Arial"/>
      <family val="2"/>
    </font>
    <font>
      <sz val="11"/>
      <color rgb="FF000000"/>
      <name val="Calibri"/>
      <family val="2"/>
    </font>
    <font>
      <b/>
      <sz val="11"/>
      <color rgb="FFC00000"/>
      <name val="Calibri"/>
      <family val="2"/>
      <scheme val="minor"/>
    </font>
    <font>
      <i/>
      <sz val="10"/>
      <color theme="1"/>
      <name val="Calibri"/>
      <family val="2"/>
      <scheme val="minor"/>
    </font>
    <font>
      <sz val="11"/>
      <color theme="0"/>
      <name val="Calibri"/>
      <family val="2"/>
      <scheme val="minor"/>
    </font>
    <font>
      <b/>
      <sz val="14"/>
      <color theme="9" tint="-0.499984740745262"/>
      <name val="Calibri"/>
      <family val="2"/>
      <scheme val="minor"/>
    </font>
    <font>
      <sz val="12"/>
      <color theme="1"/>
      <name val="Calibri"/>
      <family val="2"/>
      <scheme val="minor"/>
    </font>
    <font>
      <sz val="11"/>
      <name val="Calibri"/>
      <family val="2"/>
    </font>
    <font>
      <sz val="11"/>
      <color rgb="FF980000"/>
      <name val="Calibri"/>
      <family val="2"/>
    </font>
    <font>
      <b/>
      <sz val="11"/>
      <color rgb="FF000000"/>
      <name val="Calibri"/>
      <family val="2"/>
    </font>
    <font>
      <sz val="10"/>
      <color rgb="FF000000"/>
      <name val="Times New Roman"/>
      <family val="1"/>
    </font>
    <font>
      <b/>
      <sz val="11"/>
      <color rgb="FFFF0000"/>
      <name val="Calibri"/>
      <family val="2"/>
      <scheme val="minor"/>
    </font>
    <font>
      <sz val="12"/>
      <color rgb="FFFF0000"/>
      <name val="Arial"/>
      <family val="2"/>
    </font>
    <font>
      <b/>
      <i/>
      <sz val="14"/>
      <color rgb="FFFF0000"/>
      <name val="Calibri"/>
      <family val="2"/>
      <scheme val="minor"/>
    </font>
    <font>
      <b/>
      <i/>
      <u/>
      <sz val="10"/>
      <color indexed="12"/>
      <name val="Arial"/>
      <family val="2"/>
    </font>
    <font>
      <b/>
      <i/>
      <u/>
      <sz val="10"/>
      <color rgb="FFFF0000"/>
      <name val="Calibri"/>
      <family val="2"/>
      <scheme val="minor"/>
    </font>
    <font>
      <i/>
      <sz val="10"/>
      <color rgb="FF0000FF"/>
      <name val="Calibri"/>
      <family val="2"/>
      <scheme val="minor"/>
    </font>
    <font>
      <b/>
      <i/>
      <sz val="10"/>
      <color indexed="12"/>
      <name val="Arial"/>
      <family val="2"/>
    </font>
    <font>
      <sz val="8"/>
      <name val="Calibri"/>
      <family val="2"/>
      <scheme val="minor"/>
    </font>
    <font>
      <b/>
      <u/>
      <sz val="8"/>
      <color rgb="FF0000FF"/>
      <name val="Calibri"/>
      <family val="2"/>
      <scheme val="minor"/>
    </font>
    <font>
      <b/>
      <sz val="8"/>
      <color rgb="FFFF0000"/>
      <name val="Arial"/>
      <family val="2"/>
    </font>
    <font>
      <b/>
      <u/>
      <sz val="9"/>
      <color rgb="FFFF0000"/>
      <name val="Calibri"/>
      <family val="2"/>
      <scheme val="minor"/>
    </font>
    <font>
      <b/>
      <u/>
      <sz val="9"/>
      <color rgb="FF0000FF"/>
      <name val="Calibri"/>
      <family val="2"/>
      <scheme val="minor"/>
    </font>
    <font>
      <sz val="8"/>
      <color rgb="FFFF0000"/>
      <name val="Arial"/>
      <family val="2"/>
    </font>
    <font>
      <b/>
      <sz val="9"/>
      <color indexed="81"/>
      <name val="Tahoma"/>
      <family val="2"/>
    </font>
    <font>
      <b/>
      <sz val="16"/>
      <color theme="1"/>
      <name val="Calibri"/>
      <family val="2"/>
      <scheme val="minor"/>
    </font>
    <font>
      <sz val="16"/>
      <color theme="1"/>
      <name val="Calibri"/>
      <family val="2"/>
      <scheme val="minor"/>
    </font>
    <font>
      <b/>
      <i/>
      <sz val="11"/>
      <color rgb="FFC00000"/>
      <name val="Calibri"/>
      <family val="2"/>
      <scheme val="minor"/>
    </font>
    <font>
      <sz val="11"/>
      <color rgb="FFC00000"/>
      <name val="Calibri"/>
      <family val="2"/>
      <scheme val="minor"/>
    </font>
    <font>
      <b/>
      <sz val="10"/>
      <color rgb="FFC00000"/>
      <name val="Calibri"/>
      <family val="2"/>
      <scheme val="minor"/>
    </font>
    <font>
      <b/>
      <i/>
      <sz val="10"/>
      <color rgb="FFC00000"/>
      <name val="Calibri"/>
      <family val="2"/>
      <scheme val="minor"/>
    </font>
    <font>
      <b/>
      <i/>
      <sz val="11"/>
      <color theme="1"/>
      <name val="Calibri"/>
      <family val="2"/>
      <scheme val="minor"/>
    </font>
    <font>
      <b/>
      <sz val="9"/>
      <color rgb="FFC00000"/>
      <name val="Calibri"/>
      <family val="2"/>
      <scheme val="minor"/>
    </font>
    <font>
      <b/>
      <sz val="11"/>
      <color theme="8" tint="-0.499984740745262"/>
      <name val="Calibri"/>
      <family val="2"/>
      <scheme val="minor"/>
    </font>
    <font>
      <sz val="9"/>
      <color indexed="81"/>
      <name val="Tahoma"/>
      <family val="2"/>
    </font>
    <font>
      <b/>
      <sz val="8"/>
      <color theme="1"/>
      <name val="Calibri"/>
      <family val="2"/>
      <scheme val="minor"/>
    </font>
    <font>
      <b/>
      <sz val="8"/>
      <color rgb="FFC00000"/>
      <name val="Calibri"/>
      <family val="2"/>
      <scheme val="minor"/>
    </font>
    <font>
      <b/>
      <i/>
      <sz val="11"/>
      <color theme="9" tint="-0.499984740745262"/>
      <name val="Calibri"/>
      <family val="2"/>
      <scheme val="minor"/>
    </font>
    <font>
      <b/>
      <sz val="18"/>
      <color theme="1"/>
      <name val="Calibri"/>
      <family val="2"/>
      <scheme val="minor"/>
    </font>
    <font>
      <b/>
      <sz val="10"/>
      <name val="Times New Roman"/>
      <family val="1"/>
    </font>
    <font>
      <sz val="11"/>
      <color theme="1"/>
      <name val="Arial"/>
      <family val="2"/>
    </font>
    <font>
      <b/>
      <i/>
      <sz val="10"/>
      <name val="Calibri"/>
      <family val="2"/>
      <scheme val="minor"/>
    </font>
    <font>
      <sz val="10"/>
      <name val="Times New Roman"/>
      <family val="1"/>
    </font>
    <font>
      <i/>
      <sz val="10"/>
      <name val="Calibri"/>
      <family val="2"/>
      <scheme val="minor"/>
    </font>
    <font>
      <b/>
      <u/>
      <sz val="10"/>
      <name val="Calibri"/>
      <family val="2"/>
      <scheme val="minor"/>
    </font>
    <font>
      <sz val="11"/>
      <color theme="1"/>
      <name val="Arial"/>
      <family val="2"/>
    </font>
    <font>
      <sz val="10"/>
      <color rgb="FFFF0000"/>
      <name val="Times New Roman"/>
      <family val="1"/>
    </font>
    <font>
      <b/>
      <i/>
      <sz val="9"/>
      <name val="Calibri"/>
      <family val="2"/>
      <scheme val="minor"/>
    </font>
    <font>
      <u/>
      <sz val="10"/>
      <name val="Calibri"/>
      <family val="2"/>
      <scheme val="minor"/>
    </font>
    <font>
      <b/>
      <u/>
      <sz val="9"/>
      <name val="Calibri"/>
      <family val="2"/>
      <scheme val="minor"/>
    </font>
    <font>
      <b/>
      <sz val="12"/>
      <color theme="1"/>
      <name val="Times New Roman"/>
      <family val="1"/>
    </font>
    <font>
      <i/>
      <sz val="12"/>
      <color theme="1"/>
      <name val="Times New Roman"/>
      <family val="1"/>
    </font>
    <font>
      <sz val="10"/>
      <color theme="1"/>
      <name val="Times New Roman"/>
      <family val="1"/>
    </font>
    <font>
      <sz val="10"/>
      <color theme="1"/>
      <name val="TT"/>
    </font>
    <font>
      <b/>
      <sz val="10"/>
      <color rgb="FF000000"/>
      <name val="TT"/>
    </font>
    <font>
      <sz val="10"/>
      <color rgb="FF000000"/>
      <name val="TT"/>
    </font>
    <font>
      <b/>
      <sz val="10"/>
      <color theme="1"/>
      <name val="TT"/>
    </font>
    <font>
      <i/>
      <sz val="10"/>
      <color theme="1"/>
      <name val="TT"/>
    </font>
    <font>
      <sz val="10"/>
      <name val="TT"/>
    </font>
    <font>
      <b/>
      <sz val="12"/>
      <color rgb="FF00B0F0"/>
      <name val="Calibri"/>
      <family val="2"/>
      <scheme val="minor"/>
    </font>
    <font>
      <b/>
      <sz val="11"/>
      <color theme="1"/>
      <name val="Calibri"/>
      <family val="2"/>
    </font>
    <font>
      <sz val="12"/>
      <color theme="1"/>
      <name val="Calibri"/>
      <family val="2"/>
    </font>
    <font>
      <b/>
      <sz val="12"/>
      <color rgb="FFFFFFFF"/>
      <name val="Calibri"/>
      <family val="2"/>
    </font>
    <font>
      <b/>
      <sz val="12"/>
      <color theme="1"/>
      <name val="Calibri"/>
      <family val="2"/>
    </font>
    <font>
      <i/>
      <sz val="12"/>
      <color theme="1"/>
      <name val="Calibri"/>
      <family val="2"/>
    </font>
    <font>
      <sz val="12"/>
      <color rgb="FFFF0000"/>
      <name val="Calibri"/>
      <family val="2"/>
    </font>
    <font>
      <b/>
      <sz val="12"/>
      <color theme="0"/>
      <name val="Calibri"/>
      <family val="2"/>
    </font>
    <font>
      <b/>
      <sz val="12"/>
      <color rgb="FFFFFF00"/>
      <name val="Calibri"/>
      <family val="2"/>
    </font>
    <font>
      <i/>
      <sz val="12"/>
      <color rgb="FFFFFFFF"/>
      <name val="Calibri"/>
      <family val="2"/>
    </font>
    <font>
      <b/>
      <i/>
      <sz val="12"/>
      <color theme="1"/>
      <name val="Calibri"/>
      <family val="2"/>
    </font>
    <font>
      <sz val="10"/>
      <color theme="0"/>
      <name val="Calibri"/>
      <family val="2"/>
      <scheme val="minor"/>
    </font>
    <font>
      <b/>
      <i/>
      <sz val="12"/>
      <color theme="1"/>
      <name val="Calibri"/>
      <family val="2"/>
      <scheme val="minor"/>
    </font>
    <font>
      <i/>
      <sz val="11"/>
      <color rgb="FF0070C0"/>
      <name val="Calibri"/>
      <family val="2"/>
      <scheme val="minor"/>
    </font>
    <font>
      <b/>
      <sz val="11"/>
      <color rgb="FFFFFFFF"/>
      <name val="Calibri"/>
      <family val="2"/>
    </font>
    <font>
      <b/>
      <sz val="10"/>
      <color rgb="FFFFFFFF"/>
      <name val="Calibri"/>
      <family val="2"/>
    </font>
    <font>
      <b/>
      <sz val="10"/>
      <color rgb="FF0070C0"/>
      <name val="Calibri"/>
      <family val="2"/>
      <scheme val="minor"/>
    </font>
  </fonts>
  <fills count="48">
    <fill>
      <patternFill patternType="none"/>
    </fill>
    <fill>
      <patternFill patternType="gray125"/>
    </fill>
    <fill>
      <patternFill patternType="solid">
        <fgColor indexed="22"/>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indexed="9"/>
      </patternFill>
    </fill>
    <fill>
      <patternFill patternType="solid">
        <fgColor indexed="13"/>
        <bgColor indexed="64"/>
      </patternFill>
    </fill>
    <fill>
      <patternFill patternType="solid">
        <fgColor rgb="FFFFFFCC"/>
        <bgColor indexed="64"/>
      </patternFill>
    </fill>
    <fill>
      <patternFill patternType="solid">
        <fgColor theme="4" tint="0.59999389629810485"/>
        <bgColor indexed="64"/>
      </patternFill>
    </fill>
    <fill>
      <patternFill patternType="solid">
        <fgColor rgb="FFFF99FF"/>
        <bgColor indexed="64"/>
      </patternFill>
    </fill>
    <fill>
      <patternFill patternType="solid">
        <fgColor rgb="FFCCFFCC"/>
        <bgColor indexed="64"/>
      </patternFill>
    </fill>
    <fill>
      <patternFill patternType="solid">
        <fgColor rgb="FF66FFFF"/>
        <bgColor indexed="64"/>
      </patternFill>
    </fill>
    <fill>
      <patternFill patternType="solid">
        <fgColor rgb="FFFF9933"/>
        <bgColor indexed="64"/>
      </patternFill>
    </fill>
    <fill>
      <patternFill patternType="solid">
        <fgColor rgb="FFFDE9D9"/>
        <bgColor indexed="64"/>
      </patternFill>
    </fill>
    <fill>
      <patternFill patternType="solid">
        <fgColor rgb="FFCCFFFF"/>
        <bgColor indexed="64"/>
      </patternFill>
    </fill>
    <fill>
      <patternFill patternType="solid">
        <fgColor rgb="FFFFCCCC"/>
        <bgColor indexed="64"/>
      </patternFill>
    </fill>
    <fill>
      <patternFill patternType="solid">
        <fgColor rgb="FFFFFF00"/>
        <bgColor indexed="64"/>
      </patternFill>
    </fill>
    <fill>
      <patternFill patternType="solid">
        <fgColor theme="0"/>
        <bgColor indexed="64"/>
      </patternFill>
    </fill>
    <fill>
      <patternFill patternType="solid">
        <fgColor theme="7" tint="0.79998168889431442"/>
        <bgColor indexed="64"/>
      </patternFill>
    </fill>
    <fill>
      <patternFill patternType="solid">
        <fgColor theme="0" tint="-0.14996795556505021"/>
        <bgColor indexed="64"/>
      </patternFill>
    </fill>
    <fill>
      <patternFill patternType="solid">
        <fgColor theme="8" tint="-0.499984740745262"/>
        <bgColor indexed="64"/>
      </patternFill>
    </fill>
    <fill>
      <patternFill patternType="solid">
        <fgColor rgb="FFD8D8D8"/>
        <bgColor rgb="FFD8D8D8"/>
      </patternFill>
    </fill>
    <fill>
      <patternFill patternType="solid">
        <fgColor rgb="FFFEF2CB"/>
        <bgColor rgb="FFFEF2CB"/>
      </patternFill>
    </fill>
    <fill>
      <patternFill patternType="solid">
        <fgColor rgb="FFD9E2F3"/>
        <bgColor rgb="FFD9E2F3"/>
      </patternFill>
    </fill>
    <fill>
      <patternFill patternType="solid">
        <fgColor rgb="FFE2EFD9"/>
        <bgColor rgb="FFE2EFD9"/>
      </patternFill>
    </fill>
    <fill>
      <patternFill patternType="solid">
        <fgColor theme="4" tint="-0.249977111117893"/>
        <bgColor indexed="64"/>
      </patternFill>
    </fill>
    <fill>
      <patternFill patternType="solid">
        <fgColor theme="0" tint="-0.14999847407452621"/>
        <bgColor indexed="64"/>
      </patternFill>
    </fill>
    <fill>
      <patternFill patternType="solid">
        <fgColor rgb="FFD0CECE"/>
        <bgColor rgb="FFD0CECE"/>
      </patternFill>
    </fill>
    <fill>
      <patternFill patternType="solid">
        <fgColor rgb="FFFFFF99"/>
        <bgColor indexed="64"/>
      </patternFill>
    </fill>
    <fill>
      <patternFill patternType="solid">
        <fgColor theme="4" tint="0.39997558519241921"/>
        <bgColor indexed="64"/>
      </patternFill>
    </fill>
    <fill>
      <patternFill patternType="solid">
        <fgColor theme="1" tint="0.14999847407452621"/>
        <bgColor indexed="64"/>
      </patternFill>
    </fill>
    <fill>
      <patternFill patternType="solid">
        <fgColor theme="1" tint="0.34998626667073579"/>
        <bgColor indexed="64"/>
      </patternFill>
    </fill>
    <fill>
      <patternFill patternType="solid">
        <fgColor indexed="9"/>
        <bgColor indexed="64"/>
      </patternFill>
    </fill>
    <fill>
      <patternFill patternType="solid">
        <fgColor theme="3" tint="0.79998168889431442"/>
        <bgColor indexed="64"/>
      </patternFill>
    </fill>
    <fill>
      <patternFill patternType="solid">
        <fgColor rgb="FFFFFFFF"/>
        <bgColor indexed="64"/>
      </patternFill>
    </fill>
    <fill>
      <patternFill patternType="solid">
        <fgColor rgb="FF92D050"/>
        <bgColor indexed="64"/>
      </patternFill>
    </fill>
    <fill>
      <patternFill patternType="solid">
        <fgColor theme="8" tint="0.79998168889431442"/>
        <bgColor indexed="64"/>
      </patternFill>
    </fill>
    <fill>
      <patternFill patternType="solid">
        <fgColor rgb="FF262626"/>
        <bgColor rgb="FF262626"/>
      </patternFill>
    </fill>
    <fill>
      <patternFill patternType="solid">
        <fgColor rgb="FFFFFFFF"/>
        <bgColor rgb="FFFFFFFF"/>
      </patternFill>
    </fill>
    <fill>
      <patternFill patternType="solid">
        <fgColor rgb="FF595959"/>
        <bgColor rgb="FF595959"/>
      </patternFill>
    </fill>
    <fill>
      <patternFill patternType="solid">
        <fgColor rgb="FFFFC000"/>
        <bgColor rgb="FFFFC000"/>
      </patternFill>
    </fill>
    <fill>
      <patternFill patternType="solid">
        <fgColor rgb="FFEFEFEF"/>
        <bgColor rgb="FFEFEFEF"/>
      </patternFill>
    </fill>
    <fill>
      <patternFill patternType="solid">
        <fgColor theme="5" tint="0.39997558519241921"/>
        <bgColor indexed="64"/>
      </patternFill>
    </fill>
    <fill>
      <patternFill patternType="solid">
        <fgColor theme="3" tint="0.249977111117893"/>
        <bgColor rgb="FF262626"/>
      </patternFill>
    </fill>
    <fill>
      <patternFill patternType="solid">
        <fgColor theme="9" tint="0.79998168889431442"/>
        <bgColor rgb="FF262626"/>
      </patternFill>
    </fill>
    <fill>
      <patternFill patternType="solid">
        <fgColor theme="3" tint="0.749992370372631"/>
        <bgColor indexed="64"/>
      </patternFill>
    </fill>
  </fills>
  <borders count="73">
    <border>
      <left/>
      <right/>
      <top/>
      <bottom/>
      <diagonal/>
    </border>
    <border>
      <left/>
      <right/>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right/>
      <top/>
      <bottom style="thin">
        <color indexed="64"/>
      </bottom>
      <diagonal/>
    </border>
    <border>
      <left/>
      <right/>
      <top/>
      <bottom style="double">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diagonal/>
    </border>
    <border>
      <left/>
      <right/>
      <top style="thin">
        <color indexed="64"/>
      </top>
      <bottom style="double">
        <color indexed="64"/>
      </bottom>
      <diagonal/>
    </border>
    <border>
      <left/>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bottom/>
      <diagonal/>
    </border>
    <border>
      <left/>
      <right style="thin">
        <color rgb="FF000000"/>
      </right>
      <top/>
      <bottom/>
      <diagonal/>
    </border>
    <border>
      <left style="thin">
        <color rgb="FF000000"/>
      </left>
      <right/>
      <top/>
      <bottom/>
      <diagonal/>
    </border>
    <border>
      <left/>
      <right style="thin">
        <color rgb="FF000000"/>
      </right>
      <top/>
      <bottom style="thin">
        <color rgb="FF000000"/>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indexed="64"/>
      </top>
      <bottom style="medium">
        <color indexed="64"/>
      </bottom>
      <diagonal/>
    </border>
    <border>
      <left/>
      <right/>
      <top style="thin">
        <color rgb="FF000000"/>
      </top>
      <bottom style="thin">
        <color rgb="FF000000"/>
      </bottom>
      <diagonal/>
    </border>
    <border>
      <left/>
      <right/>
      <top/>
      <bottom style="thin">
        <color rgb="FF000000"/>
      </bottom>
      <diagonal/>
    </border>
    <border>
      <left style="thin">
        <color indexed="64"/>
      </left>
      <right style="thin">
        <color indexed="64"/>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double">
        <color indexed="64"/>
      </bottom>
      <diagonal/>
    </border>
    <border>
      <left/>
      <right/>
      <top style="dotted">
        <color auto="1"/>
      </top>
      <bottom style="dotted">
        <color auto="1"/>
      </bottom>
      <diagonal/>
    </border>
    <border>
      <left/>
      <right/>
      <top/>
      <bottom style="dotted">
        <color auto="1"/>
      </bottom>
      <diagonal/>
    </border>
    <border>
      <left style="medium">
        <color indexed="64"/>
      </left>
      <right/>
      <top/>
      <bottom style="dotted">
        <color auto="1"/>
      </bottom>
      <diagonal/>
    </border>
    <border>
      <left style="medium">
        <color indexed="64"/>
      </left>
      <right/>
      <top style="dotted">
        <color auto="1"/>
      </top>
      <bottom style="dotted">
        <color auto="1"/>
      </bottom>
      <diagonal/>
    </border>
    <border>
      <left/>
      <right style="medium">
        <color indexed="64"/>
      </right>
      <top style="dotted">
        <color auto="1"/>
      </top>
      <bottom style="dotted">
        <color auto="1"/>
      </bottom>
      <diagonal/>
    </border>
    <border>
      <left/>
      <right/>
      <top/>
      <bottom style="medium">
        <color rgb="FF000000"/>
      </bottom>
      <diagonal/>
    </border>
    <border>
      <left/>
      <right/>
      <top/>
      <bottom style="thick">
        <color rgb="FF000000"/>
      </bottom>
      <diagonal/>
    </border>
    <border>
      <left style="mediumDashDotDot">
        <color rgb="FF00B0F0"/>
      </left>
      <right/>
      <top style="mediumDashDotDot">
        <color rgb="FF00B0F0"/>
      </top>
      <bottom/>
      <diagonal/>
    </border>
    <border>
      <left/>
      <right/>
      <top style="mediumDashDotDot">
        <color rgb="FF00B0F0"/>
      </top>
      <bottom/>
      <diagonal/>
    </border>
    <border>
      <left/>
      <right style="mediumDashDotDot">
        <color rgb="FF00B0F0"/>
      </right>
      <top style="mediumDashDotDot">
        <color rgb="FF00B0F0"/>
      </top>
      <bottom/>
      <diagonal/>
    </border>
    <border>
      <left style="mediumDashDotDot">
        <color rgb="FF00B0F0"/>
      </left>
      <right/>
      <top/>
      <bottom/>
      <diagonal/>
    </border>
    <border>
      <left/>
      <right style="mediumDashDotDot">
        <color rgb="FF00B0F0"/>
      </right>
      <top/>
      <bottom/>
      <diagonal/>
    </border>
    <border>
      <left style="mediumDashDotDot">
        <color rgb="FF00B0F0"/>
      </left>
      <right/>
      <top/>
      <bottom style="mediumDashDotDot">
        <color rgb="FF00B0F0"/>
      </bottom>
      <diagonal/>
    </border>
    <border>
      <left/>
      <right/>
      <top/>
      <bottom style="mediumDashDotDot">
        <color rgb="FF00B0F0"/>
      </bottom>
      <diagonal/>
    </border>
    <border>
      <left/>
      <right style="mediumDashDotDot">
        <color rgb="FF00B0F0"/>
      </right>
      <top/>
      <bottom style="mediumDashDotDot">
        <color rgb="FF00B0F0"/>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DashDot">
        <color rgb="FF00B0F0"/>
      </left>
      <right/>
      <top style="mediumDashDot">
        <color rgb="FF00B0F0"/>
      </top>
      <bottom/>
      <diagonal/>
    </border>
    <border>
      <left/>
      <right/>
      <top style="mediumDashDot">
        <color rgb="FF00B0F0"/>
      </top>
      <bottom/>
      <diagonal/>
    </border>
    <border>
      <left style="thin">
        <color indexed="64"/>
      </left>
      <right style="thin">
        <color indexed="64"/>
      </right>
      <top style="mediumDashDot">
        <color rgb="FF00B0F0"/>
      </top>
      <bottom style="thin">
        <color indexed="64"/>
      </bottom>
      <diagonal/>
    </border>
    <border>
      <left/>
      <right style="mediumDashDot">
        <color rgb="FF00B0F0"/>
      </right>
      <top style="mediumDashDot">
        <color rgb="FF00B0F0"/>
      </top>
      <bottom/>
      <diagonal/>
    </border>
    <border>
      <left style="mediumDashDot">
        <color rgb="FF00B0F0"/>
      </left>
      <right/>
      <top/>
      <bottom style="mediumDashDot">
        <color rgb="FF00B0F0"/>
      </bottom>
      <diagonal/>
    </border>
    <border>
      <left/>
      <right/>
      <top/>
      <bottom style="mediumDashDot">
        <color rgb="FF00B0F0"/>
      </bottom>
      <diagonal/>
    </border>
    <border>
      <left/>
      <right style="mediumDashDot">
        <color rgb="FF00B0F0"/>
      </right>
      <top/>
      <bottom style="mediumDashDot">
        <color rgb="FF00B0F0"/>
      </bottom>
      <diagonal/>
    </border>
  </borders>
  <cellStyleXfs count="31">
    <xf numFmtId="0" fontId="0"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4" fillId="0" borderId="0"/>
    <xf numFmtId="0" fontId="6" fillId="7" borderId="0"/>
    <xf numFmtId="44" fontId="13" fillId="0" borderId="0" applyFont="0" applyFill="0" applyBorder="0" applyAlignment="0" applyProtection="0"/>
    <xf numFmtId="0" fontId="66" fillId="0" borderId="0"/>
    <xf numFmtId="0" fontId="67" fillId="0" borderId="0"/>
    <xf numFmtId="9" fontId="67"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76" fillId="0" borderId="0"/>
    <xf numFmtId="44" fontId="4" fillId="0" borderId="0" applyFont="0" applyFill="0" applyBorder="0" applyAlignment="0" applyProtection="0"/>
    <xf numFmtId="43" fontId="50" fillId="0" borderId="0" applyFont="0" applyFill="0" applyBorder="0" applyAlignment="0" applyProtection="0"/>
    <xf numFmtId="0" fontId="50" fillId="0" borderId="0"/>
    <xf numFmtId="0" fontId="72" fillId="0" borderId="0"/>
    <xf numFmtId="44" fontId="72" fillId="0" borderId="0" applyFont="0" applyFill="0" applyBorder="0" applyAlignment="0" applyProtection="0"/>
    <xf numFmtId="43" fontId="72" fillId="0" borderId="0" applyFont="0" applyFill="0" applyBorder="0" applyAlignment="0" applyProtection="0"/>
    <xf numFmtId="44" fontId="50" fillId="0" borderId="0" applyFont="0" applyFill="0" applyBorder="0" applyAlignment="0" applyProtection="0"/>
    <xf numFmtId="0" fontId="4" fillId="0" borderId="0"/>
    <xf numFmtId="9" fontId="106" fillId="0" borderId="0" applyFont="0" applyFill="0" applyBorder="0" applyAlignment="0" applyProtection="0"/>
    <xf numFmtId="0" fontId="111" fillId="0" borderId="0"/>
    <xf numFmtId="43" fontId="4" fillId="0" borderId="0" applyFont="0" applyFill="0" applyBorder="0" applyAlignment="0" applyProtection="0"/>
    <xf numFmtId="0" fontId="106" fillId="0" borderId="0"/>
    <xf numFmtId="43" fontId="2" fillId="0" borderId="0" applyFont="0" applyFill="0" applyBorder="0" applyAlignment="0" applyProtection="0"/>
    <xf numFmtId="0" fontId="2" fillId="0" borderId="0"/>
    <xf numFmtId="9" fontId="2" fillId="0" borderId="0" applyFont="0" applyFill="0" applyBorder="0" applyAlignment="0" applyProtection="0"/>
    <xf numFmtId="44" fontId="4" fillId="0" borderId="0" applyFont="0" applyFill="0" applyBorder="0" applyAlignment="0" applyProtection="0"/>
    <xf numFmtId="43" fontId="106" fillId="0" borderId="0" applyFont="0" applyFill="0" applyBorder="0" applyAlignment="0" applyProtection="0"/>
  </cellStyleXfs>
  <cellXfs count="1245">
    <xf numFmtId="0" fontId="0" fillId="0" borderId="0" xfId="0"/>
    <xf numFmtId="0" fontId="5" fillId="0" borderId="0" xfId="4" applyFont="1"/>
    <xf numFmtId="0" fontId="4" fillId="0" borderId="0" xfId="4"/>
    <xf numFmtId="0" fontId="4" fillId="0" borderId="0" xfId="4" applyAlignment="1">
      <alignment horizontal="center" wrapText="1"/>
    </xf>
    <xf numFmtId="0" fontId="4" fillId="2" borderId="0" xfId="4" applyFill="1"/>
    <xf numFmtId="0" fontId="7" fillId="0" borderId="0" xfId="4" applyFont="1"/>
    <xf numFmtId="3" fontId="8" fillId="0" borderId="1" xfId="4" applyNumberFormat="1" applyFont="1" applyBorder="1" applyAlignment="1" applyProtection="1">
      <alignment horizontal="center"/>
      <protection locked="0"/>
    </xf>
    <xf numFmtId="4" fontId="8" fillId="0" borderId="1" xfId="4" applyNumberFormat="1" applyFont="1" applyBorder="1" applyAlignment="1" applyProtection="1">
      <alignment horizontal="center"/>
      <protection locked="0"/>
    </xf>
    <xf numFmtId="4" fontId="9" fillId="0" borderId="1" xfId="4" applyNumberFormat="1" applyFont="1" applyBorder="1" applyAlignment="1" applyProtection="1">
      <alignment horizontal="center"/>
      <protection locked="0"/>
    </xf>
    <xf numFmtId="3" fontId="4" fillId="2" borderId="0" xfId="4" applyNumberFormat="1" applyFill="1" applyAlignment="1">
      <alignment horizontal="center"/>
    </xf>
    <xf numFmtId="0" fontId="9" fillId="2" borderId="0" xfId="4" applyFont="1" applyFill="1" applyAlignment="1">
      <alignment horizontal="center"/>
    </xf>
    <xf numFmtId="0" fontId="4" fillId="2" borderId="0" xfId="4" applyFill="1" applyAlignment="1">
      <alignment horizontal="center"/>
    </xf>
    <xf numFmtId="0" fontId="10" fillId="0" borderId="0" xfId="4" applyFont="1"/>
    <xf numFmtId="3" fontId="8" fillId="0" borderId="2" xfId="4" applyNumberFormat="1" applyFont="1" applyBorder="1" applyAlignment="1" applyProtection="1">
      <alignment horizontal="center"/>
      <protection locked="0"/>
    </xf>
    <xf numFmtId="3" fontId="11" fillId="2" borderId="0" xfId="4" applyNumberFormat="1" applyFont="1" applyFill="1" applyAlignment="1">
      <alignment horizontal="center"/>
    </xf>
    <xf numFmtId="0" fontId="7" fillId="2" borderId="0" xfId="4" applyFont="1" applyFill="1"/>
    <xf numFmtId="3" fontId="8" fillId="2" borderId="0" xfId="4" applyNumberFormat="1" applyFont="1" applyFill="1" applyAlignment="1" applyProtection="1">
      <alignment horizontal="center"/>
      <protection locked="0"/>
    </xf>
    <xf numFmtId="4" fontId="8" fillId="2" borderId="0" xfId="4" applyNumberFormat="1" applyFont="1" applyFill="1" applyAlignment="1" applyProtection="1">
      <alignment horizontal="center"/>
      <protection locked="0"/>
    </xf>
    <xf numFmtId="4" fontId="9" fillId="2" borderId="0" xfId="4" applyNumberFormat="1" applyFont="1" applyFill="1" applyAlignment="1" applyProtection="1">
      <alignment horizontal="center"/>
      <protection locked="0"/>
    </xf>
    <xf numFmtId="3" fontId="12" fillId="2" borderId="0" xfId="4" applyNumberFormat="1" applyFont="1" applyFill="1" applyAlignment="1">
      <alignment horizontal="center"/>
    </xf>
    <xf numFmtId="0" fontId="4" fillId="2" borderId="0" xfId="4" applyFill="1" applyAlignment="1" applyProtection="1">
      <alignment horizontal="center"/>
      <protection locked="0"/>
    </xf>
    <xf numFmtId="49" fontId="13" fillId="0" borderId="0" xfId="4" applyNumberFormat="1" applyFont="1"/>
    <xf numFmtId="4" fontId="8" fillId="0" borderId="3" xfId="4" applyNumberFormat="1" applyFont="1" applyBorder="1" applyAlignment="1" applyProtection="1">
      <alignment horizontal="center"/>
      <protection locked="0"/>
    </xf>
    <xf numFmtId="49" fontId="13" fillId="2" borderId="0" xfId="4" applyNumberFormat="1" applyFont="1" applyFill="1"/>
    <xf numFmtId="0" fontId="4" fillId="0" borderId="0" xfId="4" applyAlignment="1">
      <alignment wrapText="1"/>
    </xf>
    <xf numFmtId="164" fontId="8" fillId="0" borderId="1" xfId="4" applyNumberFormat="1" applyFont="1" applyBorder="1" applyAlignment="1" applyProtection="1">
      <alignment horizontal="center"/>
      <protection locked="0"/>
    </xf>
    <xf numFmtId="4" fontId="8" fillId="0" borderId="2" xfId="4" applyNumberFormat="1" applyFont="1" applyBorder="1" applyAlignment="1" applyProtection="1">
      <alignment horizontal="center"/>
      <protection locked="0"/>
    </xf>
    <xf numFmtId="0" fontId="14" fillId="0" borderId="0" xfId="4" applyFont="1"/>
    <xf numFmtId="0" fontId="13" fillId="0" borderId="0" xfId="4" applyFont="1"/>
    <xf numFmtId="0" fontId="8" fillId="0" borderId="1" xfId="4" applyFont="1" applyBorder="1" applyAlignment="1" applyProtection="1">
      <alignment horizontal="center"/>
      <protection locked="0"/>
    </xf>
    <xf numFmtId="49" fontId="4" fillId="0" borderId="0" xfId="4" applyNumberFormat="1"/>
    <xf numFmtId="0" fontId="15" fillId="0" borderId="0" xfId="4" applyFont="1" applyAlignment="1">
      <alignment horizontal="center"/>
    </xf>
    <xf numFmtId="0" fontId="16" fillId="0" borderId="0" xfId="4" applyFont="1"/>
    <xf numFmtId="49" fontId="15" fillId="0" borderId="0" xfId="4" applyNumberFormat="1" applyFont="1" applyAlignment="1">
      <alignment vertical="center"/>
    </xf>
    <xf numFmtId="0" fontId="7" fillId="0" borderId="0" xfId="4" applyFont="1" applyAlignment="1">
      <alignment horizontal="center"/>
    </xf>
    <xf numFmtId="0" fontId="13" fillId="0" borderId="0" xfId="4" applyFont="1" applyAlignment="1">
      <alignment horizontal="center" wrapText="1"/>
    </xf>
    <xf numFmtId="0" fontId="4" fillId="0" borderId="0" xfId="4" applyAlignment="1">
      <alignment horizontal="center"/>
    </xf>
    <xf numFmtId="49" fontId="7" fillId="0" borderId="0" xfId="4" applyNumberFormat="1" applyFont="1" applyAlignment="1">
      <alignment horizontal="center" wrapText="1"/>
    </xf>
    <xf numFmtId="4" fontId="4" fillId="0" borderId="4" xfId="4" applyNumberFormat="1" applyBorder="1" applyAlignment="1">
      <alignment horizontal="center"/>
    </xf>
    <xf numFmtId="4" fontId="4" fillId="0" borderId="0" xfId="4" applyNumberFormat="1" applyAlignment="1">
      <alignment horizontal="center"/>
    </xf>
    <xf numFmtId="0" fontId="17" fillId="0" borderId="0" xfId="4" applyFont="1" applyAlignment="1">
      <alignment horizontal="center"/>
    </xf>
    <xf numFmtId="0" fontId="4" fillId="0" borderId="4" xfId="4" applyBorder="1" applyAlignment="1">
      <alignment horizontal="center"/>
    </xf>
    <xf numFmtId="49" fontId="4" fillId="0" borderId="0" xfId="4" applyNumberFormat="1" applyAlignment="1">
      <alignment horizontal="center"/>
    </xf>
    <xf numFmtId="4" fontId="4" fillId="0" borderId="0" xfId="4" applyNumberFormat="1"/>
    <xf numFmtId="0" fontId="6" fillId="0" borderId="0" xfId="4" applyFont="1" applyAlignment="1">
      <alignment horizontal="center"/>
    </xf>
    <xf numFmtId="49" fontId="6" fillId="0" borderId="0" xfId="4" applyNumberFormat="1" applyFont="1"/>
    <xf numFmtId="0" fontId="6" fillId="0" borderId="0" xfId="4" applyFont="1"/>
    <xf numFmtId="0" fontId="18" fillId="0" borderId="0" xfId="4" applyFont="1" applyAlignment="1">
      <alignment horizontal="left" wrapText="1"/>
    </xf>
    <xf numFmtId="49" fontId="15" fillId="0" borderId="0" xfId="4" applyNumberFormat="1" applyFont="1"/>
    <xf numFmtId="0" fontId="15" fillId="0" borderId="0" xfId="4" applyFont="1" applyAlignment="1">
      <alignment horizontal="center" vertical="center"/>
    </xf>
    <xf numFmtId="0" fontId="19" fillId="0" borderId="0" xfId="4" applyFont="1" applyAlignment="1">
      <alignment horizontal="center" vertical="center"/>
    </xf>
    <xf numFmtId="0" fontId="4" fillId="0" borderId="4" xfId="4" applyBorder="1"/>
    <xf numFmtId="4" fontId="4" fillId="0" borderId="5" xfId="4" applyNumberFormat="1" applyBorder="1" applyAlignment="1">
      <alignment horizontal="center" vertical="center"/>
    </xf>
    <xf numFmtId="10" fontId="13" fillId="0" borderId="4" xfId="4" applyNumberFormat="1" applyFont="1" applyBorder="1"/>
    <xf numFmtId="2" fontId="4" fillId="0" borderId="0" xfId="4" applyNumberFormat="1"/>
    <xf numFmtId="2" fontId="6" fillId="0" borderId="0" xfId="4" applyNumberFormat="1" applyFont="1"/>
    <xf numFmtId="10" fontId="6" fillId="0" borderId="0" xfId="4" applyNumberFormat="1" applyFont="1"/>
    <xf numFmtId="2" fontId="6" fillId="0" borderId="0" xfId="4" applyNumberFormat="1" applyFont="1" applyAlignment="1">
      <alignment horizontal="center"/>
    </xf>
    <xf numFmtId="0" fontId="16" fillId="0" borderId="0" xfId="4" applyFont="1" applyAlignment="1">
      <alignment horizontal="center"/>
    </xf>
    <xf numFmtId="0" fontId="16" fillId="0" borderId="0" xfId="4" applyFont="1" applyAlignment="1">
      <alignment horizontal="right"/>
    </xf>
    <xf numFmtId="4" fontId="9" fillId="0" borderId="2" xfId="4" applyNumberFormat="1" applyFont="1" applyBorder="1" applyAlignment="1" applyProtection="1">
      <alignment horizontal="center"/>
      <protection locked="0"/>
    </xf>
    <xf numFmtId="44" fontId="0" fillId="0" borderId="0" xfId="2" applyFont="1"/>
    <xf numFmtId="165" fontId="0" fillId="0" borderId="0" xfId="1" applyNumberFormat="1" applyFont="1"/>
    <xf numFmtId="0" fontId="24" fillId="0" borderId="0" xfId="5" applyFont="1" applyFill="1"/>
    <xf numFmtId="0" fontId="25" fillId="0" borderId="0" xfId="5" applyFont="1" applyFill="1"/>
    <xf numFmtId="0" fontId="24" fillId="0" borderId="8" xfId="5" applyFont="1" applyFill="1" applyBorder="1"/>
    <xf numFmtId="0" fontId="25" fillId="0" borderId="9" xfId="5" applyFont="1" applyFill="1" applyBorder="1"/>
    <xf numFmtId="0" fontId="24" fillId="0" borderId="9" xfId="5" applyFont="1" applyFill="1" applyBorder="1"/>
    <xf numFmtId="0" fontId="24" fillId="0" borderId="11" xfId="5" applyFont="1" applyFill="1" applyBorder="1" applyAlignment="1">
      <alignment horizontal="centerContinuous"/>
    </xf>
    <xf numFmtId="0" fontId="25" fillId="0" borderId="0" xfId="5" applyFont="1" applyFill="1" applyAlignment="1">
      <alignment horizontal="centerContinuous"/>
    </xf>
    <xf numFmtId="0" fontId="24" fillId="0" borderId="0" xfId="5" applyFont="1" applyFill="1" applyAlignment="1">
      <alignment horizontal="centerContinuous"/>
    </xf>
    <xf numFmtId="0" fontId="25" fillId="8" borderId="0" xfId="5" applyFont="1" applyFill="1" applyAlignment="1">
      <alignment horizontal="centerContinuous"/>
    </xf>
    <xf numFmtId="0" fontId="24" fillId="8" borderId="0" xfId="5" applyFont="1" applyFill="1" applyAlignment="1">
      <alignment horizontal="centerContinuous"/>
    </xf>
    <xf numFmtId="0" fontId="24" fillId="0" borderId="11" xfId="5" applyFont="1" applyFill="1" applyBorder="1"/>
    <xf numFmtId="49" fontId="25" fillId="8" borderId="7" xfId="5" applyNumberFormat="1" applyFont="1" applyFill="1" applyBorder="1" applyAlignment="1" applyProtection="1">
      <alignment horizontal="center"/>
      <protection locked="0"/>
    </xf>
    <xf numFmtId="39" fontId="25" fillId="8" borderId="7" xfId="5" applyNumberFormat="1" applyFont="1" applyFill="1" applyBorder="1" applyAlignment="1" applyProtection="1">
      <alignment horizontal="center"/>
      <protection locked="0"/>
    </xf>
    <xf numFmtId="0" fontId="24" fillId="0" borderId="11" xfId="5" applyFont="1" applyFill="1" applyBorder="1" applyAlignment="1">
      <alignment wrapText="1"/>
    </xf>
    <xf numFmtId="166" fontId="26" fillId="0" borderId="7" xfId="5" applyNumberFormat="1" applyFont="1" applyFill="1" applyBorder="1" applyAlignment="1">
      <alignment horizontal="center"/>
    </xf>
    <xf numFmtId="0" fontId="27" fillId="7" borderId="0" xfId="5" applyFont="1"/>
    <xf numFmtId="167" fontId="26" fillId="0" borderId="7" xfId="5" applyNumberFormat="1" applyFont="1" applyFill="1" applyBorder="1" applyAlignment="1">
      <alignment horizontal="right"/>
    </xf>
    <xf numFmtId="0" fontId="27" fillId="0" borderId="0" xfId="5" applyFont="1" applyFill="1"/>
    <xf numFmtId="43" fontId="26" fillId="0" borderId="7" xfId="1" applyFont="1" applyBorder="1" applyAlignment="1">
      <alignment horizontal="right"/>
    </xf>
    <xf numFmtId="43" fontId="28" fillId="0" borderId="7" xfId="5" applyNumberFormat="1" applyFont="1" applyFill="1" applyBorder="1" applyAlignment="1">
      <alignment horizontal="right"/>
    </xf>
    <xf numFmtId="167" fontId="25" fillId="8" borderId="7" xfId="5" applyNumberFormat="1" applyFont="1" applyFill="1" applyBorder="1" applyAlignment="1" applyProtection="1">
      <alignment horizontal="right"/>
      <protection locked="0"/>
    </xf>
    <xf numFmtId="166" fontId="25" fillId="8" borderId="7" xfId="5" applyNumberFormat="1" applyFont="1" applyFill="1" applyBorder="1" applyAlignment="1" applyProtection="1">
      <alignment horizontal="right"/>
      <protection locked="0"/>
    </xf>
    <xf numFmtId="166" fontId="25" fillId="0" borderId="0" xfId="5" applyNumberFormat="1" applyFont="1" applyFill="1"/>
    <xf numFmtId="0" fontId="25" fillId="0" borderId="11" xfId="5" applyFont="1" applyFill="1" applyBorder="1"/>
    <xf numFmtId="0" fontId="26" fillId="0" borderId="11" xfId="5" applyFont="1" applyFill="1" applyBorder="1"/>
    <xf numFmtId="0" fontId="24" fillId="0" borderId="13" xfId="5" applyFont="1" applyFill="1" applyBorder="1"/>
    <xf numFmtId="0" fontId="25" fillId="0" borderId="1" xfId="5" applyFont="1" applyFill="1" applyBorder="1"/>
    <xf numFmtId="0" fontId="24" fillId="0" borderId="1" xfId="5" applyFont="1" applyFill="1" applyBorder="1"/>
    <xf numFmtId="0" fontId="10" fillId="7" borderId="0" xfId="5" applyFont="1"/>
    <xf numFmtId="168" fontId="29" fillId="7" borderId="0" xfId="5" applyNumberFormat="1" applyFont="1"/>
    <xf numFmtId="49" fontId="30" fillId="7" borderId="0" xfId="5" applyNumberFormat="1" applyFont="1"/>
    <xf numFmtId="0" fontId="10" fillId="0" borderId="0" xfId="5" applyFont="1" applyFill="1"/>
    <xf numFmtId="169" fontId="29" fillId="7" borderId="0" xfId="5" applyNumberFormat="1" applyFont="1"/>
    <xf numFmtId="170" fontId="30" fillId="0" borderId="0" xfId="5" applyNumberFormat="1" applyFont="1" applyFill="1"/>
    <xf numFmtId="169" fontId="29" fillId="0" borderId="0" xfId="5" applyNumberFormat="1" applyFont="1" applyFill="1"/>
    <xf numFmtId="10" fontId="10" fillId="7" borderId="0" xfId="5" applyNumberFormat="1" applyFont="1"/>
    <xf numFmtId="169" fontId="10" fillId="0" borderId="0" xfId="5" applyNumberFormat="1" applyFont="1" applyFill="1"/>
    <xf numFmtId="10" fontId="29" fillId="7" borderId="0" xfId="5" applyNumberFormat="1" applyFont="1"/>
    <xf numFmtId="4" fontId="30" fillId="0" borderId="0" xfId="5" applyNumberFormat="1" applyFont="1" applyFill="1"/>
    <xf numFmtId="171" fontId="29" fillId="7" borderId="0" xfId="5" applyNumberFormat="1" applyFont="1"/>
    <xf numFmtId="172" fontId="10" fillId="7" borderId="0" xfId="5" applyNumberFormat="1" applyFont="1"/>
    <xf numFmtId="0" fontId="10" fillId="7" borderId="0" xfId="5" quotePrefix="1" applyFont="1" applyAlignment="1">
      <alignment horizontal="center"/>
    </xf>
    <xf numFmtId="0" fontId="10" fillId="7" borderId="0" xfId="5" applyFont="1" applyAlignment="1">
      <alignment horizontal="center" vertical="top"/>
    </xf>
    <xf numFmtId="173" fontId="29" fillId="7" borderId="0" xfId="5" applyNumberFormat="1" applyFont="1"/>
    <xf numFmtId="173" fontId="10" fillId="7" borderId="0" xfId="5" applyNumberFormat="1" applyFont="1"/>
    <xf numFmtId="170" fontId="10" fillId="7" borderId="0" xfId="5" applyNumberFormat="1" applyFont="1"/>
    <xf numFmtId="0" fontId="10" fillId="2" borderId="0" xfId="5" applyFont="1" applyFill="1"/>
    <xf numFmtId="4" fontId="29" fillId="0" borderId="0" xfId="5" applyNumberFormat="1" applyFont="1" applyFill="1"/>
    <xf numFmtId="4" fontId="10" fillId="7" borderId="0" xfId="5" applyNumberFormat="1" applyFont="1"/>
    <xf numFmtId="0" fontId="10" fillId="7" borderId="0" xfId="5" applyFont="1" applyAlignment="1">
      <alignment horizontal="center"/>
    </xf>
    <xf numFmtId="170" fontId="10" fillId="0" borderId="0" xfId="5" applyNumberFormat="1" applyFont="1" applyFill="1"/>
    <xf numFmtId="0" fontId="10" fillId="7" borderId="17" xfId="5" applyFont="1" applyBorder="1" applyAlignment="1">
      <alignment horizontal="center"/>
    </xf>
    <xf numFmtId="0" fontId="10" fillId="7" borderId="18" xfId="5" applyFont="1" applyBorder="1" applyAlignment="1">
      <alignment horizontal="center"/>
    </xf>
    <xf numFmtId="0" fontId="10" fillId="7" borderId="18" xfId="5" applyFont="1" applyBorder="1"/>
    <xf numFmtId="0" fontId="10" fillId="7" borderId="18" xfId="5" applyFont="1" applyBorder="1" applyAlignment="1">
      <alignment horizontal="center" vertical="top"/>
    </xf>
    <xf numFmtId="0" fontId="10" fillId="0" borderId="0" xfId="5" applyFont="1" applyFill="1" applyAlignment="1">
      <alignment horizontal="center"/>
    </xf>
    <xf numFmtId="4" fontId="10" fillId="0" borderId="0" xfId="5" applyNumberFormat="1" applyFont="1" applyFill="1"/>
    <xf numFmtId="4" fontId="32" fillId="2" borderId="0" xfId="5" applyNumberFormat="1" applyFont="1" applyFill="1"/>
    <xf numFmtId="4" fontId="32" fillId="2" borderId="18" xfId="5" applyNumberFormat="1" applyFont="1" applyFill="1" applyBorder="1"/>
    <xf numFmtId="4" fontId="10" fillId="2" borderId="0" xfId="5" applyNumberFormat="1" applyFont="1" applyFill="1"/>
    <xf numFmtId="2" fontId="10" fillId="7" borderId="0" xfId="5" applyNumberFormat="1" applyFont="1"/>
    <xf numFmtId="4" fontId="10" fillId="7" borderId="18" xfId="5" applyNumberFormat="1" applyFont="1" applyBorder="1"/>
    <xf numFmtId="0" fontId="10" fillId="0" borderId="0" xfId="5" applyFont="1" applyFill="1" applyAlignment="1">
      <alignment horizontal="center" vertical="top"/>
    </xf>
    <xf numFmtId="4" fontId="33" fillId="7" borderId="0" xfId="5" applyNumberFormat="1" applyFont="1"/>
    <xf numFmtId="4" fontId="10" fillId="7" borderId="19" xfId="5" applyNumberFormat="1" applyFont="1" applyBorder="1"/>
    <xf numFmtId="0" fontId="34" fillId="7" borderId="0" xfId="5" applyFont="1" applyAlignment="1">
      <alignment horizontal="centerContinuous"/>
    </xf>
    <xf numFmtId="0" fontId="35" fillId="7" borderId="0" xfId="5" applyFont="1"/>
    <xf numFmtId="0" fontId="36" fillId="7" borderId="0" xfId="5" applyFont="1" applyAlignment="1">
      <alignment horizontal="centerContinuous"/>
    </xf>
    <xf numFmtId="0" fontId="35" fillId="7" borderId="17" xfId="5" applyFont="1" applyBorder="1" applyAlignment="1">
      <alignment horizontal="center"/>
    </xf>
    <xf numFmtId="0" fontId="35" fillId="7" borderId="17" xfId="5" applyFont="1" applyBorder="1"/>
    <xf numFmtId="0" fontId="35" fillId="7" borderId="7" xfId="5" applyFont="1" applyBorder="1" applyAlignment="1">
      <alignment horizontal="center"/>
    </xf>
    <xf numFmtId="0" fontId="35" fillId="7" borderId="19" xfId="5" applyFont="1" applyBorder="1" applyAlignment="1">
      <alignment horizontal="center"/>
    </xf>
    <xf numFmtId="167" fontId="35" fillId="7" borderId="7" xfId="5" applyNumberFormat="1" applyFont="1" applyBorder="1"/>
    <xf numFmtId="0" fontId="35" fillId="7" borderId="0" xfId="5" applyFont="1" applyAlignment="1">
      <alignment horizontal="center"/>
    </xf>
    <xf numFmtId="167" fontId="35" fillId="7" borderId="0" xfId="5" applyNumberFormat="1" applyFont="1"/>
    <xf numFmtId="174" fontId="37" fillId="7" borderId="7" xfId="5" applyNumberFormat="1" applyFont="1" applyBorder="1" applyProtection="1">
      <protection locked="0"/>
    </xf>
    <xf numFmtId="0" fontId="38" fillId="7" borderId="0" xfId="5" applyFont="1"/>
    <xf numFmtId="0" fontId="36" fillId="7" borderId="7" xfId="5" applyFont="1" applyBorder="1" applyAlignment="1">
      <alignment horizontal="center"/>
    </xf>
    <xf numFmtId="174" fontId="36" fillId="7" borderId="7" xfId="5" applyNumberFormat="1" applyFont="1" applyBorder="1"/>
    <xf numFmtId="0" fontId="36" fillId="7" borderId="0" xfId="5" applyFont="1"/>
    <xf numFmtId="0" fontId="39" fillId="7" borderId="0" xfId="5" applyFont="1"/>
    <xf numFmtId="0" fontId="35" fillId="8" borderId="19" xfId="5" applyFont="1" applyFill="1" applyBorder="1" applyAlignment="1">
      <alignment vertical="center"/>
    </xf>
    <xf numFmtId="174" fontId="35" fillId="8" borderId="20" xfId="5" applyNumberFormat="1" applyFont="1" applyFill="1" applyBorder="1" applyAlignment="1">
      <alignment vertical="center"/>
    </xf>
    <xf numFmtId="167" fontId="36" fillId="8" borderId="21" xfId="5" applyNumberFormat="1" applyFont="1" applyFill="1" applyBorder="1" applyAlignment="1">
      <alignment vertical="center"/>
    </xf>
    <xf numFmtId="0" fontId="35" fillId="0" borderId="0" xfId="5" applyFont="1" applyFill="1"/>
    <xf numFmtId="0" fontId="35" fillId="0" borderId="0" xfId="5" applyFont="1" applyFill="1" applyAlignment="1">
      <alignment vertical="center"/>
    </xf>
    <xf numFmtId="174" fontId="35" fillId="0" borderId="0" xfId="5" applyNumberFormat="1" applyFont="1" applyFill="1" applyAlignment="1">
      <alignment vertical="center"/>
    </xf>
    <xf numFmtId="167" fontId="36" fillId="0" borderId="0" xfId="5" applyNumberFormat="1" applyFont="1" applyFill="1" applyAlignment="1">
      <alignment vertical="center"/>
    </xf>
    <xf numFmtId="0" fontId="35" fillId="7" borderId="7" xfId="5" applyFont="1" applyBorder="1"/>
    <xf numFmtId="0" fontId="35" fillId="7" borderId="0" xfId="5" applyFont="1" applyAlignment="1">
      <alignment vertical="center"/>
    </xf>
    <xf numFmtId="0" fontId="38" fillId="7" borderId="0" xfId="5" applyFont="1" applyAlignment="1">
      <alignment vertical="center"/>
    </xf>
    <xf numFmtId="174" fontId="35" fillId="7" borderId="0" xfId="5" applyNumberFormat="1" applyFont="1" applyAlignment="1">
      <alignment vertical="center"/>
    </xf>
    <xf numFmtId="0" fontId="35" fillId="8" borderId="18" xfId="5" applyFont="1" applyFill="1" applyBorder="1" applyAlignment="1">
      <alignment horizontal="center" vertical="center" wrapText="1"/>
    </xf>
    <xf numFmtId="174" fontId="35" fillId="8" borderId="19" xfId="5" applyNumberFormat="1" applyFont="1" applyFill="1" applyBorder="1" applyAlignment="1">
      <alignment vertical="center"/>
    </xf>
    <xf numFmtId="167" fontId="36" fillId="8" borderId="22" xfId="5" applyNumberFormat="1" applyFont="1" applyFill="1" applyBorder="1" applyAlignment="1">
      <alignment vertical="center"/>
    </xf>
    <xf numFmtId="174" fontId="35" fillId="7" borderId="0" xfId="5" applyNumberFormat="1" applyFont="1"/>
    <xf numFmtId="0" fontId="35" fillId="8" borderId="19" xfId="5" applyFont="1" applyFill="1" applyBorder="1" applyAlignment="1">
      <alignment horizontal="center" vertical="center"/>
    </xf>
    <xf numFmtId="174" fontId="35" fillId="8" borderId="7" xfId="5" applyNumberFormat="1" applyFont="1" applyFill="1" applyBorder="1" applyAlignment="1">
      <alignment vertical="center"/>
    </xf>
    <xf numFmtId="0" fontId="40" fillId="8" borderId="7" xfId="5" applyFont="1" applyFill="1" applyBorder="1" applyAlignment="1">
      <alignment vertical="center"/>
    </xf>
    <xf numFmtId="0" fontId="38" fillId="7" borderId="0" xfId="5" applyFont="1" applyAlignment="1">
      <alignment horizontal="center"/>
    </xf>
    <xf numFmtId="0" fontId="42" fillId="7" borderId="0" xfId="5" applyFont="1"/>
    <xf numFmtId="0" fontId="43" fillId="7" borderId="0" xfId="5" applyFont="1"/>
    <xf numFmtId="165" fontId="43" fillId="0" borderId="0" xfId="1" applyNumberFormat="1" applyFont="1"/>
    <xf numFmtId="0" fontId="45" fillId="7" borderId="7" xfId="5" applyFont="1" applyBorder="1" applyAlignment="1">
      <alignment horizontal="center"/>
    </xf>
    <xf numFmtId="0" fontId="44" fillId="7" borderId="19" xfId="5" applyFont="1" applyBorder="1" applyAlignment="1">
      <alignment horizontal="center" vertical="top" wrapText="1"/>
    </xf>
    <xf numFmtId="0" fontId="43" fillId="9" borderId="19" xfId="5" applyFont="1" applyFill="1" applyBorder="1"/>
    <xf numFmtId="0" fontId="46" fillId="7" borderId="6" xfId="5" applyFont="1" applyBorder="1"/>
    <xf numFmtId="0" fontId="43" fillId="7" borderId="6" xfId="5" applyFont="1" applyBorder="1"/>
    <xf numFmtId="0" fontId="22" fillId="7" borderId="0" xfId="5" applyFont="1" applyAlignment="1">
      <alignment vertical="top" wrapText="1"/>
    </xf>
    <xf numFmtId="0" fontId="22" fillId="7" borderId="0" xfId="5" applyFont="1"/>
    <xf numFmtId="0" fontId="21" fillId="7" borderId="16" xfId="5" applyFont="1" applyBorder="1"/>
    <xf numFmtId="0" fontId="47" fillId="7" borderId="7" xfId="5" applyFont="1" applyBorder="1" applyAlignment="1">
      <alignment horizontal="center" vertical="top"/>
    </xf>
    <xf numFmtId="0" fontId="47" fillId="7" borderId="0" xfId="5" applyFont="1"/>
    <xf numFmtId="0" fontId="49" fillId="7" borderId="0" xfId="5" applyFont="1" applyAlignment="1">
      <alignment horizontal="center" wrapText="1"/>
    </xf>
    <xf numFmtId="0" fontId="50" fillId="7" borderId="0" xfId="5" applyFont="1"/>
    <xf numFmtId="0" fontId="49" fillId="0" borderId="0" xfId="5" applyFont="1" applyFill="1"/>
    <xf numFmtId="0" fontId="47" fillId="0" borderId="0" xfId="5" applyFont="1" applyFill="1"/>
    <xf numFmtId="0" fontId="53" fillId="7" borderId="7" xfId="5" applyFont="1" applyBorder="1" applyAlignment="1">
      <alignment horizontal="center"/>
    </xf>
    <xf numFmtId="0" fontId="51" fillId="7" borderId="0" xfId="5" applyFont="1"/>
    <xf numFmtId="43" fontId="47" fillId="7" borderId="0" xfId="5" applyNumberFormat="1" applyFont="1"/>
    <xf numFmtId="0" fontId="51" fillId="0" borderId="7" xfId="5" applyFont="1" applyFill="1" applyBorder="1" applyAlignment="1">
      <alignment horizontal="center"/>
    </xf>
    <xf numFmtId="0" fontId="60" fillId="7" borderId="0" xfId="5" applyFont="1"/>
    <xf numFmtId="0" fontId="18" fillId="7" borderId="0" xfId="5" applyFont="1"/>
    <xf numFmtId="176" fontId="0" fillId="0" borderId="0" xfId="1" applyNumberFormat="1" applyFont="1"/>
    <xf numFmtId="176" fontId="0" fillId="10" borderId="2" xfId="1" applyNumberFormat="1" applyFont="1" applyFill="1" applyBorder="1"/>
    <xf numFmtId="165" fontId="23" fillId="0" borderId="0" xfId="1" applyNumberFormat="1" applyFont="1" applyAlignment="1">
      <alignment horizontal="center"/>
    </xf>
    <xf numFmtId="176" fontId="3" fillId="6" borderId="7" xfId="1" applyNumberFormat="1" applyFont="1" applyFill="1" applyBorder="1" applyAlignment="1">
      <alignment horizontal="center"/>
    </xf>
    <xf numFmtId="176" fontId="3" fillId="20" borderId="6" xfId="1" applyNumberFormat="1" applyFont="1" applyFill="1" applyBorder="1"/>
    <xf numFmtId="44" fontId="3" fillId="20" borderId="6" xfId="2" applyFont="1" applyFill="1" applyBorder="1"/>
    <xf numFmtId="176" fontId="61" fillId="22" borderId="6" xfId="1" applyNumberFormat="1" applyFont="1" applyFill="1" applyBorder="1"/>
    <xf numFmtId="44" fontId="61" fillId="22" borderId="6" xfId="2" applyFont="1" applyFill="1" applyBorder="1"/>
    <xf numFmtId="44" fontId="3" fillId="0" borderId="26" xfId="2" applyFont="1" applyBorder="1"/>
    <xf numFmtId="44" fontId="3" fillId="0" borderId="42" xfId="2" applyFont="1" applyBorder="1"/>
    <xf numFmtId="176" fontId="3" fillId="0" borderId="26" xfId="1" applyNumberFormat="1" applyFont="1" applyBorder="1"/>
    <xf numFmtId="176" fontId="70" fillId="27" borderId="6" xfId="1" applyNumberFormat="1" applyFont="1" applyFill="1" applyBorder="1"/>
    <xf numFmtId="44" fontId="70" fillId="27" borderId="6" xfId="2" applyFont="1" applyFill="1" applyBorder="1"/>
    <xf numFmtId="9" fontId="70" fillId="27" borderId="0" xfId="3" applyFont="1" applyFill="1"/>
    <xf numFmtId="44" fontId="70" fillId="27" borderId="0" xfId="2" applyFont="1" applyFill="1"/>
    <xf numFmtId="0" fontId="67" fillId="0" borderId="0" xfId="8"/>
    <xf numFmtId="0" fontId="67" fillId="23" borderId="41" xfId="8" applyFill="1" applyBorder="1"/>
    <xf numFmtId="0" fontId="67" fillId="23" borderId="43" xfId="8" applyFill="1" applyBorder="1"/>
    <xf numFmtId="0" fontId="67" fillId="24" borderId="37" xfId="8" applyFill="1" applyBorder="1"/>
    <xf numFmtId="177" fontId="67" fillId="24" borderId="36" xfId="8" applyNumberFormat="1" applyFill="1" applyBorder="1" applyAlignment="1">
      <alignment horizontal="right"/>
    </xf>
    <xf numFmtId="0" fontId="67" fillId="25" borderId="0" xfId="8" applyFill="1"/>
    <xf numFmtId="177" fontId="67" fillId="25" borderId="36" xfId="8" applyNumberFormat="1" applyFill="1" applyBorder="1" applyAlignment="1">
      <alignment horizontal="right"/>
    </xf>
    <xf numFmtId="0" fontId="67" fillId="26" borderId="0" xfId="8" applyFill="1"/>
    <xf numFmtId="177" fontId="67" fillId="26" borderId="36" xfId="8" applyNumberFormat="1" applyFill="1" applyBorder="1" applyAlignment="1">
      <alignment horizontal="right"/>
    </xf>
    <xf numFmtId="0" fontId="67" fillId="0" borderId="0" xfId="8" applyAlignment="1">
      <alignment horizontal="right"/>
    </xf>
    <xf numFmtId="10" fontId="67" fillId="24" borderId="36" xfId="8" applyNumberFormat="1" applyFill="1" applyBorder="1" applyAlignment="1">
      <alignment horizontal="right"/>
    </xf>
    <xf numFmtId="0" fontId="67" fillId="25" borderId="36" xfId="8" applyFill="1" applyBorder="1" applyAlignment="1">
      <alignment horizontal="right"/>
    </xf>
    <xf numFmtId="0" fontId="67" fillId="24" borderId="36" xfId="8" applyFill="1" applyBorder="1"/>
    <xf numFmtId="14" fontId="67" fillId="25" borderId="36" xfId="8" applyNumberFormat="1" applyFill="1" applyBorder="1" applyAlignment="1">
      <alignment horizontal="right"/>
    </xf>
    <xf numFmtId="0" fontId="67" fillId="26" borderId="36" xfId="8" applyFill="1" applyBorder="1"/>
    <xf numFmtId="14" fontId="67" fillId="24" borderId="36" xfId="8" applyNumberFormat="1" applyFill="1" applyBorder="1" applyAlignment="1">
      <alignment horizontal="right"/>
    </xf>
    <xf numFmtId="0" fontId="67" fillId="25" borderId="36" xfId="8" applyFill="1" applyBorder="1"/>
    <xf numFmtId="0" fontId="67" fillId="24" borderId="39" xfId="8" applyFill="1" applyBorder="1"/>
    <xf numFmtId="14" fontId="67" fillId="24" borderId="38" xfId="8" applyNumberFormat="1" applyFill="1" applyBorder="1" applyAlignment="1">
      <alignment horizontal="right"/>
    </xf>
    <xf numFmtId="0" fontId="67" fillId="25" borderId="44" xfId="8" applyFill="1" applyBorder="1"/>
    <xf numFmtId="0" fontId="67" fillId="25" borderId="38" xfId="8" applyFill="1" applyBorder="1"/>
    <xf numFmtId="0" fontId="67" fillId="26" borderId="44" xfId="8" applyFill="1" applyBorder="1"/>
    <xf numFmtId="0" fontId="67" fillId="26" borderId="38" xfId="8" applyFill="1" applyBorder="1"/>
    <xf numFmtId="0" fontId="67" fillId="0" borderId="44" xfId="8" applyBorder="1"/>
    <xf numFmtId="0" fontId="67" fillId="29" borderId="0" xfId="8" applyFill="1"/>
    <xf numFmtId="14" fontId="67" fillId="0" borderId="0" xfId="8" applyNumberFormat="1"/>
    <xf numFmtId="177" fontId="67" fillId="0" borderId="0" xfId="8" applyNumberFormat="1" applyAlignment="1">
      <alignment horizontal="right"/>
    </xf>
    <xf numFmtId="0" fontId="74" fillId="0" borderId="0" xfId="8" applyFont="1" applyAlignment="1">
      <alignment horizontal="right"/>
    </xf>
    <xf numFmtId="14" fontId="74" fillId="0" borderId="0" xfId="8" applyNumberFormat="1" applyFont="1"/>
    <xf numFmtId="177" fontId="74" fillId="0" borderId="0" xfId="8" applyNumberFormat="1" applyFont="1" applyAlignment="1">
      <alignment horizontal="right"/>
    </xf>
    <xf numFmtId="0" fontId="73" fillId="0" borderId="36" xfId="8" applyFont="1" applyBorder="1"/>
    <xf numFmtId="0" fontId="67" fillId="23" borderId="40" xfId="8" applyFill="1" applyBorder="1"/>
    <xf numFmtId="176" fontId="61" fillId="22" borderId="0" xfId="1" applyNumberFormat="1" applyFont="1" applyFill="1"/>
    <xf numFmtId="0" fontId="67" fillId="23" borderId="36" xfId="8" applyFill="1" applyBorder="1"/>
    <xf numFmtId="0" fontId="67" fillId="23" borderId="0" xfId="8" applyFill="1"/>
    <xf numFmtId="0" fontId="73" fillId="0" borderId="0" xfId="8" applyFont="1"/>
    <xf numFmtId="0" fontId="67" fillId="23" borderId="15" xfId="8" applyFill="1" applyBorder="1"/>
    <xf numFmtId="0" fontId="67" fillId="23" borderId="6" xfId="8" applyFill="1" applyBorder="1"/>
    <xf numFmtId="0" fontId="67" fillId="23" borderId="16" xfId="8" applyFill="1" applyBorder="1"/>
    <xf numFmtId="177" fontId="67" fillId="0" borderId="17" xfId="8" applyNumberFormat="1" applyBorder="1" applyAlignment="1">
      <alignment horizontal="right"/>
    </xf>
    <xf numFmtId="177" fontId="67" fillId="0" borderId="18" xfId="8" applyNumberFormat="1" applyBorder="1" applyAlignment="1">
      <alignment horizontal="right"/>
    </xf>
    <xf numFmtId="0" fontId="67" fillId="0" borderId="19" xfId="8" applyBorder="1"/>
    <xf numFmtId="177" fontId="67" fillId="26" borderId="36" xfId="8" applyNumberFormat="1" applyFill="1" applyBorder="1"/>
    <xf numFmtId="177" fontId="75" fillId="0" borderId="45" xfId="8" applyNumberFormat="1" applyFont="1" applyBorder="1" applyAlignment="1">
      <alignment horizontal="right"/>
    </xf>
    <xf numFmtId="9" fontId="67" fillId="26" borderId="36" xfId="3" applyFont="1" applyFill="1" applyBorder="1"/>
    <xf numFmtId="177" fontId="67" fillId="26" borderId="38" xfId="8" applyNumberFormat="1" applyFill="1" applyBorder="1"/>
    <xf numFmtId="8" fontId="0" fillId="0" borderId="0" xfId="0" applyNumberFormat="1"/>
    <xf numFmtId="0" fontId="0" fillId="10" borderId="2" xfId="0" applyFill="1" applyBorder="1"/>
    <xf numFmtId="8" fontId="3" fillId="20" borderId="6" xfId="2" applyNumberFormat="1" applyFont="1" applyFill="1" applyBorder="1"/>
    <xf numFmtId="0" fontId="68" fillId="0" borderId="0" xfId="0" applyFont="1" applyAlignment="1">
      <alignment vertical="center"/>
    </xf>
    <xf numFmtId="0" fontId="23" fillId="6" borderId="19" xfId="0" applyFont="1" applyFill="1" applyBorder="1" applyAlignment="1">
      <alignment horizontal="center"/>
    </xf>
    <xf numFmtId="0" fontId="64" fillId="0" borderId="0" xfId="0" applyFont="1"/>
    <xf numFmtId="8" fontId="61" fillId="22" borderId="6" xfId="2" applyNumberFormat="1" applyFont="1" applyFill="1" applyBorder="1"/>
    <xf numFmtId="176" fontId="3" fillId="0" borderId="0" xfId="1" applyNumberFormat="1" applyFont="1"/>
    <xf numFmtId="0" fontId="64" fillId="0" borderId="0" xfId="0" quotePrefix="1" applyFont="1" applyAlignment="1">
      <alignment horizontal="center"/>
    </xf>
    <xf numFmtId="176" fontId="3" fillId="0" borderId="0" xfId="1" applyNumberFormat="1" applyFont="1" applyAlignment="1">
      <alignment horizontal="center" vertical="center" wrapText="1"/>
    </xf>
    <xf numFmtId="175" fontId="3" fillId="0" borderId="0" xfId="2" applyNumberFormat="1" applyFont="1" applyAlignment="1">
      <alignment horizontal="center" vertical="center" wrapText="1"/>
    </xf>
    <xf numFmtId="175" fontId="3" fillId="0" borderId="27" xfId="2" applyNumberFormat="1" applyFont="1" applyBorder="1" applyAlignment="1">
      <alignment horizontal="center" vertical="center" wrapText="1"/>
    </xf>
    <xf numFmtId="176" fontId="23" fillId="0" borderId="0" xfId="1" applyNumberFormat="1" applyFont="1" applyAlignment="1">
      <alignment horizontal="right"/>
    </xf>
    <xf numFmtId="0" fontId="4" fillId="0" borderId="0" xfId="5" applyFont="1" applyFill="1"/>
    <xf numFmtId="0" fontId="4" fillId="0" borderId="14" xfId="5" applyFont="1" applyFill="1" applyBorder="1"/>
    <xf numFmtId="0" fontId="4" fillId="0" borderId="1" xfId="5" applyFont="1" applyFill="1" applyBorder="1"/>
    <xf numFmtId="0" fontId="4" fillId="0" borderId="12" xfId="5" applyFont="1" applyFill="1" applyBorder="1"/>
    <xf numFmtId="0" fontId="4" fillId="0" borderId="0" xfId="5" applyFont="1" applyFill="1" applyAlignment="1">
      <alignment horizontal="centerContinuous"/>
    </xf>
    <xf numFmtId="0" fontId="4" fillId="8" borderId="0" xfId="5" applyFont="1" applyFill="1" applyAlignment="1">
      <alignment horizontal="centerContinuous"/>
    </xf>
    <xf numFmtId="0" fontId="4" fillId="0" borderId="10" xfId="5" applyFont="1" applyFill="1" applyBorder="1"/>
    <xf numFmtId="0" fontId="4" fillId="0" borderId="9" xfId="5" applyFont="1" applyFill="1" applyBorder="1"/>
    <xf numFmtId="0" fontId="4" fillId="7" borderId="0" xfId="5" applyFont="1"/>
    <xf numFmtId="44" fontId="26" fillId="0" borderId="7" xfId="5" applyNumberFormat="1" applyFont="1" applyFill="1" applyBorder="1" applyAlignment="1">
      <alignment horizontal="right"/>
    </xf>
    <xf numFmtId="0" fontId="53" fillId="7" borderId="0" xfId="5" applyFont="1"/>
    <xf numFmtId="0" fontId="47" fillId="7" borderId="0" xfId="5" applyFont="1" applyAlignment="1">
      <alignment horizontal="right"/>
    </xf>
    <xf numFmtId="0" fontId="4" fillId="19" borderId="0" xfId="5" applyFont="1" applyFill="1"/>
    <xf numFmtId="0" fontId="58" fillId="7" borderId="0" xfId="5" applyFont="1"/>
    <xf numFmtId="0" fontId="58" fillId="19" borderId="0" xfId="5" applyFont="1" applyFill="1"/>
    <xf numFmtId="0" fontId="47" fillId="19" borderId="0" xfId="5" applyFont="1" applyFill="1"/>
    <xf numFmtId="44" fontId="47" fillId="19" borderId="26" xfId="14" applyFont="1" applyFill="1" applyBorder="1"/>
    <xf numFmtId="44" fontId="47" fillId="19" borderId="4" xfId="14" applyFont="1" applyFill="1" applyBorder="1"/>
    <xf numFmtId="0" fontId="47" fillId="7" borderId="4" xfId="5" applyFont="1" applyBorder="1"/>
    <xf numFmtId="0" fontId="47" fillId="19" borderId="4" xfId="5" applyFont="1" applyFill="1" applyBorder="1"/>
    <xf numFmtId="43" fontId="47" fillId="7" borderId="6" xfId="1" applyFont="1" applyFill="1" applyBorder="1"/>
    <xf numFmtId="0" fontId="47" fillId="7" borderId="6" xfId="5" applyFont="1" applyBorder="1"/>
    <xf numFmtId="0" fontId="44" fillId="19" borderId="4" xfId="5" applyFont="1" applyFill="1" applyBorder="1"/>
    <xf numFmtId="0" fontId="49" fillId="19" borderId="0" xfId="5" applyFont="1" applyFill="1"/>
    <xf numFmtId="6" fontId="51" fillId="19" borderId="4" xfId="5" applyNumberFormat="1" applyFont="1" applyFill="1" applyBorder="1"/>
    <xf numFmtId="0" fontId="51" fillId="19" borderId="0" xfId="5" applyFont="1" applyFill="1" applyAlignment="1">
      <alignment horizontal="center"/>
    </xf>
    <xf numFmtId="0" fontId="51" fillId="19" borderId="0" xfId="5" applyFont="1" applyFill="1"/>
    <xf numFmtId="44" fontId="55" fillId="19" borderId="4" xfId="14" applyFont="1" applyFill="1" applyBorder="1"/>
    <xf numFmtId="0" fontId="53" fillId="19" borderId="4" xfId="5" applyFont="1" applyFill="1" applyBorder="1"/>
    <xf numFmtId="6" fontId="51" fillId="19" borderId="0" xfId="5" applyNumberFormat="1" applyFont="1" applyFill="1"/>
    <xf numFmtId="44" fontId="49" fillId="19" borderId="0" xfId="14" applyFont="1" applyFill="1"/>
    <xf numFmtId="6" fontId="53" fillId="19" borderId="16" xfId="5" applyNumberFormat="1" applyFont="1" applyFill="1" applyBorder="1" applyAlignment="1">
      <alignment horizontal="center"/>
    </xf>
    <xf numFmtId="6" fontId="53" fillId="19" borderId="7" xfId="5" applyNumberFormat="1" applyFont="1" applyFill="1" applyBorder="1"/>
    <xf numFmtId="0" fontId="53" fillId="19" borderId="15" xfId="5" applyFont="1" applyFill="1" applyBorder="1"/>
    <xf numFmtId="0" fontId="53" fillId="19" borderId="19" xfId="5" applyFont="1" applyFill="1" applyBorder="1" applyAlignment="1">
      <alignment horizontal="center"/>
    </xf>
    <xf numFmtId="0" fontId="53" fillId="19" borderId="18" xfId="5" applyFont="1" applyFill="1" applyBorder="1"/>
    <xf numFmtId="0" fontId="53" fillId="19" borderId="0" xfId="5" applyFont="1" applyFill="1"/>
    <xf numFmtId="44" fontId="55" fillId="19" borderId="0" xfId="14" applyFont="1" applyFill="1"/>
    <xf numFmtId="0" fontId="55" fillId="19" borderId="0" xfId="5" applyFont="1" applyFill="1"/>
    <xf numFmtId="0" fontId="57" fillId="19" borderId="0" xfId="5" applyFont="1" applyFill="1"/>
    <xf numFmtId="44" fontId="47" fillId="19" borderId="0" xfId="14" applyFont="1" applyFill="1"/>
    <xf numFmtId="0" fontId="81" fillId="18" borderId="0" xfId="5" applyFont="1" applyFill="1"/>
    <xf numFmtId="175" fontId="47" fillId="19" borderId="7" xfId="14" applyNumberFormat="1" applyFont="1" applyFill="1" applyBorder="1"/>
    <xf numFmtId="175" fontId="51" fillId="19" borderId="7" xfId="14" applyNumberFormat="1" applyFont="1" applyFill="1" applyBorder="1"/>
    <xf numFmtId="0" fontId="54" fillId="19" borderId="7" xfId="5" applyFont="1" applyFill="1" applyBorder="1"/>
    <xf numFmtId="0" fontId="49" fillId="19" borderId="0" xfId="5" applyFont="1" applyFill="1" applyAlignment="1">
      <alignment horizontal="center"/>
    </xf>
    <xf numFmtId="0" fontId="50" fillId="19" borderId="0" xfId="5" applyFont="1" applyFill="1"/>
    <xf numFmtId="44" fontId="50" fillId="7" borderId="0" xfId="14" applyFont="1" applyFill="1"/>
    <xf numFmtId="44" fontId="47" fillId="7" borderId="4" xfId="14" applyFont="1" applyFill="1" applyBorder="1"/>
    <xf numFmtId="0" fontId="50" fillId="7" borderId="4" xfId="5" applyFont="1" applyBorder="1"/>
    <xf numFmtId="0" fontId="53" fillId="7" borderId="26" xfId="5" applyFont="1" applyBorder="1"/>
    <xf numFmtId="175" fontId="82" fillId="0" borderId="7" xfId="14" applyNumberFormat="1" applyFont="1" applyBorder="1"/>
    <xf numFmtId="165" fontId="24" fillId="19" borderId="7" xfId="15" applyNumberFormat="1" applyFont="1" applyFill="1" applyBorder="1" applyAlignment="1">
      <alignment horizontal="center"/>
    </xf>
    <xf numFmtId="175" fontId="48" fillId="0" borderId="7" xfId="14" applyNumberFormat="1" applyFont="1" applyBorder="1"/>
    <xf numFmtId="165" fontId="24" fillId="19" borderId="19" xfId="15" applyNumberFormat="1" applyFont="1" applyFill="1" applyBorder="1" applyAlignment="1">
      <alignment horizontal="center"/>
    </xf>
    <xf numFmtId="175" fontId="55" fillId="0" borderId="7" xfId="14" applyNumberFormat="1" applyFont="1" applyBorder="1"/>
    <xf numFmtId="175" fontId="53" fillId="19" borderId="15" xfId="14" applyNumberFormat="1" applyFont="1" applyFill="1" applyBorder="1"/>
    <xf numFmtId="43" fontId="53" fillId="7" borderId="7" xfId="1" applyFont="1" applyFill="1" applyBorder="1"/>
    <xf numFmtId="0" fontId="28" fillId="19" borderId="7" xfId="16" applyFont="1" applyFill="1" applyBorder="1" applyAlignment="1">
      <alignment horizontal="center"/>
    </xf>
    <xf numFmtId="0" fontId="51" fillId="0" borderId="7" xfId="5" applyFont="1" applyFill="1" applyBorder="1" applyAlignment="1">
      <alignment vertical="center" wrapText="1"/>
    </xf>
    <xf numFmtId="0" fontId="51" fillId="0" borderId="7" xfId="16" applyFont="1" applyBorder="1" applyAlignment="1">
      <alignment horizontal="center" vertical="top" wrapText="1"/>
    </xf>
    <xf numFmtId="0" fontId="53" fillId="7" borderId="7" xfId="5" applyFont="1" applyBorder="1" applyAlignment="1">
      <alignment horizontal="center" wrapText="1"/>
    </xf>
    <xf numFmtId="0" fontId="51" fillId="0" borderId="7" xfId="16" applyFont="1" applyBorder="1" applyAlignment="1">
      <alignment horizontal="center" wrapText="1"/>
    </xf>
    <xf numFmtId="0" fontId="51" fillId="7" borderId="7" xfId="5" applyFont="1" applyBorder="1" applyAlignment="1">
      <alignment horizontal="center"/>
    </xf>
    <xf numFmtId="0" fontId="47" fillId="7" borderId="19" xfId="5" applyFont="1" applyBorder="1" applyAlignment="1">
      <alignment horizontal="center" vertical="top"/>
    </xf>
    <xf numFmtId="0" fontId="47" fillId="7" borderId="20" xfId="5" applyFont="1" applyBorder="1" applyAlignment="1">
      <alignment horizontal="center" vertical="top"/>
    </xf>
    <xf numFmtId="0" fontId="47" fillId="0" borderId="20" xfId="5" applyFont="1" applyFill="1" applyBorder="1"/>
    <xf numFmtId="0" fontId="47" fillId="7" borderId="15" xfId="5" applyFont="1" applyBorder="1" applyAlignment="1">
      <alignment horizontal="center" vertical="top"/>
    </xf>
    <xf numFmtId="0" fontId="47" fillId="7" borderId="15" xfId="5" applyFont="1" applyBorder="1"/>
    <xf numFmtId="0" fontId="47" fillId="0" borderId="7" xfId="5" applyFont="1" applyFill="1" applyBorder="1" applyAlignment="1">
      <alignment horizontal="center" vertical="top"/>
    </xf>
    <xf numFmtId="0" fontId="47" fillId="0" borderId="15" xfId="5" applyFont="1" applyFill="1" applyBorder="1" applyAlignment="1">
      <alignment horizontal="center" vertical="top"/>
    </xf>
    <xf numFmtId="0" fontId="47" fillId="0" borderId="15" xfId="5" applyFont="1" applyFill="1" applyBorder="1"/>
    <xf numFmtId="0" fontId="47" fillId="7" borderId="15" xfId="5" applyFont="1" applyBorder="1" applyAlignment="1">
      <alignment vertical="top"/>
    </xf>
    <xf numFmtId="0" fontId="52" fillId="7" borderId="0" xfId="5" applyFont="1"/>
    <xf numFmtId="0" fontId="52" fillId="19" borderId="0" xfId="5" applyFont="1" applyFill="1"/>
    <xf numFmtId="0" fontId="52" fillId="0" borderId="0" xfId="5" applyFont="1" applyFill="1"/>
    <xf numFmtId="0" fontId="49" fillId="0" borderId="0" xfId="16" applyFont="1" applyAlignment="1">
      <alignment horizontal="center" wrapText="1"/>
    </xf>
    <xf numFmtId="0" fontId="59" fillId="7" borderId="0" xfId="5" applyFont="1"/>
    <xf numFmtId="0" fontId="84" fillId="19" borderId="0" xfId="5" applyFont="1" applyFill="1"/>
    <xf numFmtId="44" fontId="44" fillId="19" borderId="33" xfId="14" applyFont="1" applyFill="1" applyBorder="1"/>
    <xf numFmtId="0" fontId="44" fillId="19" borderId="1" xfId="5" applyFont="1" applyFill="1" applyBorder="1" applyAlignment="1">
      <alignment horizontal="right"/>
    </xf>
    <xf numFmtId="0" fontId="44" fillId="7" borderId="1" xfId="5" applyFont="1" applyBorder="1"/>
    <xf numFmtId="0" fontId="44" fillId="19" borderId="13" xfId="5" applyFont="1" applyFill="1" applyBorder="1"/>
    <xf numFmtId="0" fontId="44" fillId="19" borderId="0" xfId="5" applyFont="1" applyFill="1"/>
    <xf numFmtId="0" fontId="84" fillId="7" borderId="0" xfId="5" applyFont="1"/>
    <xf numFmtId="44" fontId="44" fillId="19" borderId="30" xfId="14" applyFont="1" applyFill="1" applyBorder="1"/>
    <xf numFmtId="0" fontId="44" fillId="19" borderId="4" xfId="5" applyFont="1" applyFill="1" applyBorder="1" applyAlignment="1">
      <alignment horizontal="right"/>
    </xf>
    <xf numFmtId="0" fontId="42" fillId="7" borderId="4" xfId="5" applyFont="1" applyBorder="1"/>
    <xf numFmtId="0" fontId="44" fillId="19" borderId="11" xfId="5" applyFont="1" applyFill="1" applyBorder="1"/>
    <xf numFmtId="0" fontId="44" fillId="7" borderId="11" xfId="5" applyFont="1" applyBorder="1"/>
    <xf numFmtId="0" fontId="42" fillId="19" borderId="0" xfId="5" applyFont="1" applyFill="1"/>
    <xf numFmtId="0" fontId="44" fillId="19" borderId="6" xfId="5" applyFont="1" applyFill="1" applyBorder="1"/>
    <xf numFmtId="175" fontId="44" fillId="19" borderId="32" xfId="14" applyNumberFormat="1" applyFont="1" applyFill="1" applyBorder="1"/>
    <xf numFmtId="175" fontId="44" fillId="19" borderId="7" xfId="14" applyNumberFormat="1" applyFont="1" applyFill="1" applyBorder="1"/>
    <xf numFmtId="0" fontId="46" fillId="18" borderId="7" xfId="5" applyFont="1" applyFill="1" applyBorder="1"/>
    <xf numFmtId="0" fontId="44" fillId="19" borderId="34" xfId="5" applyFont="1" applyFill="1" applyBorder="1" applyAlignment="1">
      <alignment horizontal="center"/>
    </xf>
    <xf numFmtId="0" fontId="84" fillId="0" borderId="0" xfId="5" applyFont="1" applyFill="1"/>
    <xf numFmtId="0" fontId="85" fillId="19" borderId="0" xfId="5" applyFont="1" applyFill="1"/>
    <xf numFmtId="0" fontId="44" fillId="19" borderId="12" xfId="5" applyFont="1" applyFill="1" applyBorder="1" applyAlignment="1">
      <alignment horizontal="center"/>
    </xf>
    <xf numFmtId="0" fontId="44" fillId="19" borderId="0" xfId="5" applyFont="1" applyFill="1" applyAlignment="1">
      <alignment horizontal="center"/>
    </xf>
    <xf numFmtId="0" fontId="86" fillId="18" borderId="4" xfId="5" applyFont="1" applyFill="1" applyBorder="1" applyAlignment="1">
      <alignment horizontal="center"/>
    </xf>
    <xf numFmtId="0" fontId="44" fillId="19" borderId="31" xfId="5" applyFont="1" applyFill="1" applyBorder="1"/>
    <xf numFmtId="0" fontId="42" fillId="0" borderId="0" xfId="5" applyFont="1" applyFill="1"/>
    <xf numFmtId="0" fontId="44" fillId="19" borderId="12" xfId="5" applyFont="1" applyFill="1" applyBorder="1"/>
    <xf numFmtId="0" fontId="44" fillId="19" borderId="10" xfId="5" applyFont="1" applyFill="1" applyBorder="1"/>
    <xf numFmtId="0" fontId="44" fillId="19" borderId="9" xfId="5" applyFont="1" applyFill="1" applyBorder="1"/>
    <xf numFmtId="0" fontId="87" fillId="19" borderId="9" xfId="5" applyFont="1" applyFill="1" applyBorder="1"/>
    <xf numFmtId="0" fontId="87" fillId="19" borderId="8" xfId="5" applyFont="1" applyFill="1" applyBorder="1"/>
    <xf numFmtId="0" fontId="88" fillId="19" borderId="0" xfId="5" applyFont="1" applyFill="1"/>
    <xf numFmtId="44" fontId="44" fillId="7" borderId="45" xfId="14" applyFont="1" applyFill="1" applyBorder="1"/>
    <xf numFmtId="43" fontId="44" fillId="7" borderId="26" xfId="5" applyNumberFormat="1" applyFont="1" applyBorder="1"/>
    <xf numFmtId="0" fontId="41" fillId="7" borderId="0" xfId="5" applyFont="1"/>
    <xf numFmtId="43" fontId="41" fillId="7" borderId="0" xfId="5" applyNumberFormat="1" applyFont="1"/>
    <xf numFmtId="43" fontId="41" fillId="7" borderId="16" xfId="5" applyNumberFormat="1" applyFont="1" applyBorder="1"/>
    <xf numFmtId="0" fontId="41" fillId="7" borderId="7" xfId="5" applyFont="1" applyBorder="1" applyAlignment="1">
      <alignment horizontal="center"/>
    </xf>
    <xf numFmtId="44" fontId="44" fillId="7" borderId="7" xfId="14" applyFont="1" applyFill="1" applyBorder="1"/>
    <xf numFmtId="165" fontId="41" fillId="17" borderId="7" xfId="1" applyNumberFormat="1" applyFont="1" applyFill="1" applyBorder="1" applyAlignment="1">
      <alignment horizontal="center"/>
    </xf>
    <xf numFmtId="43" fontId="41" fillId="17" borderId="7" xfId="1" applyFont="1" applyFill="1" applyBorder="1" applyAlignment="1">
      <alignment horizontal="center"/>
    </xf>
    <xf numFmtId="43" fontId="41" fillId="5" borderId="7" xfId="1" applyFont="1" applyFill="1" applyBorder="1" applyAlignment="1">
      <alignment horizontal="center"/>
    </xf>
    <xf numFmtId="43" fontId="41" fillId="14" borderId="7" xfId="1" applyFont="1" applyFill="1" applyBorder="1" applyAlignment="1">
      <alignment horizontal="center"/>
    </xf>
    <xf numFmtId="43" fontId="41" fillId="13" borderId="7" xfId="1" applyFont="1" applyFill="1" applyBorder="1" applyAlignment="1">
      <alignment horizontal="center"/>
    </xf>
    <xf numFmtId="43" fontId="41" fillId="12" borderId="7" xfId="1" applyFont="1" applyFill="1" applyBorder="1" applyAlignment="1">
      <alignment horizontal="center"/>
    </xf>
    <xf numFmtId="43" fontId="41" fillId="11" borderId="7" xfId="1" applyFont="1" applyFill="1" applyBorder="1" applyAlignment="1">
      <alignment horizontal="center"/>
    </xf>
    <xf numFmtId="43" fontId="41" fillId="10" borderId="7" xfId="1" applyFont="1" applyFill="1" applyBorder="1" applyAlignment="1">
      <alignment horizontal="center"/>
    </xf>
    <xf numFmtId="165" fontId="41" fillId="16" borderId="7" xfId="1" applyNumberFormat="1" applyFont="1" applyFill="1" applyBorder="1" applyAlignment="1">
      <alignment horizontal="center"/>
    </xf>
    <xf numFmtId="43" fontId="41" fillId="16" borderId="7" xfId="1" applyFont="1" applyFill="1" applyBorder="1" applyAlignment="1">
      <alignment horizontal="center"/>
    </xf>
    <xf numFmtId="165" fontId="41" fillId="5" borderId="7" xfId="1" applyNumberFormat="1" applyFont="1" applyFill="1" applyBorder="1" applyAlignment="1">
      <alignment horizontal="center"/>
    </xf>
    <xf numFmtId="43" fontId="41" fillId="6" borderId="7" xfId="1" applyFont="1" applyFill="1" applyBorder="1" applyAlignment="1">
      <alignment horizontal="center"/>
    </xf>
    <xf numFmtId="165" fontId="41" fillId="15" borderId="7" xfId="1" applyNumberFormat="1" applyFont="1" applyFill="1" applyBorder="1" applyAlignment="1">
      <alignment horizontal="center"/>
    </xf>
    <xf numFmtId="43" fontId="41" fillId="3" borderId="7" xfId="1" applyFont="1" applyFill="1" applyBorder="1" applyAlignment="1">
      <alignment horizontal="center"/>
    </xf>
    <xf numFmtId="165" fontId="41" fillId="14" borderId="7" xfId="1" applyNumberFormat="1" applyFont="1" applyFill="1" applyBorder="1" applyAlignment="1">
      <alignment horizontal="center"/>
    </xf>
    <xf numFmtId="165" fontId="41" fillId="6" borderId="7" xfId="1" applyNumberFormat="1" applyFont="1" applyFill="1" applyBorder="1" applyAlignment="1">
      <alignment horizontal="center"/>
    </xf>
    <xf numFmtId="43" fontId="41" fillId="30" borderId="7" xfId="1" applyFont="1" applyFill="1" applyBorder="1" applyAlignment="1">
      <alignment horizontal="center"/>
    </xf>
    <xf numFmtId="0" fontId="45" fillId="19" borderId="7" xfId="5" applyFont="1" applyFill="1" applyBorder="1" applyAlignment="1">
      <alignment horizontal="center"/>
    </xf>
    <xf numFmtId="165" fontId="41" fillId="13" borderId="7" xfId="1" applyNumberFormat="1" applyFont="1" applyFill="1" applyBorder="1" applyAlignment="1">
      <alignment horizontal="center"/>
    </xf>
    <xf numFmtId="165" fontId="41" fillId="12" borderId="7" xfId="1" applyNumberFormat="1" applyFont="1" applyFill="1" applyBorder="1" applyAlignment="1">
      <alignment horizontal="center"/>
    </xf>
    <xf numFmtId="165" fontId="41" fillId="11" borderId="7" xfId="1" applyNumberFormat="1" applyFont="1" applyFill="1" applyBorder="1" applyAlignment="1">
      <alignment horizontal="center"/>
    </xf>
    <xf numFmtId="44" fontId="44" fillId="7" borderId="19" xfId="14" applyFont="1" applyFill="1" applyBorder="1"/>
    <xf numFmtId="165" fontId="41" fillId="10" borderId="19" xfId="1" applyNumberFormat="1" applyFont="1" applyFill="1" applyBorder="1" applyAlignment="1">
      <alignment horizontal="center"/>
    </xf>
    <xf numFmtId="0" fontId="18" fillId="30" borderId="24" xfId="5" applyFont="1" applyFill="1" applyBorder="1"/>
    <xf numFmtId="0" fontId="18" fillId="30" borderId="19" xfId="5" applyFont="1" applyFill="1" applyBorder="1"/>
    <xf numFmtId="0" fontId="18" fillId="30" borderId="4" xfId="5" applyFont="1" applyFill="1" applyBorder="1"/>
    <xf numFmtId="44" fontId="44" fillId="30" borderId="22" xfId="14" applyFont="1" applyFill="1" applyBorder="1"/>
    <xf numFmtId="165" fontId="44" fillId="30" borderId="0" xfId="1" applyNumberFormat="1" applyFont="1" applyFill="1"/>
    <xf numFmtId="165" fontId="41" fillId="30" borderId="18" xfId="1" applyNumberFormat="1" applyFont="1" applyFill="1" applyBorder="1" applyAlignment="1">
      <alignment horizontal="center"/>
    </xf>
    <xf numFmtId="0" fontId="89" fillId="7" borderId="0" xfId="5" applyFont="1"/>
    <xf numFmtId="0" fontId="89" fillId="30" borderId="23" xfId="5" applyFont="1" applyFill="1" applyBorder="1"/>
    <xf numFmtId="0" fontId="89" fillId="30" borderId="18" xfId="5" applyFont="1" applyFill="1" applyBorder="1"/>
    <xf numFmtId="0" fontId="89" fillId="30" borderId="27" xfId="5" applyFont="1" applyFill="1" applyBorder="1"/>
    <xf numFmtId="0" fontId="89" fillId="30" borderId="17" xfId="5" applyFont="1" applyFill="1" applyBorder="1"/>
    <xf numFmtId="44" fontId="46" fillId="7" borderId="16" xfId="14" applyFont="1" applyFill="1" applyBorder="1"/>
    <xf numFmtId="0" fontId="46" fillId="18" borderId="46" xfId="5" applyFont="1" applyFill="1" applyBorder="1"/>
    <xf numFmtId="165" fontId="46" fillId="19" borderId="15" xfId="1" applyNumberFormat="1" applyFont="1" applyFill="1" applyBorder="1" applyAlignment="1">
      <alignment horizontal="center"/>
    </xf>
    <xf numFmtId="165" fontId="46" fillId="19" borderId="7" xfId="1" applyNumberFormat="1" applyFont="1" applyFill="1" applyBorder="1" applyAlignment="1">
      <alignment horizontal="center"/>
    </xf>
    <xf numFmtId="0" fontId="44" fillId="0" borderId="7" xfId="5" applyFont="1" applyFill="1" applyBorder="1" applyAlignment="1">
      <alignment horizontal="center" vertical="center" wrapText="1"/>
    </xf>
    <xf numFmtId="0" fontId="44" fillId="0" borderId="17" xfId="5" applyFont="1" applyFill="1" applyBorder="1" applyAlignment="1">
      <alignment horizontal="center" vertical="center" wrapText="1"/>
    </xf>
    <xf numFmtId="0" fontId="44" fillId="7" borderId="7" xfId="5" applyFont="1" applyBorder="1" applyAlignment="1">
      <alignment horizontal="center" vertical="center" wrapText="1"/>
    </xf>
    <xf numFmtId="0" fontId="41" fillId="7" borderId="16" xfId="5" applyFont="1" applyBorder="1"/>
    <xf numFmtId="0" fontId="41" fillId="7" borderId="6" xfId="5" applyFont="1" applyBorder="1"/>
    <xf numFmtId="0" fontId="45" fillId="7" borderId="0" xfId="5" applyFont="1" applyAlignment="1">
      <alignment horizontal="center" vertical="top" wrapText="1"/>
    </xf>
    <xf numFmtId="0" fontId="41" fillId="7" borderId="0" xfId="5" applyFont="1" applyAlignment="1">
      <alignment horizontal="center"/>
    </xf>
    <xf numFmtId="0" fontId="65" fillId="7" borderId="0" xfId="5" applyFont="1"/>
    <xf numFmtId="167" fontId="41" fillId="17" borderId="7" xfId="5" applyNumberFormat="1" applyFont="1" applyFill="1" applyBorder="1" applyAlignment="1">
      <alignment horizontal="center"/>
    </xf>
    <xf numFmtId="165" fontId="41" fillId="10" borderId="7" xfId="1" applyNumberFormat="1" applyFont="1" applyFill="1" applyBorder="1" applyAlignment="1">
      <alignment horizontal="center"/>
    </xf>
    <xf numFmtId="167" fontId="41" fillId="16" borderId="7" xfId="5" applyNumberFormat="1" applyFont="1" applyFill="1" applyBorder="1" applyAlignment="1">
      <alignment horizontal="center"/>
    </xf>
    <xf numFmtId="167" fontId="41" fillId="5" borderId="7" xfId="5" applyNumberFormat="1" applyFont="1" applyFill="1" applyBorder="1" applyAlignment="1">
      <alignment horizontal="center"/>
    </xf>
    <xf numFmtId="167" fontId="41" fillId="15" borderId="7" xfId="5" applyNumberFormat="1" applyFont="1" applyFill="1" applyBorder="1" applyAlignment="1">
      <alignment horizontal="center"/>
    </xf>
    <xf numFmtId="165" fontId="41" fillId="3" borderId="7" xfId="1" applyNumberFormat="1" applyFont="1" applyFill="1" applyBorder="1" applyAlignment="1">
      <alignment horizontal="center"/>
    </xf>
    <xf numFmtId="167" fontId="41" fillId="14" borderId="7" xfId="5" applyNumberFormat="1" applyFont="1" applyFill="1" applyBorder="1" applyAlignment="1">
      <alignment horizontal="center"/>
    </xf>
    <xf numFmtId="167" fontId="41" fillId="6" borderId="7" xfId="5" applyNumberFormat="1" applyFont="1" applyFill="1" applyBorder="1" applyAlignment="1">
      <alignment horizontal="center"/>
    </xf>
    <xf numFmtId="165" fontId="41" fillId="9" borderId="7" xfId="1" applyNumberFormat="1" applyFont="1" applyFill="1" applyBorder="1" applyAlignment="1">
      <alignment horizontal="center"/>
    </xf>
    <xf numFmtId="167" fontId="41" fillId="13" borderId="7" xfId="5" applyNumberFormat="1" applyFont="1" applyFill="1" applyBorder="1" applyAlignment="1">
      <alignment horizontal="center"/>
    </xf>
    <xf numFmtId="167" fontId="41" fillId="12" borderId="7" xfId="5" applyNumberFormat="1" applyFont="1" applyFill="1" applyBorder="1" applyAlignment="1">
      <alignment horizontal="center"/>
    </xf>
    <xf numFmtId="167" fontId="41" fillId="11" borderId="7" xfId="5" applyNumberFormat="1" applyFont="1" applyFill="1" applyBorder="1" applyAlignment="1">
      <alignment horizontal="center"/>
    </xf>
    <xf numFmtId="167" fontId="41" fillId="10" borderId="7" xfId="5" applyNumberFormat="1" applyFont="1" applyFill="1" applyBorder="1" applyAlignment="1">
      <alignment horizontal="center"/>
    </xf>
    <xf numFmtId="167" fontId="41" fillId="9" borderId="4" xfId="5" applyNumberFormat="1" applyFont="1" applyFill="1" applyBorder="1" applyAlignment="1">
      <alignment horizontal="center" vertical="center"/>
    </xf>
    <xf numFmtId="165" fontId="44" fillId="9" borderId="18" xfId="1" applyNumberFormat="1" applyFont="1" applyFill="1" applyBorder="1"/>
    <xf numFmtId="165" fontId="41" fillId="9" borderId="0" xfId="1" applyNumberFormat="1" applyFont="1" applyFill="1" applyAlignment="1">
      <alignment horizontal="center" vertical="center"/>
    </xf>
    <xf numFmtId="165" fontId="41" fillId="9" borderId="18" xfId="1" applyNumberFormat="1" applyFont="1" applyFill="1" applyBorder="1" applyAlignment="1">
      <alignment horizontal="center"/>
    </xf>
    <xf numFmtId="0" fontId="43" fillId="9" borderId="17" xfId="5" applyFont="1" applyFill="1" applyBorder="1"/>
    <xf numFmtId="167" fontId="41" fillId="9" borderId="27" xfId="5" applyNumberFormat="1" applyFont="1" applyFill="1" applyBorder="1" applyAlignment="1">
      <alignment horizontal="center" vertical="center"/>
    </xf>
    <xf numFmtId="165" fontId="41" fillId="9" borderId="17" xfId="1" applyNumberFormat="1" applyFont="1" applyFill="1" applyBorder="1" applyAlignment="1">
      <alignment horizontal="center"/>
    </xf>
    <xf numFmtId="165" fontId="44" fillId="19" borderId="7" xfId="1" applyNumberFormat="1" applyFont="1" applyFill="1" applyBorder="1" applyAlignment="1">
      <alignment horizontal="center"/>
    </xf>
    <xf numFmtId="0" fontId="46" fillId="0" borderId="25" xfId="5" applyFont="1" applyFill="1" applyBorder="1" applyAlignment="1">
      <alignment horizontal="center"/>
    </xf>
    <xf numFmtId="165" fontId="41" fillId="0" borderId="0" xfId="1" applyNumberFormat="1" applyFont="1" applyAlignment="1">
      <alignment horizontal="center"/>
    </xf>
    <xf numFmtId="0" fontId="44" fillId="7" borderId="7" xfId="5" applyFont="1" applyBorder="1" applyAlignment="1">
      <alignment horizontal="center" wrapText="1"/>
    </xf>
    <xf numFmtId="0" fontId="45" fillId="7" borderId="0" xfId="5" applyFont="1" applyAlignment="1">
      <alignment horizontal="center" wrapText="1"/>
    </xf>
    <xf numFmtId="0" fontId="44" fillId="0" borderId="7" xfId="5" applyFont="1" applyFill="1" applyBorder="1" applyAlignment="1">
      <alignment horizontal="center" wrapText="1"/>
    </xf>
    <xf numFmtId="0" fontId="43" fillId="7" borderId="16" xfId="5" applyFont="1" applyBorder="1"/>
    <xf numFmtId="0" fontId="41" fillId="7" borderId="6" xfId="5" applyFont="1" applyBorder="1" applyAlignment="1">
      <alignment horizontal="left"/>
    </xf>
    <xf numFmtId="0" fontId="18" fillId="7" borderId="16" xfId="5" applyFont="1" applyBorder="1" applyAlignment="1">
      <alignment vertical="top"/>
    </xf>
    <xf numFmtId="0" fontId="21" fillId="19" borderId="6" xfId="5" applyFont="1" applyFill="1" applyBorder="1" applyAlignment="1">
      <alignment vertical="top"/>
    </xf>
    <xf numFmtId="0" fontId="21" fillId="19" borderId="15" xfId="5" applyFont="1" applyFill="1" applyBorder="1" applyAlignment="1">
      <alignment vertical="top"/>
    </xf>
    <xf numFmtId="49" fontId="42" fillId="7" borderId="15" xfId="5" applyNumberFormat="1" applyFont="1" applyBorder="1" applyAlignment="1">
      <alignment horizontal="center" vertical="top"/>
    </xf>
    <xf numFmtId="0" fontId="21" fillId="7" borderId="0" xfId="5" applyFont="1"/>
    <xf numFmtId="0" fontId="24" fillId="7" borderId="0" xfId="5" applyFont="1"/>
    <xf numFmtId="0" fontId="79" fillId="7" borderId="0" xfId="5" applyFont="1"/>
    <xf numFmtId="43" fontId="71" fillId="0" borderId="0" xfId="1" applyFont="1" applyAlignment="1">
      <alignment horizontal="center"/>
    </xf>
    <xf numFmtId="165" fontId="41" fillId="18" borderId="7" xfId="1" applyNumberFormat="1" applyFont="1" applyFill="1" applyBorder="1" applyAlignment="1">
      <alignment horizontal="center"/>
    </xf>
    <xf numFmtId="0" fontId="68" fillId="0" borderId="0" xfId="0" applyFont="1" applyAlignment="1">
      <alignment horizontal="right" vertical="center"/>
    </xf>
    <xf numFmtId="44" fontId="3" fillId="0" borderId="0" xfId="2" applyFont="1"/>
    <xf numFmtId="0" fontId="23" fillId="0" borderId="0" xfId="0" applyFont="1" applyAlignment="1">
      <alignment horizontal="center"/>
    </xf>
    <xf numFmtId="176" fontId="3" fillId="0" borderId="0" xfId="1" applyNumberFormat="1" applyFont="1" applyAlignment="1">
      <alignment horizontal="left" vertical="center"/>
    </xf>
    <xf numFmtId="176" fontId="0" fillId="0" borderId="0" xfId="1" applyNumberFormat="1" applyFont="1" applyAlignment="1">
      <alignment horizontal="left" vertical="center"/>
    </xf>
    <xf numFmtId="176" fontId="3" fillId="0" borderId="5" xfId="1" applyNumberFormat="1" applyFont="1" applyBorder="1"/>
    <xf numFmtId="44" fontId="3" fillId="0" borderId="5" xfId="2" applyFont="1" applyBorder="1"/>
    <xf numFmtId="43" fontId="77" fillId="0" borderId="0" xfId="1" applyFont="1" applyAlignment="1">
      <alignment horizontal="center" vertical="center" wrapText="1"/>
    </xf>
    <xf numFmtId="176" fontId="77" fillId="0" borderId="0" xfId="1" applyNumberFormat="1" applyFont="1" applyAlignment="1">
      <alignment horizontal="center" vertical="center" wrapText="1"/>
    </xf>
    <xf numFmtId="0" fontId="67" fillId="0" borderId="0" xfId="8" quotePrefix="1"/>
    <xf numFmtId="0" fontId="0" fillId="0" borderId="0" xfId="2" applyNumberFormat="1" applyFont="1"/>
    <xf numFmtId="0" fontId="3" fillId="0" borderId="26" xfId="2" applyNumberFormat="1" applyFont="1" applyBorder="1"/>
    <xf numFmtId="0" fontId="3" fillId="0" borderId="0" xfId="2" applyNumberFormat="1" applyFont="1" applyAlignment="1">
      <alignment horizontal="center" vertical="center" wrapText="1"/>
    </xf>
    <xf numFmtId="0" fontId="77" fillId="0" borderId="0" xfId="1" applyNumberFormat="1" applyFont="1" applyAlignment="1">
      <alignment horizontal="center" vertical="center" wrapText="1"/>
    </xf>
    <xf numFmtId="0" fontId="3" fillId="0" borderId="5" xfId="2" applyNumberFormat="1" applyFont="1" applyBorder="1"/>
    <xf numFmtId="0" fontId="3" fillId="20" borderId="6" xfId="2" applyNumberFormat="1" applyFont="1" applyFill="1" applyBorder="1"/>
    <xf numFmtId="0" fontId="61" fillId="22" borderId="6" xfId="2" applyNumberFormat="1" applyFont="1" applyFill="1" applyBorder="1"/>
    <xf numFmtId="0" fontId="70" fillId="27" borderId="6" xfId="2" applyNumberFormat="1" applyFont="1" applyFill="1" applyBorder="1"/>
    <xf numFmtId="0" fontId="70" fillId="27" borderId="0" xfId="2" applyNumberFormat="1" applyFont="1" applyFill="1"/>
    <xf numFmtId="0" fontId="3" fillId="20" borderId="2" xfId="0" quotePrefix="1" applyFont="1" applyFill="1" applyBorder="1" applyAlignment="1">
      <alignment horizontal="right"/>
    </xf>
    <xf numFmtId="0" fontId="3" fillId="0" borderId="0" xfId="2" applyNumberFormat="1" applyFont="1"/>
    <xf numFmtId="3" fontId="3" fillId="20" borderId="28" xfId="0" applyNumberFormat="1" applyFont="1" applyFill="1" applyBorder="1" applyAlignment="1">
      <alignment horizontal="right"/>
    </xf>
    <xf numFmtId="0" fontId="68" fillId="0" borderId="0" xfId="0" applyFont="1" applyAlignment="1">
      <alignment horizontal="center" vertical="center"/>
    </xf>
    <xf numFmtId="0" fontId="63" fillId="10" borderId="28" xfId="0" applyFont="1" applyFill="1" applyBorder="1"/>
    <xf numFmtId="0" fontId="3" fillId="20" borderId="15" xfId="0" applyFont="1" applyFill="1" applyBorder="1"/>
    <xf numFmtId="0" fontId="61" fillId="22" borderId="15" xfId="0" applyFont="1" applyFill="1" applyBorder="1"/>
    <xf numFmtId="0" fontId="70" fillId="27" borderId="15" xfId="0" applyFont="1" applyFill="1" applyBorder="1"/>
    <xf numFmtId="0" fontId="70" fillId="27" borderId="0" xfId="0" applyFont="1" applyFill="1"/>
    <xf numFmtId="0" fontId="61" fillId="22" borderId="0" xfId="0" applyFont="1" applyFill="1"/>
    <xf numFmtId="43" fontId="0" fillId="6" borderId="7" xfId="0" quotePrefix="1" applyNumberFormat="1" applyFill="1" applyBorder="1" applyAlignment="1" applyProtection="1">
      <alignment horizontal="right"/>
      <protection locked="0"/>
    </xf>
    <xf numFmtId="0" fontId="91" fillId="10" borderId="28" xfId="0" applyFont="1" applyFill="1" applyBorder="1" applyAlignment="1">
      <alignment horizontal="left"/>
    </xf>
    <xf numFmtId="176" fontId="92" fillId="10" borderId="2" xfId="1" applyNumberFormat="1" applyFont="1" applyFill="1" applyBorder="1"/>
    <xf numFmtId="0" fontId="92" fillId="10" borderId="2" xfId="0" applyFont="1" applyFill="1" applyBorder="1"/>
    <xf numFmtId="175" fontId="0" fillId="6" borderId="12" xfId="2" applyNumberFormat="1" applyFont="1" applyFill="1" applyBorder="1"/>
    <xf numFmtId="9" fontId="3" fillId="0" borderId="0" xfId="3" applyFont="1" applyAlignment="1">
      <alignment horizontal="center" vertical="center" wrapText="1"/>
    </xf>
    <xf numFmtId="0" fontId="35" fillId="4" borderId="0" xfId="5" applyFont="1" applyFill="1" applyAlignment="1">
      <alignment horizontal="left"/>
    </xf>
    <xf numFmtId="0" fontId="0" fillId="4" borderId="0" xfId="0" applyFill="1"/>
    <xf numFmtId="10" fontId="0" fillId="6" borderId="12" xfId="3" applyNumberFormat="1" applyFont="1" applyFill="1" applyBorder="1"/>
    <xf numFmtId="44" fontId="93" fillId="20" borderId="6" xfId="2" applyFont="1" applyFill="1" applyBorder="1"/>
    <xf numFmtId="9" fontId="68" fillId="0" borderId="0" xfId="3" applyFont="1"/>
    <xf numFmtId="0" fontId="94" fillId="0" borderId="0" xfId="0" applyFont="1"/>
    <xf numFmtId="165" fontId="68" fillId="0" borderId="0" xfId="1" applyNumberFormat="1" applyFont="1" applyFill="1" applyAlignment="1">
      <alignment horizontal="center"/>
    </xf>
    <xf numFmtId="0" fontId="68" fillId="0" borderId="0" xfId="0" applyFont="1" applyAlignment="1">
      <alignment horizontal="left"/>
    </xf>
    <xf numFmtId="175" fontId="68" fillId="0" borderId="0" xfId="2" applyNumberFormat="1" applyFont="1" applyAlignment="1">
      <alignment horizontal="center" vertical="center" wrapText="1"/>
    </xf>
    <xf numFmtId="175" fontId="3" fillId="0" borderId="6" xfId="2" applyNumberFormat="1" applyFont="1" applyBorder="1" applyAlignment="1">
      <alignment horizontal="center" vertical="center" wrapText="1"/>
    </xf>
    <xf numFmtId="0" fontId="52" fillId="0" borderId="0" xfId="0" applyFont="1"/>
    <xf numFmtId="176" fontId="0" fillId="0" borderId="0" xfId="1" applyNumberFormat="1" applyFont="1" applyBorder="1"/>
    <xf numFmtId="44" fontId="0" fillId="0" borderId="0" xfId="2" applyFont="1" applyBorder="1"/>
    <xf numFmtId="0" fontId="0" fillId="0" borderId="0" xfId="2" applyNumberFormat="1" applyFont="1" applyBorder="1"/>
    <xf numFmtId="0" fontId="3" fillId="0" borderId="0" xfId="1" applyNumberFormat="1" applyFont="1" applyFill="1" applyAlignment="1">
      <alignment horizontal="center"/>
    </xf>
    <xf numFmtId="176" fontId="0" fillId="0" borderId="0" xfId="1" applyNumberFormat="1" applyFont="1" applyFill="1"/>
    <xf numFmtId="176" fontId="3" fillId="0" borderId="0" xfId="1" applyNumberFormat="1" applyFont="1" applyFill="1" applyAlignment="1">
      <alignment horizontal="center"/>
    </xf>
    <xf numFmtId="0" fontId="6" fillId="7" borderId="6" xfId="5" applyBorder="1"/>
    <xf numFmtId="0" fontId="10" fillId="7" borderId="6" xfId="5" applyFont="1" applyBorder="1"/>
    <xf numFmtId="0" fontId="47" fillId="0" borderId="15" xfId="0" applyFont="1" applyBorder="1" applyAlignment="1">
      <alignment horizontal="center" vertical="top"/>
    </xf>
    <xf numFmtId="0" fontId="47" fillId="0" borderId="15" xfId="0" applyFont="1" applyBorder="1" applyAlignment="1">
      <alignment vertical="top"/>
    </xf>
    <xf numFmtId="0" fontId="47" fillId="0" borderId="6" xfId="0" applyFont="1" applyBorder="1" applyAlignment="1">
      <alignment horizontal="center" vertical="top"/>
    </xf>
    <xf numFmtId="0" fontId="47" fillId="0" borderId="16" xfId="0" applyFont="1" applyBorder="1" applyAlignment="1">
      <alignment horizontal="center" vertical="top"/>
    </xf>
    <xf numFmtId="0" fontId="47" fillId="0" borderId="7" xfId="0" applyFont="1" applyBorder="1" applyAlignment="1">
      <alignment horizontal="center" vertical="top"/>
    </xf>
    <xf numFmtId="0" fontId="47" fillId="0" borderId="20" xfId="0" applyFont="1" applyBorder="1"/>
    <xf numFmtId="0" fontId="47" fillId="0" borderId="20" xfId="0" applyFont="1" applyBorder="1" applyAlignment="1">
      <alignment horizontal="center" vertical="top"/>
    </xf>
    <xf numFmtId="0" fontId="47" fillId="0" borderId="19" xfId="0" applyFont="1" applyBorder="1" applyAlignment="1">
      <alignment horizontal="center" vertical="top"/>
    </xf>
    <xf numFmtId="0" fontId="47" fillId="0" borderId="15" xfId="0" applyFont="1" applyBorder="1"/>
    <xf numFmtId="179" fontId="0" fillId="0" borderId="0" xfId="0" applyNumberFormat="1"/>
    <xf numFmtId="164" fontId="23" fillId="0" borderId="0" xfId="1" applyNumberFormat="1" applyFont="1" applyFill="1" applyAlignment="1">
      <alignment horizontal="center"/>
    </xf>
    <xf numFmtId="0" fontId="23" fillId="0" borderId="0" xfId="1" applyNumberFormat="1" applyFont="1" applyFill="1" applyAlignment="1">
      <alignment horizontal="center"/>
    </xf>
    <xf numFmtId="164" fontId="23" fillId="0" borderId="42" xfId="1" applyNumberFormat="1" applyFont="1" applyFill="1" applyBorder="1" applyAlignment="1">
      <alignment horizontal="center"/>
    </xf>
    <xf numFmtId="44" fontId="23" fillId="6" borderId="0" xfId="2" applyFont="1" applyFill="1" applyAlignment="1">
      <alignment horizontal="center"/>
    </xf>
    <xf numFmtId="44" fontId="0" fillId="0" borderId="42" xfId="0" applyNumberFormat="1" applyBorder="1"/>
    <xf numFmtId="0" fontId="94" fillId="0" borderId="42" xfId="0" applyFont="1" applyBorder="1"/>
    <xf numFmtId="0" fontId="68" fillId="0" borderId="42" xfId="0" applyFont="1" applyBorder="1" applyAlignment="1">
      <alignment horizontal="center"/>
    </xf>
    <xf numFmtId="175" fontId="3" fillId="0" borderId="0" xfId="2" applyNumberFormat="1" applyFont="1" applyBorder="1" applyAlignment="1">
      <alignment horizontal="center" vertical="center" wrapText="1"/>
    </xf>
    <xf numFmtId="3" fontId="3" fillId="21" borderId="0" xfId="0" applyNumberFormat="1" applyFont="1" applyFill="1" applyAlignment="1">
      <alignment horizontal="center" wrapText="1"/>
    </xf>
    <xf numFmtId="2" fontId="0" fillId="0" borderId="0" xfId="0" applyNumberFormat="1"/>
    <xf numFmtId="44" fontId="3" fillId="0" borderId="0" xfId="2" applyFont="1" applyBorder="1"/>
    <xf numFmtId="44" fontId="3" fillId="0" borderId="6" xfId="2" applyFont="1" applyBorder="1"/>
    <xf numFmtId="8" fontId="3" fillId="20" borderId="2" xfId="0" quotePrefix="1" applyNumberFormat="1" applyFont="1" applyFill="1" applyBorder="1"/>
    <xf numFmtId="44" fontId="3" fillId="20" borderId="2" xfId="0" quotePrefix="1" applyNumberFormat="1" applyFont="1" applyFill="1" applyBorder="1"/>
    <xf numFmtId="8" fontId="3" fillId="20" borderId="2" xfId="0" quotePrefix="1" applyNumberFormat="1" applyFont="1" applyFill="1" applyBorder="1" applyAlignment="1">
      <alignment horizontal="right"/>
    </xf>
    <xf numFmtId="0" fontId="3" fillId="4" borderId="0" xfId="0" applyFont="1" applyFill="1" applyAlignment="1">
      <alignment horizontal="center" vertical="center" wrapText="1"/>
    </xf>
    <xf numFmtId="176" fontId="68" fillId="0" borderId="0" xfId="1" applyNumberFormat="1" applyFont="1" applyFill="1" applyBorder="1"/>
    <xf numFmtId="165" fontId="68" fillId="0" borderId="0" xfId="1" applyNumberFormat="1" applyFont="1" applyFill="1" applyBorder="1"/>
    <xf numFmtId="172" fontId="23" fillId="6" borderId="7" xfId="3" applyNumberFormat="1" applyFont="1" applyFill="1" applyBorder="1" applyAlignment="1">
      <alignment horizontal="center"/>
    </xf>
    <xf numFmtId="0" fontId="0" fillId="0" borderId="0" xfId="0" applyAlignment="1">
      <alignment vertical="center"/>
    </xf>
    <xf numFmtId="0" fontId="0" fillId="6" borderId="0" xfId="0" quotePrefix="1" applyFill="1"/>
    <xf numFmtId="0" fontId="68" fillId="6" borderId="0" xfId="0" applyFont="1" applyFill="1" applyAlignment="1">
      <alignment vertical="center" wrapText="1"/>
    </xf>
    <xf numFmtId="0" fontId="0" fillId="6" borderId="0" xfId="0" applyFill="1"/>
    <xf numFmtId="0" fontId="68" fillId="6" borderId="0" xfId="0" applyFont="1" applyFill="1" applyAlignment="1">
      <alignment vertical="center"/>
    </xf>
    <xf numFmtId="0" fontId="0" fillId="18" borderId="13" xfId="0" quotePrefix="1" applyFill="1" applyBorder="1"/>
    <xf numFmtId="165" fontId="68" fillId="18" borderId="1" xfId="1" applyNumberFormat="1" applyFont="1" applyFill="1" applyBorder="1"/>
    <xf numFmtId="165" fontId="98" fillId="18" borderId="1" xfId="1" applyNumberFormat="1" applyFont="1" applyFill="1" applyBorder="1"/>
    <xf numFmtId="165" fontId="68" fillId="0" borderId="0" xfId="1" applyNumberFormat="1" applyFont="1" applyBorder="1"/>
    <xf numFmtId="165" fontId="95" fillId="0" borderId="0" xfId="1" applyNumberFormat="1" applyFont="1" applyBorder="1"/>
    <xf numFmtId="164" fontId="23" fillId="0" borderId="0" xfId="1" applyNumberFormat="1" applyFont="1" applyFill="1" applyBorder="1" applyAlignment="1">
      <alignment horizontal="center"/>
    </xf>
    <xf numFmtId="9" fontId="68" fillId="0" borderId="0" xfId="3" applyFont="1" applyBorder="1"/>
    <xf numFmtId="176" fontId="3" fillId="0" borderId="0" xfId="1" applyNumberFormat="1" applyFont="1" applyFill="1" applyAlignment="1">
      <alignment horizontal="center" vertical="center" wrapText="1"/>
    </xf>
    <xf numFmtId="175" fontId="3" fillId="0" borderId="0" xfId="2" applyNumberFormat="1" applyFont="1" applyFill="1" applyAlignment="1">
      <alignment horizontal="center" vertical="center" wrapText="1"/>
    </xf>
    <xf numFmtId="0" fontId="3" fillId="0" borderId="0" xfId="2" applyNumberFormat="1" applyFont="1" applyFill="1" applyAlignment="1">
      <alignment horizontal="center" vertical="center" wrapText="1"/>
    </xf>
    <xf numFmtId="165" fontId="95" fillId="18" borderId="1" xfId="1" applyNumberFormat="1" applyFont="1" applyFill="1" applyBorder="1" applyAlignment="1">
      <alignment horizontal="right"/>
    </xf>
    <xf numFmtId="165" fontId="95" fillId="18" borderId="1" xfId="1" applyNumberFormat="1" applyFont="1" applyFill="1" applyBorder="1" applyAlignment="1">
      <alignment horizontal="center"/>
    </xf>
    <xf numFmtId="165" fontId="95" fillId="18" borderId="1" xfId="1" applyNumberFormat="1" applyFont="1" applyFill="1" applyBorder="1" applyAlignment="1">
      <alignment horizontal="left"/>
    </xf>
    <xf numFmtId="0" fontId="63" fillId="0" borderId="0" xfId="0" applyFont="1"/>
    <xf numFmtId="0" fontId="64" fillId="0" borderId="0" xfId="0" applyFont="1" applyAlignment="1">
      <alignment horizontal="center"/>
    </xf>
    <xf numFmtId="172" fontId="23" fillId="0" borderId="0" xfId="3" applyNumberFormat="1" applyFont="1" applyFill="1" applyBorder="1" applyAlignment="1">
      <alignment horizontal="center"/>
    </xf>
    <xf numFmtId="0" fontId="64" fillId="0" borderId="0" xfId="0" applyFont="1" applyAlignment="1">
      <alignment horizontal="center" wrapText="1"/>
    </xf>
    <xf numFmtId="0" fontId="3" fillId="0" borderId="0" xfId="0" applyFont="1" applyAlignment="1">
      <alignment horizontal="center"/>
    </xf>
    <xf numFmtId="0" fontId="3" fillId="21" borderId="0" xfId="0" applyFont="1" applyFill="1" applyAlignment="1">
      <alignment horizontal="center" wrapText="1"/>
    </xf>
    <xf numFmtId="0" fontId="0" fillId="4" borderId="0" xfId="0" quotePrefix="1" applyFill="1"/>
    <xf numFmtId="176" fontId="3" fillId="0" borderId="19" xfId="1" applyNumberFormat="1" applyFont="1" applyBorder="1" applyAlignment="1" applyProtection="1">
      <alignment horizontal="center" wrapText="1"/>
      <protection locked="0"/>
    </xf>
    <xf numFmtId="43" fontId="3" fillId="0" borderId="19" xfId="0" applyNumberFormat="1" applyFont="1" applyBorder="1" applyAlignment="1" applyProtection="1">
      <alignment horizontal="center" wrapText="1"/>
      <protection locked="0"/>
    </xf>
    <xf numFmtId="3" fontId="3" fillId="28" borderId="0" xfId="0" applyNumberFormat="1" applyFont="1" applyFill="1"/>
    <xf numFmtId="176" fontId="3" fillId="28" borderId="0" xfId="1" applyNumberFormat="1" applyFont="1" applyFill="1" applyBorder="1" applyAlignment="1" applyProtection="1">
      <alignment horizontal="center" wrapText="1"/>
      <protection locked="0"/>
    </xf>
    <xf numFmtId="43" fontId="3" fillId="28" borderId="0" xfId="0" applyNumberFormat="1" applyFont="1" applyFill="1" applyAlignment="1" applyProtection="1">
      <alignment horizontal="center" wrapText="1"/>
      <protection locked="0"/>
    </xf>
    <xf numFmtId="0" fontId="3" fillId="28" borderId="0" xfId="0" applyFont="1" applyFill="1" applyAlignment="1" applyProtection="1">
      <alignment horizontal="center" wrapText="1"/>
      <protection locked="0"/>
    </xf>
    <xf numFmtId="0" fontId="0" fillId="28" borderId="0" xfId="0" applyFill="1"/>
    <xf numFmtId="172" fontId="23" fillId="6" borderId="17" xfId="3" applyNumberFormat="1" applyFont="1" applyFill="1" applyBorder="1" applyAlignment="1">
      <alignment horizontal="center"/>
    </xf>
    <xf numFmtId="176" fontId="0" fillId="0" borderId="49" xfId="1" applyNumberFormat="1" applyFont="1" applyBorder="1"/>
    <xf numFmtId="0" fontId="0" fillId="0" borderId="49" xfId="0" applyBorder="1"/>
    <xf numFmtId="9" fontId="0" fillId="0" borderId="49" xfId="3" applyFont="1" applyBorder="1"/>
    <xf numFmtId="9" fontId="23" fillId="0" borderId="49" xfId="3" applyFont="1" applyFill="1" applyBorder="1" applyAlignment="1">
      <alignment horizontal="center"/>
    </xf>
    <xf numFmtId="0" fontId="0" fillId="0" borderId="50" xfId="0" applyBorder="1"/>
    <xf numFmtId="172" fontId="23" fillId="6" borderId="19" xfId="3" applyNumberFormat="1" applyFont="1" applyFill="1" applyBorder="1" applyAlignment="1">
      <alignment horizontal="center"/>
    </xf>
    <xf numFmtId="0" fontId="0" fillId="4" borderId="11" xfId="0" applyFill="1" applyBorder="1"/>
    <xf numFmtId="0" fontId="64" fillId="4" borderId="0" xfId="0" applyFont="1" applyFill="1" applyAlignment="1">
      <alignment horizontal="center"/>
    </xf>
    <xf numFmtId="175" fontId="3" fillId="4" borderId="48" xfId="2" applyNumberFormat="1" applyFont="1" applyFill="1" applyBorder="1"/>
    <xf numFmtId="10" fontId="63" fillId="4" borderId="12" xfId="3" applyNumberFormat="1" applyFont="1" applyFill="1" applyBorder="1"/>
    <xf numFmtId="175" fontId="0" fillId="4" borderId="0" xfId="2" applyNumberFormat="1" applyFont="1" applyFill="1" applyBorder="1"/>
    <xf numFmtId="0" fontId="0" fillId="0" borderId="7" xfId="0" applyBorder="1"/>
    <xf numFmtId="0" fontId="3" fillId="4" borderId="0" xfId="0" applyFont="1" applyFill="1" applyAlignment="1">
      <alignment wrapText="1"/>
    </xf>
    <xf numFmtId="0" fontId="1" fillId="4" borderId="0" xfId="0" applyFont="1" applyFill="1" applyAlignment="1">
      <alignment vertical="center"/>
    </xf>
    <xf numFmtId="175" fontId="3" fillId="4" borderId="33" xfId="2" applyNumberFormat="1" applyFont="1" applyFill="1" applyBorder="1"/>
    <xf numFmtId="0" fontId="97" fillId="0" borderId="51" xfId="0" applyFont="1" applyBorder="1"/>
    <xf numFmtId="165" fontId="23" fillId="0" borderId="0" xfId="1" applyNumberFormat="1" applyFont="1" applyBorder="1" applyAlignment="1">
      <alignment horizontal="center"/>
    </xf>
    <xf numFmtId="172" fontId="0" fillId="0" borderId="0" xfId="0" applyNumberFormat="1"/>
    <xf numFmtId="172" fontId="23" fillId="0" borderId="0" xfId="1" applyNumberFormat="1" applyFont="1" applyBorder="1" applyAlignment="1">
      <alignment horizontal="center"/>
    </xf>
    <xf numFmtId="0" fontId="97" fillId="0" borderId="52" xfId="0" applyFont="1" applyBorder="1"/>
    <xf numFmtId="0" fontId="0" fillId="0" borderId="11" xfId="0" applyBorder="1"/>
    <xf numFmtId="44" fontId="69" fillId="0" borderId="0" xfId="2" applyFont="1" applyBorder="1"/>
    <xf numFmtId="176" fontId="69" fillId="0" borderId="0" xfId="1" applyNumberFormat="1" applyFont="1" applyBorder="1"/>
    <xf numFmtId="0" fontId="69" fillId="0" borderId="0" xfId="2" applyNumberFormat="1" applyFont="1" applyBorder="1"/>
    <xf numFmtId="44" fontId="96" fillId="0" borderId="0" xfId="2" applyFont="1" applyBorder="1"/>
    <xf numFmtId="0" fontId="3" fillId="0" borderId="12" xfId="0" applyFont="1" applyBorder="1" applyAlignment="1">
      <alignment horizontal="center" textRotation="90"/>
    </xf>
    <xf numFmtId="0" fontId="64" fillId="4" borderId="1" xfId="0" applyFont="1" applyFill="1" applyBorder="1" applyAlignment="1">
      <alignment horizontal="center"/>
    </xf>
    <xf numFmtId="0" fontId="0" fillId="6" borderId="9" xfId="0" applyFill="1" applyBorder="1" applyAlignment="1">
      <alignment horizontal="center" vertical="center"/>
    </xf>
    <xf numFmtId="0" fontId="0" fillId="6" borderId="0" xfId="0" applyFill="1" applyAlignment="1">
      <alignment horizontal="center" vertical="center"/>
    </xf>
    <xf numFmtId="176" fontId="3" fillId="0" borderId="0" xfId="1" applyNumberFormat="1" applyFont="1" applyBorder="1" applyAlignment="1">
      <alignment horizontal="left" vertical="center"/>
    </xf>
    <xf numFmtId="0" fontId="70" fillId="32" borderId="0" xfId="0" applyFont="1" applyFill="1"/>
    <xf numFmtId="0" fontId="63" fillId="31" borderId="9" xfId="0" applyFont="1" applyFill="1" applyBorder="1" applyAlignment="1">
      <alignment horizontal="center" wrapText="1"/>
    </xf>
    <xf numFmtId="0" fontId="63" fillId="31" borderId="10" xfId="0" applyFont="1" applyFill="1" applyBorder="1" applyAlignment="1">
      <alignment horizontal="center" wrapText="1"/>
    </xf>
    <xf numFmtId="0" fontId="0" fillId="0" borderId="13" xfId="0" applyBorder="1" applyAlignment="1">
      <alignment vertical="center"/>
    </xf>
    <xf numFmtId="176" fontId="68" fillId="0" borderId="1" xfId="1" applyNumberFormat="1" applyFont="1" applyFill="1" applyBorder="1"/>
    <xf numFmtId="165" fontId="68" fillId="0" borderId="1" xfId="1" applyNumberFormat="1" applyFont="1" applyFill="1" applyBorder="1"/>
    <xf numFmtId="172" fontId="23" fillId="6" borderId="47" xfId="3" applyNumberFormat="1" applyFont="1" applyFill="1" applyBorder="1" applyAlignment="1">
      <alignment horizontal="center"/>
    </xf>
    <xf numFmtId="172" fontId="0" fillId="0" borderId="1" xfId="0" applyNumberFormat="1" applyBorder="1"/>
    <xf numFmtId="172" fontId="23" fillId="0" borderId="1" xfId="1" applyNumberFormat="1" applyFont="1" applyBorder="1" applyAlignment="1">
      <alignment horizontal="center"/>
    </xf>
    <xf numFmtId="172" fontId="23" fillId="0" borderId="1" xfId="3" applyNumberFormat="1" applyFont="1" applyFill="1" applyBorder="1" applyAlignment="1">
      <alignment horizontal="center"/>
    </xf>
    <xf numFmtId="0" fontId="64" fillId="28" borderId="10" xfId="0" applyFont="1" applyFill="1" applyBorder="1" applyAlignment="1">
      <alignment horizontal="center" wrapText="1"/>
    </xf>
    <xf numFmtId="0" fontId="64" fillId="28" borderId="12" xfId="0" applyFont="1" applyFill="1" applyBorder="1" applyAlignment="1">
      <alignment horizontal="center" wrapText="1"/>
    </xf>
    <xf numFmtId="0" fontId="64" fillId="28" borderId="14" xfId="0" applyFont="1" applyFill="1" applyBorder="1" applyAlignment="1">
      <alignment horizontal="center" wrapText="1"/>
    </xf>
    <xf numFmtId="0" fontId="64" fillId="0" borderId="35" xfId="0" applyFont="1" applyBorder="1" applyAlignment="1">
      <alignment horizontal="center" wrapText="1"/>
    </xf>
    <xf numFmtId="0" fontId="70" fillId="32" borderId="1" xfId="0" applyFont="1" applyFill="1" applyBorder="1"/>
    <xf numFmtId="175" fontId="3" fillId="4" borderId="0" xfId="2" applyNumberFormat="1" applyFont="1" applyFill="1" applyBorder="1"/>
    <xf numFmtId="172" fontId="23" fillId="0" borderId="0" xfId="1" applyNumberFormat="1" applyFont="1" applyFill="1" applyBorder="1" applyAlignment="1">
      <alignment horizontal="center"/>
    </xf>
    <xf numFmtId="175" fontId="3" fillId="0" borderId="0" xfId="2" applyNumberFormat="1" applyFont="1" applyFill="1" applyBorder="1"/>
    <xf numFmtId="175" fontId="23" fillId="0" borderId="0" xfId="2" applyNumberFormat="1" applyFont="1" applyFill="1" applyBorder="1" applyAlignment="1">
      <alignment horizontal="center"/>
    </xf>
    <xf numFmtId="165" fontId="102" fillId="18" borderId="1" xfId="1" applyNumberFormat="1" applyFont="1" applyFill="1" applyBorder="1"/>
    <xf numFmtId="0" fontId="71" fillId="0" borderId="0" xfId="1" applyNumberFormat="1" applyFont="1" applyAlignment="1">
      <alignment horizontal="center"/>
    </xf>
    <xf numFmtId="0" fontId="62" fillId="0" borderId="0" xfId="0" applyFont="1"/>
    <xf numFmtId="176" fontId="62" fillId="0" borderId="0" xfId="1" applyNumberFormat="1" applyFont="1"/>
    <xf numFmtId="165" fontId="62" fillId="0" borderId="0" xfId="1" applyNumberFormat="1" applyFont="1"/>
    <xf numFmtId="0" fontId="62" fillId="0" borderId="0" xfId="1" applyNumberFormat="1" applyFont="1"/>
    <xf numFmtId="165" fontId="103" fillId="0" borderId="0" xfId="1" applyNumberFormat="1" applyFont="1" applyAlignment="1">
      <alignment horizontal="center"/>
    </xf>
    <xf numFmtId="43" fontId="62" fillId="0" borderId="0" xfId="1" applyFont="1"/>
    <xf numFmtId="0" fontId="70" fillId="33" borderId="0" xfId="0" applyFont="1" applyFill="1"/>
    <xf numFmtId="0" fontId="0" fillId="6" borderId="7" xfId="0" applyFill="1" applyBorder="1"/>
    <xf numFmtId="0" fontId="0" fillId="6" borderId="7" xfId="0" applyFill="1" applyBorder="1" applyAlignment="1">
      <alignment horizontal="center"/>
    </xf>
    <xf numFmtId="0" fontId="70" fillId="32" borderId="28" xfId="0" applyFont="1" applyFill="1" applyBorder="1"/>
    <xf numFmtId="0" fontId="70" fillId="32" borderId="2" xfId="0" applyFont="1" applyFill="1" applyBorder="1"/>
    <xf numFmtId="0" fontId="0" fillId="0" borderId="0" xfId="0" applyAlignment="1">
      <alignment horizontal="right" indent="2"/>
    </xf>
    <xf numFmtId="176" fontId="0" fillId="0" borderId="7" xfId="1" applyNumberFormat="1" applyFont="1" applyFill="1" applyBorder="1"/>
    <xf numFmtId="43" fontId="0" fillId="0" borderId="7" xfId="1" applyFont="1" applyFill="1" applyBorder="1"/>
    <xf numFmtId="44" fontId="0" fillId="0" borderId="7" xfId="2" applyFont="1" applyFill="1" applyBorder="1"/>
    <xf numFmtId="176" fontId="0" fillId="0" borderId="7" xfId="1" applyNumberFormat="1" applyFont="1" applyFill="1" applyBorder="1" applyAlignment="1">
      <alignment horizontal="center" vertical="center"/>
    </xf>
    <xf numFmtId="44" fontId="0" fillId="0" borderId="7" xfId="2" applyFont="1" applyFill="1" applyBorder="1" applyAlignment="1">
      <alignment horizontal="center" vertical="center"/>
    </xf>
    <xf numFmtId="0" fontId="0" fillId="0" borderId="0" xfId="0" applyAlignment="1">
      <alignment horizontal="left" indent="2"/>
    </xf>
    <xf numFmtId="44" fontId="0" fillId="0" borderId="0" xfId="2" applyFont="1" applyFill="1" applyBorder="1"/>
    <xf numFmtId="178" fontId="104" fillId="5" borderId="28" xfId="1" applyNumberFormat="1" applyFont="1" applyFill="1" applyBorder="1" applyAlignment="1">
      <alignment vertical="center"/>
    </xf>
    <xf numFmtId="178" fontId="0" fillId="5" borderId="2" xfId="1" applyNumberFormat="1" applyFont="1" applyFill="1" applyBorder="1" applyAlignment="1">
      <alignment vertical="center"/>
    </xf>
    <xf numFmtId="0" fontId="0" fillId="0" borderId="7" xfId="0" applyBorder="1" applyAlignment="1">
      <alignment horizontal="right" indent="2"/>
    </xf>
    <xf numFmtId="176" fontId="3" fillId="0" borderId="7" xfId="1" applyNumberFormat="1" applyFont="1" applyFill="1" applyBorder="1"/>
    <xf numFmtId="44" fontId="3" fillId="0" borderId="7" xfId="2" applyFont="1" applyFill="1" applyBorder="1"/>
    <xf numFmtId="0" fontId="69" fillId="0" borderId="0" xfId="0" applyFont="1"/>
    <xf numFmtId="0" fontId="69" fillId="4" borderId="0" xfId="0" applyFont="1" applyFill="1"/>
    <xf numFmtId="176" fontId="69" fillId="0" borderId="0" xfId="0" applyNumberFormat="1" applyFont="1"/>
    <xf numFmtId="43" fontId="0" fillId="6" borderId="7" xfId="1" applyFont="1" applyFill="1" applyBorder="1" applyAlignment="1" applyProtection="1">
      <alignment horizontal="right"/>
      <protection locked="0"/>
    </xf>
    <xf numFmtId="43" fontId="0" fillId="6" borderId="19" xfId="1" applyFont="1" applyFill="1" applyBorder="1" applyAlignment="1" applyProtection="1">
      <alignment horizontal="right"/>
      <protection locked="0"/>
    </xf>
    <xf numFmtId="43" fontId="0" fillId="6" borderId="19" xfId="0" quotePrefix="1" applyNumberFormat="1" applyFill="1" applyBorder="1" applyAlignment="1" applyProtection="1">
      <alignment horizontal="right"/>
      <protection locked="0"/>
    </xf>
    <xf numFmtId="0" fontId="0" fillId="6" borderId="19" xfId="0" applyFill="1" applyBorder="1"/>
    <xf numFmtId="165" fontId="68" fillId="18" borderId="13" xfId="1" applyNumberFormat="1" applyFont="1" applyFill="1" applyBorder="1"/>
    <xf numFmtId="0" fontId="70" fillId="33" borderId="28" xfId="0" applyFont="1" applyFill="1" applyBorder="1"/>
    <xf numFmtId="0" fontId="70" fillId="33" borderId="2" xfId="0" applyFont="1" applyFill="1" applyBorder="1"/>
    <xf numFmtId="44" fontId="0" fillId="0" borderId="0" xfId="2" applyFont="1" applyFill="1"/>
    <xf numFmtId="0" fontId="0" fillId="0" borderId="0" xfId="2" applyNumberFormat="1" applyFont="1" applyFill="1"/>
    <xf numFmtId="44" fontId="99" fillId="20" borderId="6" xfId="2" applyFont="1" applyFill="1" applyBorder="1"/>
    <xf numFmtId="44" fontId="3" fillId="6" borderId="6" xfId="2" applyFont="1" applyFill="1" applyBorder="1"/>
    <xf numFmtId="44" fontId="3" fillId="6" borderId="6" xfId="2" applyFont="1" applyFill="1" applyBorder="1" applyAlignment="1">
      <alignment vertical="top"/>
    </xf>
    <xf numFmtId="0" fontId="63" fillId="0" borderId="35" xfId="0" applyFont="1" applyBorder="1" applyAlignment="1">
      <alignment horizontal="center" wrapText="1"/>
    </xf>
    <xf numFmtId="0" fontId="63" fillId="28" borderId="10" xfId="0" applyFont="1" applyFill="1" applyBorder="1" applyAlignment="1">
      <alignment horizontal="center" wrapText="1"/>
    </xf>
    <xf numFmtId="0" fontId="63" fillId="28" borderId="14" xfId="0" applyFont="1" applyFill="1" applyBorder="1" applyAlignment="1">
      <alignment horizontal="center" wrapText="1"/>
    </xf>
    <xf numFmtId="165" fontId="0" fillId="0" borderId="0" xfId="1" applyNumberFormat="1" applyFont="1" applyFill="1" applyAlignment="1">
      <alignment horizontal="right"/>
    </xf>
    <xf numFmtId="176" fontId="3" fillId="0" borderId="0" xfId="1" applyNumberFormat="1" applyFont="1" applyFill="1" applyBorder="1" applyAlignment="1">
      <alignment horizontal="center"/>
    </xf>
    <xf numFmtId="0" fontId="105" fillId="0" borderId="0" xfId="21" applyFont="1"/>
    <xf numFmtId="0" fontId="108" fillId="0" borderId="0" xfId="21" applyFont="1"/>
    <xf numFmtId="16" fontId="109" fillId="19" borderId="0" xfId="21" applyNumberFormat="1" applyFont="1" applyFill="1" applyAlignment="1">
      <alignment wrapText="1"/>
    </xf>
    <xf numFmtId="0" fontId="109" fillId="19" borderId="0" xfId="21" applyFont="1" applyFill="1" applyAlignment="1">
      <alignment horizontal="center" wrapText="1"/>
    </xf>
    <xf numFmtId="0" fontId="47" fillId="19" borderId="0" xfId="21" applyFont="1" applyFill="1" applyAlignment="1">
      <alignment horizontal="center"/>
    </xf>
    <xf numFmtId="0" fontId="108" fillId="19" borderId="0" xfId="21" applyFont="1" applyFill="1"/>
    <xf numFmtId="0" fontId="55" fillId="19" borderId="0" xfId="21" applyFont="1" applyFill="1" applyAlignment="1">
      <alignment wrapText="1"/>
    </xf>
    <xf numFmtId="0" fontId="107" fillId="19" borderId="0" xfId="21" applyFont="1" applyFill="1" applyAlignment="1">
      <alignment horizontal="center"/>
    </xf>
    <xf numFmtId="0" fontId="107" fillId="0" borderId="0" xfId="21" applyFont="1" applyAlignment="1">
      <alignment horizontal="center"/>
    </xf>
    <xf numFmtId="0" fontId="47" fillId="19" borderId="0" xfId="21" applyFont="1" applyFill="1" applyAlignment="1">
      <alignment wrapText="1"/>
    </xf>
    <xf numFmtId="0" fontId="110" fillId="19" borderId="0" xfId="21" applyFont="1" applyFill="1" applyAlignment="1">
      <alignment horizontal="center" wrapText="1"/>
    </xf>
    <xf numFmtId="14" fontId="110" fillId="19" borderId="0" xfId="21" applyNumberFormat="1" applyFont="1" applyFill="1" applyAlignment="1">
      <alignment horizontal="center" wrapText="1"/>
    </xf>
    <xf numFmtId="3" fontId="47" fillId="19" borderId="0" xfId="21" applyNumberFormat="1" applyFont="1" applyFill="1" applyAlignment="1">
      <alignment horizontal="center" wrapText="1"/>
    </xf>
    <xf numFmtId="3" fontId="47" fillId="0" borderId="0" xfId="21" applyNumberFormat="1" applyFont="1" applyAlignment="1">
      <alignment horizontal="center" wrapText="1"/>
    </xf>
    <xf numFmtId="0" fontId="111" fillId="0" borderId="0" xfId="23"/>
    <xf numFmtId="2" fontId="47" fillId="19" borderId="4" xfId="24" applyNumberFormat="1" applyFont="1" applyFill="1" applyBorder="1" applyAlignment="1" applyProtection="1">
      <alignment horizontal="center"/>
    </xf>
    <xf numFmtId="2" fontId="47" fillId="0" borderId="4" xfId="24" applyNumberFormat="1" applyFont="1" applyFill="1" applyBorder="1" applyAlignment="1" applyProtection="1">
      <alignment horizontal="center"/>
    </xf>
    <xf numFmtId="0" fontId="110" fillId="19" borderId="0" xfId="21" applyFont="1" applyFill="1" applyAlignment="1">
      <alignment wrapText="1"/>
    </xf>
    <xf numFmtId="41" fontId="47" fillId="19" borderId="0" xfId="24" applyNumberFormat="1" applyFont="1" applyFill="1" applyBorder="1" applyAlignment="1" applyProtection="1"/>
    <xf numFmtId="0" fontId="47" fillId="19" borderId="0" xfId="21" applyFont="1" applyFill="1"/>
    <xf numFmtId="0" fontId="52" fillId="19" borderId="0" xfId="21" applyFont="1" applyFill="1" applyAlignment="1">
      <alignment wrapText="1"/>
    </xf>
    <xf numFmtId="0" fontId="47" fillId="19" borderId="0" xfId="21" applyFont="1" applyFill="1" applyAlignment="1">
      <alignment horizontal="left" wrapText="1" indent="2"/>
    </xf>
    <xf numFmtId="41" fontId="47" fillId="0" borderId="0" xfId="24" applyNumberFormat="1" applyFont="1" applyFill="1" applyBorder="1" applyAlignment="1" applyProtection="1"/>
    <xf numFmtId="0" fontId="47" fillId="34" borderId="0" xfId="21" applyFont="1" applyFill="1" applyAlignment="1">
      <alignment horizontal="left" wrapText="1" indent="2"/>
    </xf>
    <xf numFmtId="41" fontId="47" fillId="19" borderId="4" xfId="24" applyNumberFormat="1" applyFont="1" applyFill="1" applyBorder="1" applyAlignment="1" applyProtection="1"/>
    <xf numFmtId="41" fontId="47" fillId="0" borderId="4" xfId="24" applyNumberFormat="1" applyFont="1" applyFill="1" applyBorder="1" applyAlignment="1" applyProtection="1"/>
    <xf numFmtId="0" fontId="56" fillId="0" borderId="0" xfId="25" applyFont="1" applyAlignment="1">
      <alignment horizontal="left" indent="1"/>
    </xf>
    <xf numFmtId="41" fontId="111" fillId="0" borderId="0" xfId="23" applyNumberFormat="1"/>
    <xf numFmtId="0" fontId="52" fillId="34" borderId="26" xfId="21" applyFont="1" applyFill="1" applyBorder="1" applyAlignment="1">
      <alignment wrapText="1"/>
    </xf>
    <xf numFmtId="41" fontId="52" fillId="19" borderId="26" xfId="24" applyNumberFormat="1" applyFont="1" applyFill="1" applyBorder="1" applyAlignment="1" applyProtection="1"/>
    <xf numFmtId="0" fontId="52" fillId="34" borderId="0" xfId="21" applyFont="1" applyFill="1" applyAlignment="1">
      <alignment wrapText="1"/>
    </xf>
    <xf numFmtId="41" fontId="52" fillId="34" borderId="0" xfId="24" applyNumberFormat="1" applyFont="1" applyFill="1" applyBorder="1" applyAlignment="1" applyProtection="1"/>
    <xf numFmtId="41" fontId="109" fillId="34" borderId="0" xfId="21" applyNumberFormat="1" applyFont="1" applyFill="1"/>
    <xf numFmtId="0" fontId="47" fillId="0" borderId="0" xfId="21" applyFont="1"/>
    <xf numFmtId="0" fontId="56" fillId="0" borderId="0" xfId="25" applyFont="1"/>
    <xf numFmtId="41" fontId="47" fillId="34" borderId="0" xfId="24" applyNumberFormat="1" applyFont="1" applyFill="1" applyBorder="1" applyAlignment="1" applyProtection="1"/>
    <xf numFmtId="165" fontId="47" fillId="0" borderId="0" xfId="26" applyNumberFormat="1" applyFont="1" applyFill="1" applyBorder="1" applyAlignment="1" applyProtection="1"/>
    <xf numFmtId="165" fontId="47" fillId="34" borderId="0" xfId="26" applyNumberFormat="1" applyFont="1" applyFill="1" applyBorder="1" applyAlignment="1" applyProtection="1"/>
    <xf numFmtId="165" fontId="47" fillId="19" borderId="0" xfId="26" applyNumberFormat="1" applyFont="1" applyFill="1" applyBorder="1" applyAlignment="1" applyProtection="1"/>
    <xf numFmtId="0" fontId="50" fillId="0" borderId="0" xfId="25" applyFont="1" applyAlignment="1">
      <alignment horizontal="left" indent="2"/>
    </xf>
    <xf numFmtId="0" fontId="50" fillId="0" borderId="0" xfId="25" applyFont="1" applyAlignment="1">
      <alignment horizontal="left" wrapText="1" indent="2"/>
    </xf>
    <xf numFmtId="165" fontId="47" fillId="34" borderId="4" xfId="26" applyNumberFormat="1" applyFont="1" applyFill="1" applyBorder="1" applyAlignment="1" applyProtection="1"/>
    <xf numFmtId="165" fontId="47" fillId="0" borderId="4" xfId="26" applyNumberFormat="1" applyFont="1" applyFill="1" applyBorder="1" applyAlignment="1" applyProtection="1"/>
    <xf numFmtId="0" fontId="56" fillId="0" borderId="0" xfId="25" applyFont="1" applyAlignment="1">
      <alignment horizontal="left" indent="3"/>
    </xf>
    <xf numFmtId="41" fontId="52" fillId="19" borderId="0" xfId="24" applyNumberFormat="1" applyFont="1" applyFill="1" applyBorder="1" applyAlignment="1" applyProtection="1"/>
    <xf numFmtId="41" fontId="52" fillId="0" borderId="0" xfId="24" applyNumberFormat="1" applyFont="1" applyFill="1" applyBorder="1" applyAlignment="1" applyProtection="1"/>
    <xf numFmtId="41" fontId="47" fillId="34" borderId="0" xfId="24" applyNumberFormat="1" applyFont="1" applyFill="1" applyBorder="1"/>
    <xf numFmtId="41" fontId="47" fillId="19" borderId="0" xfId="24" applyNumberFormat="1" applyFont="1" applyFill="1" applyBorder="1"/>
    <xf numFmtId="41" fontId="47" fillId="0" borderId="0" xfId="24" applyNumberFormat="1" applyFont="1" applyFill="1" applyBorder="1"/>
    <xf numFmtId="0" fontId="47" fillId="34" borderId="0" xfId="21" applyFont="1" applyFill="1" applyAlignment="1">
      <alignment horizontal="left" wrapText="1" indent="1"/>
    </xf>
    <xf numFmtId="0" fontId="112" fillId="0" borderId="0" xfId="21" applyFont="1"/>
    <xf numFmtId="165" fontId="47" fillId="34" borderId="0" xfId="24" applyNumberFormat="1" applyFont="1" applyFill="1" applyBorder="1" applyAlignment="1">
      <alignment horizontal="left" indent="1"/>
    </xf>
    <xf numFmtId="0" fontId="52" fillId="34" borderId="0" xfId="21" applyFont="1" applyFill="1" applyAlignment="1">
      <alignment horizontal="left" wrapText="1" indent="1"/>
    </xf>
    <xf numFmtId="41" fontId="52" fillId="34" borderId="27" xfId="24" applyNumberFormat="1" applyFont="1" applyFill="1" applyBorder="1" applyAlignment="1" applyProtection="1"/>
    <xf numFmtId="0" fontId="109" fillId="19" borderId="0" xfId="21" applyFont="1" applyFill="1" applyAlignment="1">
      <alignment horizontal="center"/>
    </xf>
    <xf numFmtId="0" fontId="109" fillId="0" borderId="0" xfId="21" applyFont="1" applyAlignment="1">
      <alignment horizontal="center"/>
    </xf>
    <xf numFmtId="0" fontId="113" fillId="19" borderId="0" xfId="21" applyFont="1" applyFill="1" applyAlignment="1">
      <alignment horizontal="center"/>
    </xf>
    <xf numFmtId="0" fontId="114" fillId="19" borderId="0" xfId="21" applyFont="1" applyFill="1" applyAlignment="1">
      <alignment horizontal="center" wrapText="1"/>
    </xf>
    <xf numFmtId="14" fontId="115" fillId="19" borderId="0" xfId="21" applyNumberFormat="1" applyFont="1" applyFill="1" applyAlignment="1">
      <alignment horizontal="center" wrapText="1"/>
    </xf>
    <xf numFmtId="0" fontId="47" fillId="0" borderId="0" xfId="21" applyFont="1" applyAlignment="1">
      <alignment wrapText="1"/>
    </xf>
    <xf numFmtId="6" fontId="47" fillId="19" borderId="0" xfId="24" applyNumberFormat="1" applyFont="1" applyFill="1" applyBorder="1" applyAlignment="1" applyProtection="1"/>
    <xf numFmtId="0" fontId="47" fillId="0" borderId="5" xfId="21" applyFont="1" applyBorder="1" applyAlignment="1">
      <alignment wrapText="1"/>
    </xf>
    <xf numFmtId="41" fontId="108" fillId="0" borderId="0" xfId="21" applyNumberFormat="1" applyFont="1"/>
    <xf numFmtId="0" fontId="52" fillId="35" borderId="4" xfId="21" applyFont="1" applyFill="1" applyBorder="1" applyAlignment="1">
      <alignment vertical="center" wrapText="1"/>
    </xf>
    <xf numFmtId="180" fontId="52" fillId="35" borderId="4" xfId="24" applyNumberFormat="1" applyFont="1" applyFill="1" applyBorder="1" applyAlignment="1" applyProtection="1">
      <alignment vertical="center"/>
    </xf>
    <xf numFmtId="9" fontId="47" fillId="0" borderId="0" xfId="28" applyFont="1" applyFill="1" applyBorder="1" applyAlignment="1" applyProtection="1"/>
    <xf numFmtId="0" fontId="47" fillId="0" borderId="4" xfId="21" applyFont="1" applyBorder="1" applyAlignment="1">
      <alignment wrapText="1"/>
    </xf>
    <xf numFmtId="180" fontId="47" fillId="0" borderId="4" xfId="24" applyNumberFormat="1" applyFont="1" applyFill="1" applyBorder="1" applyAlignment="1" applyProtection="1"/>
    <xf numFmtId="0" fontId="47" fillId="34" borderId="0" xfId="21" applyFont="1" applyFill="1" applyAlignment="1">
      <alignment wrapText="1"/>
    </xf>
    <xf numFmtId="41" fontId="47" fillId="19" borderId="0" xfId="29" applyNumberFormat="1" applyFont="1" applyFill="1" applyBorder="1" applyAlignment="1" applyProtection="1"/>
    <xf numFmtId="41" fontId="52" fillId="0" borderId="6" xfId="29" applyNumberFormat="1" applyFont="1" applyFill="1" applyBorder="1" applyAlignment="1" applyProtection="1"/>
    <xf numFmtId="41" fontId="52" fillId="0" borderId="0" xfId="29" applyNumberFormat="1" applyFont="1" applyFill="1" applyBorder="1" applyAlignment="1" applyProtection="1"/>
    <xf numFmtId="0" fontId="52" fillId="35" borderId="6" xfId="21" applyFont="1" applyFill="1" applyBorder="1" applyAlignment="1">
      <alignment vertical="center" wrapText="1"/>
    </xf>
    <xf numFmtId="165" fontId="52" fillId="28" borderId="6" xfId="29" applyNumberFormat="1" applyFont="1" applyFill="1" applyBorder="1" applyAlignment="1" applyProtection="1">
      <alignment vertical="center"/>
    </xf>
    <xf numFmtId="41" fontId="47" fillId="0" borderId="42" xfId="24" applyNumberFormat="1" applyFont="1" applyFill="1" applyBorder="1" applyAlignment="1" applyProtection="1"/>
    <xf numFmtId="172" fontId="52" fillId="35" borderId="6" xfId="28" applyNumberFormat="1" applyFont="1" applyFill="1" applyBorder="1" applyAlignment="1" applyProtection="1">
      <alignment vertical="center"/>
    </xf>
    <xf numFmtId="41" fontId="47" fillId="0" borderId="0" xfId="21" applyNumberFormat="1" applyFont="1"/>
    <xf numFmtId="0" fontId="105" fillId="0" borderId="0" xfId="27" applyFont="1" applyAlignment="1">
      <alignment horizontal="justify" vertical="center" readingOrder="1"/>
    </xf>
    <xf numFmtId="181" fontId="108" fillId="0" borderId="0" xfId="24" applyNumberFormat="1" applyFont="1" applyFill="1" applyBorder="1" applyAlignment="1" applyProtection="1"/>
    <xf numFmtId="181" fontId="108" fillId="19" borderId="0" xfId="24" applyNumberFormat="1" applyFont="1" applyFill="1" applyBorder="1" applyAlignment="1" applyProtection="1"/>
    <xf numFmtId="0" fontId="76" fillId="0" borderId="0" xfId="27" applyFont="1" applyAlignment="1">
      <alignment horizontal="left" vertical="center" indent="2" readingOrder="1"/>
    </xf>
    <xf numFmtId="181" fontId="112" fillId="0" borderId="0" xfId="24" applyNumberFormat="1" applyFont="1" applyFill="1" applyBorder="1" applyAlignment="1" applyProtection="1"/>
    <xf numFmtId="0" fontId="116" fillId="0" borderId="0" xfId="23" applyFont="1" applyAlignment="1">
      <alignment vertical="center"/>
    </xf>
    <xf numFmtId="0" fontId="117" fillId="0" borderId="0" xfId="23" applyFont="1" applyAlignment="1">
      <alignment vertical="center"/>
    </xf>
    <xf numFmtId="0" fontId="118" fillId="0" borderId="0" xfId="23" applyFont="1" applyAlignment="1">
      <alignment vertical="center"/>
    </xf>
    <xf numFmtId="0" fontId="119" fillId="36" borderId="0" xfId="23" applyFont="1" applyFill="1" applyAlignment="1">
      <alignment vertical="center"/>
    </xf>
    <xf numFmtId="0" fontId="120" fillId="36" borderId="0" xfId="23" applyFont="1" applyFill="1" applyAlignment="1">
      <alignment horizontal="center" vertical="center"/>
    </xf>
    <xf numFmtId="0" fontId="121" fillId="36" borderId="0" xfId="23" applyFont="1" applyFill="1" applyAlignment="1">
      <alignment vertical="center"/>
    </xf>
    <xf numFmtId="0" fontId="120" fillId="36" borderId="0" xfId="23" applyFont="1" applyFill="1" applyAlignment="1">
      <alignment vertical="center"/>
    </xf>
    <xf numFmtId="0" fontId="120" fillId="36" borderId="54" xfId="23" applyFont="1" applyFill="1" applyBorder="1" applyAlignment="1">
      <alignment horizontal="center" vertical="center"/>
    </xf>
    <xf numFmtId="14" fontId="120" fillId="36" borderId="54" xfId="23" applyNumberFormat="1" applyFont="1" applyFill="1" applyBorder="1" applyAlignment="1">
      <alignment horizontal="center" vertical="center"/>
    </xf>
    <xf numFmtId="0" fontId="121" fillId="36" borderId="0" xfId="23" applyFont="1" applyFill="1" applyAlignment="1">
      <alignment horizontal="center" vertical="center"/>
    </xf>
    <xf numFmtId="3" fontId="121" fillId="36" borderId="0" xfId="23" applyNumberFormat="1" applyFont="1" applyFill="1" applyAlignment="1">
      <alignment horizontal="center" vertical="center"/>
    </xf>
    <xf numFmtId="0" fontId="121" fillId="36" borderId="0" xfId="23" applyFont="1" applyFill="1" applyAlignment="1">
      <alignment horizontal="left" vertical="center"/>
    </xf>
    <xf numFmtId="165" fontId="119" fillId="0" borderId="0" xfId="30" applyNumberFormat="1" applyFont="1" applyAlignment="1">
      <alignment vertical="center"/>
    </xf>
    <xf numFmtId="165" fontId="121" fillId="36" borderId="0" xfId="30" applyNumberFormat="1" applyFont="1" applyFill="1" applyAlignment="1">
      <alignment vertical="center"/>
    </xf>
    <xf numFmtId="165" fontId="119" fillId="0" borderId="54" xfId="30" applyNumberFormat="1" applyFont="1" applyBorder="1" applyAlignment="1">
      <alignment vertical="center"/>
    </xf>
    <xf numFmtId="165" fontId="119" fillId="0" borderId="55" xfId="30" applyNumberFormat="1" applyFont="1" applyBorder="1" applyAlignment="1">
      <alignment vertical="center"/>
    </xf>
    <xf numFmtId="165" fontId="108" fillId="0" borderId="0" xfId="21" applyNumberFormat="1" applyFont="1"/>
    <xf numFmtId="0" fontId="120" fillId="36" borderId="8" xfId="23" applyFont="1" applyFill="1" applyBorder="1" applyAlignment="1">
      <alignment vertical="center"/>
    </xf>
    <xf numFmtId="165" fontId="121" fillId="36" borderId="9" xfId="30" applyNumberFormat="1" applyFont="1" applyFill="1" applyBorder="1" applyAlignment="1">
      <alignment vertical="center"/>
    </xf>
    <xf numFmtId="165" fontId="121" fillId="36" borderId="10" xfId="30" applyNumberFormat="1" applyFont="1" applyFill="1" applyBorder="1" applyAlignment="1">
      <alignment vertical="center"/>
    </xf>
    <xf numFmtId="0" fontId="121" fillId="36" borderId="8" xfId="23" applyFont="1" applyFill="1" applyBorder="1" applyAlignment="1">
      <alignment vertical="center"/>
    </xf>
    <xf numFmtId="165" fontId="119" fillId="0" borderId="9" xfId="30" applyNumberFormat="1" applyFont="1" applyBorder="1" applyAlignment="1">
      <alignment vertical="center"/>
    </xf>
    <xf numFmtId="165" fontId="119" fillId="0" borderId="10" xfId="30" applyNumberFormat="1" applyFont="1" applyBorder="1" applyAlignment="1">
      <alignment vertical="center"/>
    </xf>
    <xf numFmtId="0" fontId="121" fillId="36" borderId="11" xfId="23" applyFont="1" applyFill="1" applyBorder="1" applyAlignment="1">
      <alignment vertical="center"/>
    </xf>
    <xf numFmtId="165" fontId="119" fillId="0" borderId="4" xfId="30" applyNumberFormat="1" applyFont="1" applyBorder="1" applyAlignment="1">
      <alignment vertical="center"/>
    </xf>
    <xf numFmtId="165" fontId="119" fillId="0" borderId="30" xfId="30" applyNumberFormat="1" applyFont="1" applyBorder="1" applyAlignment="1">
      <alignment vertical="center"/>
    </xf>
    <xf numFmtId="165" fontId="119" fillId="0" borderId="0" xfId="30" applyNumberFormat="1" applyFont="1" applyBorder="1" applyAlignment="1">
      <alignment vertical="center"/>
    </xf>
    <xf numFmtId="165" fontId="121" fillId="36" borderId="0" xfId="30" applyNumberFormat="1" applyFont="1" applyFill="1" applyBorder="1" applyAlignment="1">
      <alignment vertical="center"/>
    </xf>
    <xf numFmtId="165" fontId="120" fillId="36" borderId="0" xfId="30" applyNumberFormat="1" applyFont="1" applyFill="1" applyBorder="1" applyAlignment="1">
      <alignment horizontal="center" vertical="center"/>
    </xf>
    <xf numFmtId="165" fontId="119" fillId="0" borderId="12" xfId="30" applyNumberFormat="1" applyFont="1" applyBorder="1" applyAlignment="1">
      <alignment vertical="center"/>
    </xf>
    <xf numFmtId="0" fontId="121" fillId="36" borderId="13" xfId="23" applyFont="1" applyFill="1" applyBorder="1" applyAlignment="1">
      <alignment vertical="center"/>
    </xf>
    <xf numFmtId="43" fontId="119" fillId="0" borderId="1" xfId="30" applyFont="1" applyBorder="1" applyAlignment="1">
      <alignment horizontal="center" vertical="center"/>
    </xf>
    <xf numFmtId="43" fontId="119" fillId="0" borderId="14" xfId="30" applyFont="1" applyBorder="1" applyAlignment="1">
      <alignment horizontal="center" vertical="center"/>
    </xf>
    <xf numFmtId="0" fontId="122" fillId="0" borderId="0" xfId="23" applyFont="1" applyAlignment="1">
      <alignment vertical="center"/>
    </xf>
    <xf numFmtId="165" fontId="119" fillId="0" borderId="0" xfId="30" applyNumberFormat="1" applyFont="1"/>
    <xf numFmtId="0" fontId="123" fillId="0" borderId="0" xfId="23" applyFont="1" applyAlignment="1">
      <alignment vertical="center"/>
    </xf>
    <xf numFmtId="0" fontId="119" fillId="0" borderId="0" xfId="23" applyFont="1" applyAlignment="1">
      <alignment vertical="center"/>
    </xf>
    <xf numFmtId="0" fontId="120" fillId="36" borderId="1" xfId="23" applyFont="1" applyFill="1" applyBorder="1" applyAlignment="1">
      <alignment horizontal="center" vertical="center"/>
    </xf>
    <xf numFmtId="165" fontId="121" fillId="36" borderId="0" xfId="30" applyNumberFormat="1" applyFont="1" applyFill="1" applyAlignment="1">
      <alignment horizontal="center" vertical="center"/>
    </xf>
    <xf numFmtId="165" fontId="121" fillId="36" borderId="0" xfId="30" applyNumberFormat="1" applyFont="1" applyFill="1" applyBorder="1" applyAlignment="1">
      <alignment horizontal="center" vertical="center"/>
    </xf>
    <xf numFmtId="0" fontId="120" fillId="36" borderId="0" xfId="23" applyFont="1" applyFill="1" applyAlignment="1">
      <alignment horizontal="left" vertical="center"/>
    </xf>
    <xf numFmtId="0" fontId="120" fillId="36" borderId="11" xfId="23" applyFont="1" applyFill="1" applyBorder="1" applyAlignment="1">
      <alignment vertical="center"/>
    </xf>
    <xf numFmtId="0" fontId="124" fillId="0" borderId="0" xfId="21" applyFont="1" applyAlignment="1">
      <alignment wrapText="1"/>
    </xf>
    <xf numFmtId="165" fontId="124" fillId="0" borderId="0" xfId="21" applyNumberFormat="1" applyFont="1"/>
    <xf numFmtId="0" fontId="124" fillId="0" borderId="0" xfId="21" applyFont="1"/>
    <xf numFmtId="0" fontId="108" fillId="0" borderId="0" xfId="21" applyFont="1" applyAlignment="1">
      <alignment wrapText="1"/>
    </xf>
    <xf numFmtId="0" fontId="52" fillId="0" borderId="0" xfId="21" applyFont="1" applyAlignment="1">
      <alignment wrapText="1"/>
    </xf>
    <xf numFmtId="0" fontId="107" fillId="0" borderId="0" xfId="21" applyFont="1" applyAlignment="1">
      <alignment wrapText="1"/>
    </xf>
    <xf numFmtId="0" fontId="76" fillId="0" borderId="0" xfId="27" applyFont="1" applyAlignment="1">
      <alignment vertical="center" wrapText="1" readingOrder="1"/>
    </xf>
    <xf numFmtId="2" fontId="47" fillId="0" borderId="0" xfId="24" applyNumberFormat="1" applyFont="1" applyFill="1" applyBorder="1" applyAlignment="1" applyProtection="1">
      <alignment horizontal="center"/>
    </xf>
    <xf numFmtId="180" fontId="52" fillId="35" borderId="0" xfId="24" applyNumberFormat="1" applyFont="1" applyFill="1" applyBorder="1" applyAlignment="1" applyProtection="1">
      <alignment vertical="center"/>
    </xf>
    <xf numFmtId="180" fontId="47" fillId="0" borderId="0" xfId="24" applyNumberFormat="1" applyFont="1" applyFill="1" applyBorder="1" applyAlignment="1" applyProtection="1"/>
    <xf numFmtId="165" fontId="52" fillId="28" borderId="0" xfId="29" applyNumberFormat="1" applyFont="1" applyFill="1" applyBorder="1" applyAlignment="1" applyProtection="1">
      <alignment vertical="center"/>
    </xf>
    <xf numFmtId="172" fontId="52" fillId="35" borderId="0" xfId="28" applyNumberFormat="1" applyFont="1" applyFill="1" applyBorder="1" applyAlignment="1" applyProtection="1">
      <alignment vertical="center"/>
    </xf>
    <xf numFmtId="0" fontId="76" fillId="0" borderId="0" xfId="27" applyFont="1" applyAlignment="1">
      <alignment vertical="center" readingOrder="1"/>
    </xf>
    <xf numFmtId="0" fontId="107" fillId="0" borderId="0" xfId="21" applyFont="1"/>
    <xf numFmtId="0" fontId="3" fillId="0" borderId="0" xfId="0" applyFont="1"/>
    <xf numFmtId="0" fontId="0" fillId="0" borderId="0" xfId="0" applyAlignment="1">
      <alignment horizontal="left" indent="1"/>
    </xf>
    <xf numFmtId="0" fontId="0" fillId="0" borderId="0" xfId="0" applyAlignment="1">
      <alignment horizontal="left" indent="3"/>
    </xf>
    <xf numFmtId="175" fontId="3" fillId="0" borderId="26" xfId="2" applyNumberFormat="1" applyFont="1" applyBorder="1" applyAlignment="1">
      <alignment horizontal="center" vertical="center" wrapText="1"/>
    </xf>
    <xf numFmtId="175" fontId="0" fillId="0" borderId="0" xfId="0" applyNumberFormat="1"/>
    <xf numFmtId="0" fontId="125" fillId="0" borderId="0" xfId="0" applyFont="1"/>
    <xf numFmtId="165" fontId="125" fillId="0" borderId="0" xfId="0" applyNumberFormat="1" applyFont="1"/>
    <xf numFmtId="0" fontId="99" fillId="20" borderId="6" xfId="2" applyNumberFormat="1" applyFont="1" applyFill="1" applyBorder="1" applyAlignment="1">
      <alignment horizontal="left"/>
    </xf>
    <xf numFmtId="0" fontId="61" fillId="22" borderId="6" xfId="2" applyNumberFormat="1" applyFont="1" applyFill="1" applyBorder="1" applyAlignment="1">
      <alignment horizontal="left"/>
    </xf>
    <xf numFmtId="0" fontId="0" fillId="0" borderId="0" xfId="0" applyAlignment="1">
      <alignment horizontal="left"/>
    </xf>
    <xf numFmtId="176" fontId="126" fillId="0" borderId="0" xfId="0" applyNumberFormat="1" applyFont="1"/>
    <xf numFmtId="176" fontId="0" fillId="4" borderId="0" xfId="1" applyNumberFormat="1" applyFont="1" applyFill="1"/>
    <xf numFmtId="176" fontId="3" fillId="4" borderId="0" xfId="1" applyNumberFormat="1" applyFont="1" applyFill="1"/>
    <xf numFmtId="165" fontId="0" fillId="4" borderId="0" xfId="1" applyNumberFormat="1" applyFont="1" applyFill="1"/>
    <xf numFmtId="0" fontId="0" fillId="18" borderId="0" xfId="0" applyFill="1"/>
    <xf numFmtId="44" fontId="0" fillId="4" borderId="0" xfId="2" applyFont="1" applyFill="1"/>
    <xf numFmtId="44" fontId="69" fillId="37" borderId="0" xfId="2" applyFont="1" applyFill="1" applyBorder="1"/>
    <xf numFmtId="44" fontId="0" fillId="0" borderId="57" xfId="2" applyFont="1" applyFill="1" applyBorder="1"/>
    <xf numFmtId="176" fontId="0" fillId="0" borderId="57" xfId="1" applyNumberFormat="1" applyFont="1" applyFill="1" applyBorder="1"/>
    <xf numFmtId="0" fontId="0" fillId="0" borderId="57" xfId="2" applyNumberFormat="1" applyFont="1" applyFill="1" applyBorder="1"/>
    <xf numFmtId="0" fontId="0" fillId="0" borderId="59" xfId="0" applyBorder="1" applyAlignment="1">
      <alignment horizontal="left" vertical="top"/>
    </xf>
    <xf numFmtId="176" fontId="0" fillId="0" borderId="0" xfId="1" applyNumberFormat="1" applyFont="1" applyFill="1" applyBorder="1"/>
    <xf numFmtId="0" fontId="0" fillId="0" borderId="0" xfId="2" applyNumberFormat="1" applyFont="1" applyFill="1" applyBorder="1"/>
    <xf numFmtId="176" fontId="0" fillId="0" borderId="0" xfId="1" applyNumberFormat="1" applyFont="1" applyFill="1" applyBorder="1" applyAlignment="1">
      <alignment horizontal="right"/>
    </xf>
    <xf numFmtId="44" fontId="0" fillId="6" borderId="0" xfId="2" applyFont="1" applyFill="1" applyBorder="1"/>
    <xf numFmtId="0" fontId="0" fillId="0" borderId="61" xfId="0" applyBorder="1" applyAlignment="1">
      <alignment horizontal="left" vertical="top"/>
    </xf>
    <xf numFmtId="176" fontId="0" fillId="0" borderId="62" xfId="1" applyNumberFormat="1" applyFont="1" applyBorder="1"/>
    <xf numFmtId="44" fontId="0" fillId="0" borderId="62" xfId="2" applyFont="1" applyBorder="1"/>
    <xf numFmtId="44" fontId="0" fillId="0" borderId="62" xfId="2" applyFont="1" applyFill="1" applyBorder="1"/>
    <xf numFmtId="176" fontId="0" fillId="0" borderId="62" xfId="1" applyNumberFormat="1" applyFont="1" applyFill="1" applyBorder="1"/>
    <xf numFmtId="0" fontId="0" fillId="0" borderId="62" xfId="2" applyNumberFormat="1" applyFont="1" applyFill="1" applyBorder="1"/>
    <xf numFmtId="176" fontId="0" fillId="0" borderId="62" xfId="1" applyNumberFormat="1" applyFont="1" applyFill="1" applyBorder="1" applyAlignment="1">
      <alignment horizontal="right"/>
    </xf>
    <xf numFmtId="44" fontId="0" fillId="6" borderId="62" xfId="2" applyFont="1" applyFill="1" applyBorder="1"/>
    <xf numFmtId="0" fontId="63" fillId="31" borderId="12" xfId="0" applyFont="1" applyFill="1" applyBorder="1" applyAlignment="1">
      <alignment horizontal="center" wrapText="1"/>
    </xf>
    <xf numFmtId="0" fontId="63" fillId="31" borderId="0" xfId="0" applyFont="1" applyFill="1" applyAlignment="1">
      <alignment horizontal="center" wrapText="1"/>
    </xf>
    <xf numFmtId="44" fontId="0" fillId="4" borderId="0" xfId="2" applyFont="1" applyFill="1" applyBorder="1"/>
    <xf numFmtId="44" fontId="0" fillId="38" borderId="0" xfId="2" applyFont="1" applyFill="1" applyBorder="1"/>
    <xf numFmtId="44" fontId="0" fillId="10" borderId="1" xfId="2" applyFont="1" applyFill="1" applyBorder="1"/>
    <xf numFmtId="176" fontId="2" fillId="0" borderId="0" xfId="1" applyNumberFormat="1" applyFont="1" applyBorder="1" applyAlignment="1">
      <alignment horizontal="left" vertical="center" indent="1"/>
    </xf>
    <xf numFmtId="176" fontId="2" fillId="0" borderId="0" xfId="1" applyNumberFormat="1" applyFont="1" applyBorder="1" applyAlignment="1">
      <alignment horizontal="left" vertical="center"/>
    </xf>
    <xf numFmtId="0" fontId="72" fillId="0" borderId="0" xfId="0" applyFont="1" applyAlignment="1">
      <alignment horizontal="left" indent="1"/>
    </xf>
    <xf numFmtId="176" fontId="3" fillId="0" borderId="0" xfId="1" applyNumberFormat="1" applyFont="1" applyFill="1" applyBorder="1" applyAlignment="1">
      <alignment horizontal="left" vertical="center"/>
    </xf>
    <xf numFmtId="44" fontId="3" fillId="18" borderId="0" xfId="2" applyFont="1" applyFill="1"/>
    <xf numFmtId="0" fontId="10" fillId="18" borderId="0" xfId="5" applyFont="1" applyFill="1"/>
    <xf numFmtId="0" fontId="10" fillId="18" borderId="0" xfId="5" applyFont="1" applyFill="1" applyAlignment="1">
      <alignment horizontal="center"/>
    </xf>
    <xf numFmtId="4" fontId="10" fillId="18" borderId="0" xfId="5" applyNumberFormat="1" applyFont="1" applyFill="1"/>
    <xf numFmtId="4" fontId="30" fillId="18" borderId="0" xfId="5" applyNumberFormat="1" applyFont="1" applyFill="1"/>
    <xf numFmtId="0" fontId="10" fillId="18" borderId="0" xfId="5" applyFont="1" applyFill="1" applyAlignment="1">
      <alignment horizontal="center" vertical="top"/>
    </xf>
    <xf numFmtId="44" fontId="0" fillId="28" borderId="0" xfId="2" applyFont="1" applyFill="1"/>
    <xf numFmtId="0" fontId="0" fillId="0" borderId="0" xfId="0" applyAlignment="1">
      <alignment horizontal="left" vertical="center" wrapText="1"/>
    </xf>
    <xf numFmtId="176" fontId="0" fillId="0" borderId="0" xfId="1" applyNumberFormat="1" applyFont="1" applyAlignment="1">
      <alignment vertical="center"/>
    </xf>
    <xf numFmtId="44" fontId="0" fillId="0" borderId="0" xfId="2" applyFont="1" applyAlignment="1">
      <alignment vertical="center"/>
    </xf>
    <xf numFmtId="0" fontId="0" fillId="0" borderId="0" xfId="2" applyNumberFormat="1" applyFont="1" applyAlignment="1">
      <alignment vertical="center"/>
    </xf>
    <xf numFmtId="0" fontId="127" fillId="0" borderId="0" xfId="0" applyFont="1" applyAlignment="1">
      <alignment horizontal="center"/>
    </xf>
    <xf numFmtId="0" fontId="127" fillId="0" borderId="0" xfId="0" applyFont="1"/>
    <xf numFmtId="0" fontId="127" fillId="40" borderId="0" xfId="0" applyFont="1" applyFill="1"/>
    <xf numFmtId="0" fontId="129" fillId="0" borderId="0" xfId="0" applyFont="1" applyAlignment="1">
      <alignment horizontal="center"/>
    </xf>
    <xf numFmtId="0" fontId="127" fillId="40" borderId="0" xfId="0" applyFont="1" applyFill="1" applyAlignment="1">
      <alignment horizontal="center"/>
    </xf>
    <xf numFmtId="0" fontId="129" fillId="0" borderId="1" xfId="0" applyFont="1" applyBorder="1" applyAlignment="1">
      <alignment horizontal="center" wrapText="1"/>
    </xf>
    <xf numFmtId="0" fontId="127" fillId="40" borderId="0" xfId="0" applyFont="1" applyFill="1" applyAlignment="1">
      <alignment horizontal="center" wrapText="1"/>
    </xf>
    <xf numFmtId="10" fontId="130" fillId="0" borderId="0" xfId="0" applyNumberFormat="1" applyFont="1" applyAlignment="1">
      <alignment horizontal="center"/>
    </xf>
    <xf numFmtId="166" fontId="127" fillId="0" borderId="0" xfId="0" applyNumberFormat="1" applyFont="1" applyAlignment="1">
      <alignment horizontal="center"/>
    </xf>
    <xf numFmtId="10" fontId="127" fillId="0" borderId="0" xfId="0" applyNumberFormat="1" applyFont="1" applyAlignment="1">
      <alignment horizontal="center"/>
    </xf>
    <xf numFmtId="166" fontId="131" fillId="0" borderId="0" xfId="0" applyNumberFormat="1" applyFont="1" applyAlignment="1">
      <alignment horizontal="right"/>
    </xf>
    <xf numFmtId="0" fontId="1" fillId="0" borderId="0" xfId="0" applyFont="1" applyAlignment="1">
      <alignment horizontal="center"/>
    </xf>
    <xf numFmtId="166" fontId="129" fillId="24" borderId="0" xfId="0" applyNumberFormat="1" applyFont="1" applyFill="1" applyAlignment="1">
      <alignment horizontal="center" wrapText="1"/>
    </xf>
    <xf numFmtId="0" fontId="129" fillId="43" borderId="0" xfId="0" applyFont="1" applyFill="1" applyAlignment="1">
      <alignment horizontal="center" wrapText="1"/>
    </xf>
    <xf numFmtId="0" fontId="129" fillId="43" borderId="0" xfId="0" applyFont="1" applyFill="1" applyAlignment="1">
      <alignment horizontal="center"/>
    </xf>
    <xf numFmtId="0" fontId="128" fillId="0" borderId="0" xfId="0" applyFont="1" applyAlignment="1">
      <alignment horizontal="center"/>
    </xf>
    <xf numFmtId="0" fontId="127" fillId="0" borderId="0" xfId="0" applyFont="1" applyAlignment="1">
      <alignment horizontal="right"/>
    </xf>
    <xf numFmtId="177" fontId="127" fillId="0" borderId="0" xfId="0" applyNumberFormat="1" applyFont="1" applyAlignment="1">
      <alignment horizontal="center"/>
    </xf>
    <xf numFmtId="177" fontId="127" fillId="0" borderId="0" xfId="0" applyNumberFormat="1" applyFont="1" applyAlignment="1">
      <alignment horizontal="left"/>
    </xf>
    <xf numFmtId="0" fontId="129" fillId="0" borderId="0" xfId="0" applyFont="1" applyAlignment="1">
      <alignment horizontal="center" wrapText="1"/>
    </xf>
    <xf numFmtId="166" fontId="135" fillId="0" borderId="0" xfId="0" applyNumberFormat="1" applyFont="1"/>
    <xf numFmtId="177" fontId="129" fillId="0" borderId="0" xfId="0" applyNumberFormat="1" applyFont="1" applyAlignment="1">
      <alignment horizontal="center"/>
    </xf>
    <xf numFmtId="166" fontId="130" fillId="0" borderId="0" xfId="0" applyNumberFormat="1" applyFont="1"/>
    <xf numFmtId="166" fontId="127" fillId="0" borderId="0" xfId="0" applyNumberFormat="1" applyFont="1"/>
    <xf numFmtId="177" fontId="127" fillId="0" borderId="0" xfId="0" applyNumberFormat="1" applyFont="1"/>
    <xf numFmtId="177" fontId="130" fillId="0" borderId="0" xfId="0" applyNumberFormat="1" applyFont="1" applyAlignment="1">
      <alignment horizontal="center"/>
    </xf>
    <xf numFmtId="166" fontId="127" fillId="0" borderId="0" xfId="0" applyNumberFormat="1" applyFont="1" applyAlignment="1">
      <alignment horizontal="left"/>
    </xf>
    <xf numFmtId="166" fontId="129" fillId="0" borderId="0" xfId="0" applyNumberFormat="1" applyFont="1" applyAlignment="1">
      <alignment horizontal="center" wrapText="1"/>
    </xf>
    <xf numFmtId="0" fontId="1" fillId="0" borderId="0" xfId="0" applyFont="1"/>
    <xf numFmtId="10" fontId="130" fillId="0" borderId="0" xfId="0" applyNumberFormat="1" applyFont="1" applyAlignment="1">
      <alignment horizontal="right"/>
    </xf>
    <xf numFmtId="10" fontId="127" fillId="0" borderId="0" xfId="0" applyNumberFormat="1" applyFont="1"/>
    <xf numFmtId="0" fontId="129" fillId="24" borderId="0" xfId="0" applyFont="1" applyFill="1" applyAlignment="1">
      <alignment horizontal="center"/>
    </xf>
    <xf numFmtId="0" fontId="130" fillId="0" borderId="0" xfId="0" applyFont="1" applyAlignment="1">
      <alignment horizontal="center" wrapText="1"/>
    </xf>
    <xf numFmtId="0" fontId="129" fillId="0" borderId="0" xfId="0" applyFont="1" applyAlignment="1">
      <alignment wrapText="1"/>
    </xf>
    <xf numFmtId="44" fontId="0" fillId="0" borderId="0" xfId="2" applyFont="1" applyFill="1" applyAlignment="1">
      <alignment horizontal="right"/>
    </xf>
    <xf numFmtId="172" fontId="23" fillId="6" borderId="64" xfId="3" applyNumberFormat="1" applyFont="1" applyFill="1" applyBorder="1" applyAlignment="1">
      <alignment horizontal="center"/>
    </xf>
    <xf numFmtId="10" fontId="69" fillId="44" borderId="7" xfId="3" applyNumberFormat="1" applyFont="1" applyFill="1" applyBorder="1"/>
    <xf numFmtId="0" fontId="0" fillId="10" borderId="0" xfId="0" applyFill="1"/>
    <xf numFmtId="175" fontId="0" fillId="10" borderId="0" xfId="2" applyNumberFormat="1" applyFont="1" applyFill="1" applyBorder="1"/>
    <xf numFmtId="0" fontId="70" fillId="33" borderId="2" xfId="0" applyFont="1" applyFill="1" applyBorder="1" applyAlignment="1">
      <alignment horizontal="center"/>
    </xf>
    <xf numFmtId="0" fontId="136" fillId="33" borderId="2" xfId="0" applyFont="1" applyFill="1" applyBorder="1" applyAlignment="1">
      <alignment horizontal="center"/>
    </xf>
    <xf numFmtId="0" fontId="23" fillId="6" borderId="65" xfId="0" applyFont="1" applyFill="1" applyBorder="1" applyAlignment="1">
      <alignment horizontal="center"/>
    </xf>
    <xf numFmtId="0" fontId="23" fillId="6" borderId="7" xfId="0" applyFont="1" applyFill="1" applyBorder="1" applyAlignment="1">
      <alignment horizontal="center"/>
    </xf>
    <xf numFmtId="0" fontId="137" fillId="0" borderId="52" xfId="0" applyFont="1" applyBorder="1"/>
    <xf numFmtId="0" fontId="70" fillId="33" borderId="0" xfId="0" applyFont="1" applyFill="1" applyAlignment="1">
      <alignment horizontal="center"/>
    </xf>
    <xf numFmtId="0" fontId="70" fillId="33" borderId="0" xfId="0" applyFont="1" applyFill="1" applyAlignment="1">
      <alignment horizontal="center" wrapText="1"/>
    </xf>
    <xf numFmtId="165" fontId="102" fillId="18" borderId="1" xfId="1" applyNumberFormat="1" applyFont="1" applyFill="1" applyBorder="1" applyAlignment="1">
      <alignment horizontal="center"/>
    </xf>
    <xf numFmtId="0" fontId="70" fillId="32" borderId="2" xfId="0" applyFont="1" applyFill="1" applyBorder="1" applyAlignment="1">
      <alignment horizontal="center"/>
    </xf>
    <xf numFmtId="44" fontId="0" fillId="4" borderId="0" xfId="2" applyFont="1" applyFill="1" applyBorder="1" applyAlignment="1">
      <alignment horizontal="center"/>
    </xf>
    <xf numFmtId="44" fontId="0" fillId="38" borderId="0" xfId="2" applyFont="1" applyFill="1" applyBorder="1" applyAlignment="1">
      <alignment horizontal="center"/>
    </xf>
    <xf numFmtId="44" fontId="0" fillId="10" borderId="1" xfId="2" applyFont="1" applyFill="1" applyBorder="1" applyAlignment="1">
      <alignment horizontal="center"/>
    </xf>
    <xf numFmtId="9" fontId="0" fillId="0" borderId="49" xfId="3" applyFont="1" applyBorder="1" applyAlignment="1">
      <alignment horizontal="center"/>
    </xf>
    <xf numFmtId="9" fontId="0" fillId="0" borderId="0" xfId="3" applyFont="1" applyBorder="1" applyAlignment="1">
      <alignment horizontal="center"/>
    </xf>
    <xf numFmtId="176" fontId="69" fillId="0" borderId="0" xfId="1" applyNumberFormat="1" applyFont="1" applyBorder="1" applyAlignment="1">
      <alignment horizontal="center"/>
    </xf>
    <xf numFmtId="9" fontId="68" fillId="0" borderId="1" xfId="3" applyFont="1" applyFill="1" applyBorder="1" applyAlignment="1">
      <alignment horizontal="center"/>
    </xf>
    <xf numFmtId="9" fontId="68" fillId="0" borderId="0" xfId="3" applyFont="1" applyFill="1" applyBorder="1" applyAlignment="1">
      <alignment horizontal="center"/>
    </xf>
    <xf numFmtId="0" fontId="0" fillId="0" borderId="0" xfId="0" applyAlignment="1">
      <alignment horizontal="center"/>
    </xf>
    <xf numFmtId="0" fontId="70" fillId="32" borderId="0" xfId="0" applyFont="1" applyFill="1" applyAlignment="1">
      <alignment horizontal="center"/>
    </xf>
    <xf numFmtId="0" fontId="125" fillId="0" borderId="0" xfId="0" applyFont="1" applyAlignment="1">
      <alignment horizontal="center"/>
    </xf>
    <xf numFmtId="176" fontId="23" fillId="0" borderId="0" xfId="1" applyNumberFormat="1" applyFont="1" applyAlignment="1">
      <alignment horizontal="center"/>
    </xf>
    <xf numFmtId="165" fontId="95" fillId="0" borderId="0" xfId="1" applyNumberFormat="1" applyFont="1" applyBorder="1" applyAlignment="1">
      <alignment horizontal="center"/>
    </xf>
    <xf numFmtId="176" fontId="62" fillId="0" borderId="0" xfId="1" applyNumberFormat="1" applyFont="1" applyAlignment="1">
      <alignment horizontal="center"/>
    </xf>
    <xf numFmtId="0" fontId="0" fillId="6" borderId="0" xfId="0" applyFill="1" applyAlignment="1">
      <alignment horizontal="center"/>
    </xf>
    <xf numFmtId="176" fontId="69" fillId="0" borderId="0" xfId="0" applyNumberFormat="1" applyFont="1" applyAlignment="1">
      <alignment horizontal="center"/>
    </xf>
    <xf numFmtId="179" fontId="0" fillId="0" borderId="0" xfId="0" applyNumberFormat="1" applyAlignment="1">
      <alignment horizontal="center"/>
    </xf>
    <xf numFmtId="43" fontId="0" fillId="6" borderId="19" xfId="1" applyFont="1" applyFill="1" applyBorder="1" applyAlignment="1" applyProtection="1">
      <alignment horizontal="center"/>
      <protection locked="0"/>
    </xf>
    <xf numFmtId="43" fontId="0" fillId="6" borderId="7" xfId="1" applyFont="1" applyFill="1" applyBorder="1" applyAlignment="1" applyProtection="1">
      <alignment horizontal="center"/>
      <protection locked="0"/>
    </xf>
    <xf numFmtId="176" fontId="3" fillId="0" borderId="26" xfId="1" applyNumberFormat="1" applyFont="1" applyBorder="1" applyAlignment="1">
      <alignment horizontal="center"/>
    </xf>
    <xf numFmtId="178" fontId="0" fillId="5" borderId="2" xfId="1" applyNumberFormat="1" applyFont="1" applyFill="1" applyBorder="1" applyAlignment="1">
      <alignment horizontal="center" vertical="center"/>
    </xf>
    <xf numFmtId="176" fontId="0" fillId="0" borderId="7" xfId="1" applyNumberFormat="1" applyFont="1" applyFill="1" applyBorder="1" applyAlignment="1">
      <alignment horizontal="center"/>
    </xf>
    <xf numFmtId="0" fontId="0" fillId="0" borderId="7" xfId="0" applyBorder="1" applyAlignment="1">
      <alignment horizontal="center"/>
    </xf>
    <xf numFmtId="176" fontId="3" fillId="0" borderId="7" xfId="1" applyNumberFormat="1" applyFont="1" applyFill="1" applyBorder="1" applyAlignment="1">
      <alignment horizontal="center"/>
    </xf>
    <xf numFmtId="176" fontId="3" fillId="0" borderId="0" xfId="1" applyNumberFormat="1" applyFont="1" applyAlignment="1">
      <alignment horizontal="center"/>
    </xf>
    <xf numFmtId="176" fontId="3" fillId="0" borderId="5" xfId="1" applyNumberFormat="1" applyFont="1" applyBorder="1" applyAlignment="1">
      <alignment horizontal="center"/>
    </xf>
    <xf numFmtId="176" fontId="3" fillId="20" borderId="6" xfId="1" applyNumberFormat="1" applyFont="1" applyFill="1" applyBorder="1" applyAlignment="1">
      <alignment horizontal="center"/>
    </xf>
    <xf numFmtId="176" fontId="0" fillId="0" borderId="0" xfId="1" applyNumberFormat="1" applyFont="1" applyAlignment="1">
      <alignment horizontal="center"/>
    </xf>
    <xf numFmtId="176" fontId="0" fillId="0" borderId="0" xfId="1" applyNumberFormat="1" applyFont="1" applyBorder="1" applyAlignment="1">
      <alignment horizontal="center"/>
    </xf>
    <xf numFmtId="176" fontId="0" fillId="10" borderId="2" xfId="1" applyNumberFormat="1" applyFont="1" applyFill="1" applyBorder="1" applyAlignment="1">
      <alignment horizontal="center"/>
    </xf>
    <xf numFmtId="176" fontId="0" fillId="0" borderId="0" xfId="1" applyNumberFormat="1" applyFont="1" applyFill="1" applyAlignment="1">
      <alignment horizontal="center"/>
    </xf>
    <xf numFmtId="176" fontId="0" fillId="0" borderId="57" xfId="1" applyNumberFormat="1" applyFont="1" applyFill="1" applyBorder="1" applyAlignment="1">
      <alignment horizontal="center"/>
    </xf>
    <xf numFmtId="176" fontId="0" fillId="0" borderId="0" xfId="1" applyNumberFormat="1" applyFont="1" applyFill="1" applyBorder="1" applyAlignment="1">
      <alignment horizontal="center"/>
    </xf>
    <xf numFmtId="176" fontId="0" fillId="0" borderId="62" xfId="1" applyNumberFormat="1" applyFont="1" applyFill="1" applyBorder="1" applyAlignment="1">
      <alignment horizontal="center"/>
    </xf>
    <xf numFmtId="176" fontId="0" fillId="0" borderId="0" xfId="1" applyNumberFormat="1" applyFont="1" applyAlignment="1">
      <alignment horizontal="center" vertical="center"/>
    </xf>
    <xf numFmtId="176" fontId="61" fillId="22" borderId="6" xfId="1" applyNumberFormat="1" applyFont="1" applyFill="1" applyBorder="1" applyAlignment="1">
      <alignment horizontal="center"/>
    </xf>
    <xf numFmtId="176" fontId="70" fillId="27" borderId="6" xfId="1" applyNumberFormat="1" applyFont="1" applyFill="1" applyBorder="1" applyAlignment="1">
      <alignment horizontal="center"/>
    </xf>
    <xf numFmtId="9" fontId="70" fillId="27" borderId="0" xfId="3" applyFont="1" applyFill="1" applyAlignment="1">
      <alignment horizontal="center"/>
    </xf>
    <xf numFmtId="176" fontId="92" fillId="10" borderId="2" xfId="1" applyNumberFormat="1" applyFont="1" applyFill="1" applyBorder="1" applyAlignment="1">
      <alignment horizontal="center"/>
    </xf>
    <xf numFmtId="176" fontId="0" fillId="4" borderId="0" xfId="1" applyNumberFormat="1" applyFont="1" applyFill="1" applyAlignment="1">
      <alignment horizontal="center"/>
    </xf>
    <xf numFmtId="8" fontId="3" fillId="20" borderId="2" xfId="0" quotePrefix="1" applyNumberFormat="1" applyFont="1" applyFill="1" applyBorder="1" applyAlignment="1">
      <alignment horizontal="center"/>
    </xf>
    <xf numFmtId="172" fontId="0" fillId="0" borderId="0" xfId="0" applyNumberFormat="1" applyAlignment="1">
      <alignment horizontal="center"/>
    </xf>
    <xf numFmtId="0" fontId="0" fillId="0" borderId="49" xfId="0" applyBorder="1" applyAlignment="1">
      <alignment horizontal="center"/>
    </xf>
    <xf numFmtId="0" fontId="69" fillId="0" borderId="0" xfId="2" applyNumberFormat="1" applyFont="1" applyBorder="1" applyAlignment="1">
      <alignment horizontal="center"/>
    </xf>
    <xf numFmtId="172" fontId="0" fillId="0" borderId="1" xfId="0" applyNumberFormat="1" applyBorder="1" applyAlignment="1">
      <alignment horizontal="center"/>
    </xf>
    <xf numFmtId="165" fontId="125" fillId="0" borderId="0" xfId="0" applyNumberFormat="1" applyFont="1" applyAlignment="1">
      <alignment horizontal="center"/>
    </xf>
    <xf numFmtId="165" fontId="68" fillId="0" borderId="0" xfId="1" applyNumberFormat="1" applyFont="1" applyBorder="1" applyAlignment="1">
      <alignment horizontal="center"/>
    </xf>
    <xf numFmtId="165" fontId="62" fillId="0" borderId="0" xfId="1" applyNumberFormat="1" applyFont="1" applyAlignment="1">
      <alignment horizontal="center"/>
    </xf>
    <xf numFmtId="43" fontId="62" fillId="0" borderId="0" xfId="1" applyFont="1" applyAlignment="1">
      <alignment horizontal="center"/>
    </xf>
    <xf numFmtId="0" fontId="94" fillId="0" borderId="42" xfId="0" applyFont="1" applyBorder="1" applyAlignment="1">
      <alignment horizontal="center"/>
    </xf>
    <xf numFmtId="0" fontId="69" fillId="0" borderId="0" xfId="0" applyFont="1" applyAlignment="1">
      <alignment horizontal="center"/>
    </xf>
    <xf numFmtId="0" fontId="0" fillId="6" borderId="19" xfId="0" applyFill="1" applyBorder="1" applyAlignment="1">
      <alignment horizontal="center"/>
    </xf>
    <xf numFmtId="44" fontId="3" fillId="0" borderId="26" xfId="2" applyFont="1" applyBorder="1" applyAlignment="1">
      <alignment horizontal="center"/>
    </xf>
    <xf numFmtId="0" fontId="3" fillId="0" borderId="0" xfId="2" applyNumberFormat="1" applyFont="1" applyAlignment="1">
      <alignment horizontal="center"/>
    </xf>
    <xf numFmtId="0" fontId="3" fillId="0" borderId="5" xfId="2" applyNumberFormat="1" applyFont="1" applyBorder="1" applyAlignment="1">
      <alignment horizontal="center"/>
    </xf>
    <xf numFmtId="44" fontId="0" fillId="0" borderId="0" xfId="2" applyFont="1" applyAlignment="1">
      <alignment horizontal="center"/>
    </xf>
    <xf numFmtId="44" fontId="3" fillId="20" borderId="6" xfId="2" applyFont="1" applyFill="1" applyBorder="1" applyAlignment="1">
      <alignment horizontal="center"/>
    </xf>
    <xf numFmtId="44" fontId="0" fillId="0" borderId="0" xfId="2" applyFont="1" applyBorder="1" applyAlignment="1">
      <alignment horizontal="center"/>
    </xf>
    <xf numFmtId="0" fontId="0" fillId="10" borderId="2" xfId="0" applyFill="1" applyBorder="1" applyAlignment="1">
      <alignment horizontal="center"/>
    </xf>
    <xf numFmtId="165" fontId="0" fillId="0" borderId="0" xfId="1" applyNumberFormat="1" applyFont="1" applyAlignment="1">
      <alignment horizontal="center"/>
    </xf>
    <xf numFmtId="44" fontId="0" fillId="0" borderId="0" xfId="2" applyFont="1" applyFill="1" applyAlignment="1">
      <alignment horizontal="center"/>
    </xf>
    <xf numFmtId="44" fontId="0" fillId="0" borderId="57" xfId="2" applyFont="1" applyFill="1" applyBorder="1" applyAlignment="1">
      <alignment horizontal="center"/>
    </xf>
    <xf numFmtId="44" fontId="0" fillId="0" borderId="0" xfId="2" applyFont="1" applyFill="1" applyBorder="1" applyAlignment="1">
      <alignment horizontal="center"/>
    </xf>
    <xf numFmtId="44" fontId="0" fillId="0" borderId="62" xfId="2" applyFont="1" applyFill="1" applyBorder="1" applyAlignment="1">
      <alignment horizontal="center"/>
    </xf>
    <xf numFmtId="44" fontId="0" fillId="0" borderId="0" xfId="2" applyFont="1" applyAlignment="1">
      <alignment horizontal="center" vertical="center"/>
    </xf>
    <xf numFmtId="8" fontId="0" fillId="0" borderId="0" xfId="0" applyNumberFormat="1" applyAlignment="1">
      <alignment horizontal="center"/>
    </xf>
    <xf numFmtId="44" fontId="61" fillId="22" borderId="6" xfId="2" applyFont="1" applyFill="1" applyBorder="1" applyAlignment="1">
      <alignment horizontal="center"/>
    </xf>
    <xf numFmtId="44" fontId="70" fillId="27" borderId="6" xfId="2" applyFont="1" applyFill="1" applyBorder="1" applyAlignment="1">
      <alignment horizontal="center"/>
    </xf>
    <xf numFmtId="44" fontId="70" fillId="27" borderId="0" xfId="2" applyFont="1" applyFill="1" applyAlignment="1">
      <alignment horizontal="center"/>
    </xf>
    <xf numFmtId="8" fontId="61" fillId="22" borderId="6" xfId="2" applyNumberFormat="1" applyFont="1" applyFill="1" applyBorder="1" applyAlignment="1">
      <alignment horizontal="center"/>
    </xf>
    <xf numFmtId="0" fontId="92" fillId="10" borderId="2" xfId="0" applyFont="1" applyFill="1" applyBorder="1" applyAlignment="1">
      <alignment horizontal="center"/>
    </xf>
    <xf numFmtId="165" fontId="0" fillId="4" borderId="0" xfId="1" applyNumberFormat="1" applyFont="1" applyFill="1" applyAlignment="1">
      <alignment horizontal="center"/>
    </xf>
    <xf numFmtId="44" fontId="69" fillId="0" borderId="0" xfId="2" applyFont="1" applyBorder="1" applyAlignment="1">
      <alignment horizontal="center"/>
    </xf>
    <xf numFmtId="0" fontId="0" fillId="0" borderId="42" xfId="0" applyBorder="1" applyAlignment="1">
      <alignment horizontal="center"/>
    </xf>
    <xf numFmtId="44" fontId="3" fillId="0" borderId="5" xfId="2" applyFont="1" applyBorder="1" applyAlignment="1">
      <alignment horizontal="center"/>
    </xf>
    <xf numFmtId="165" fontId="0" fillId="6" borderId="46" xfId="1" applyNumberFormat="1" applyFont="1" applyFill="1" applyBorder="1" applyAlignment="1">
      <alignment horizontal="center"/>
    </xf>
    <xf numFmtId="44" fontId="0" fillId="4" borderId="0" xfId="2" applyFont="1" applyFill="1" applyAlignment="1">
      <alignment horizontal="center"/>
    </xf>
    <xf numFmtId="0" fontId="62" fillId="0" borderId="0" xfId="1" applyNumberFormat="1" applyFont="1" applyAlignment="1">
      <alignment horizontal="center"/>
    </xf>
    <xf numFmtId="0" fontId="3" fillId="0" borderId="26" xfId="2" applyNumberFormat="1" applyFont="1" applyBorder="1" applyAlignment="1">
      <alignment horizontal="center"/>
    </xf>
    <xf numFmtId="0" fontId="0" fillId="0" borderId="0" xfId="2" applyNumberFormat="1" applyFont="1" applyAlignment="1">
      <alignment horizontal="center"/>
    </xf>
    <xf numFmtId="0" fontId="3" fillId="20" borderId="6" xfId="2" applyNumberFormat="1" applyFont="1" applyFill="1" applyBorder="1" applyAlignment="1">
      <alignment horizontal="center"/>
    </xf>
    <xf numFmtId="0" fontId="0" fillId="0" borderId="0" xfId="2" applyNumberFormat="1" applyFont="1" applyBorder="1" applyAlignment="1">
      <alignment horizontal="center"/>
    </xf>
    <xf numFmtId="0" fontId="0" fillId="0" borderId="0" xfId="1" applyNumberFormat="1" applyFont="1" applyAlignment="1">
      <alignment horizontal="center"/>
    </xf>
    <xf numFmtId="0" fontId="0" fillId="0" borderId="62" xfId="2" applyNumberFormat="1" applyFont="1" applyBorder="1" applyAlignment="1">
      <alignment horizontal="center"/>
    </xf>
    <xf numFmtId="0" fontId="0" fillId="0" borderId="0" xfId="2" applyNumberFormat="1" applyFont="1" applyAlignment="1">
      <alignment horizontal="center" vertical="center"/>
    </xf>
    <xf numFmtId="0" fontId="61" fillId="22" borderId="6" xfId="2" applyNumberFormat="1" applyFont="1" applyFill="1" applyBorder="1" applyAlignment="1">
      <alignment horizontal="center"/>
    </xf>
    <xf numFmtId="0" fontId="70" fillId="27" borderId="6" xfId="2" applyNumberFormat="1" applyFont="1" applyFill="1" applyBorder="1" applyAlignment="1">
      <alignment horizontal="center"/>
    </xf>
    <xf numFmtId="0" fontId="70" fillId="27" borderId="0" xfId="2" applyNumberFormat="1" applyFont="1" applyFill="1" applyAlignment="1">
      <alignment horizontal="center"/>
    </xf>
    <xf numFmtId="0" fontId="3" fillId="20" borderId="2" xfId="0" quotePrefix="1" applyFont="1" applyFill="1" applyBorder="1" applyAlignment="1">
      <alignment horizontal="center"/>
    </xf>
    <xf numFmtId="44" fontId="3" fillId="0" borderId="0" xfId="2" applyFont="1" applyAlignment="1">
      <alignment horizontal="center"/>
    </xf>
    <xf numFmtId="44" fontId="0" fillId="0" borderId="62" xfId="2" applyFont="1" applyBorder="1" applyAlignment="1">
      <alignment horizontal="center"/>
    </xf>
    <xf numFmtId="176" fontId="3" fillId="20" borderId="6" xfId="1" applyNumberFormat="1" applyFont="1" applyFill="1" applyBorder="1" applyAlignment="1">
      <alignment horizontal="center" vertical="top"/>
    </xf>
    <xf numFmtId="0" fontId="68" fillId="0" borderId="0" xfId="1" applyNumberFormat="1" applyFont="1" applyBorder="1" applyAlignment="1">
      <alignment horizontal="center"/>
    </xf>
    <xf numFmtId="9" fontId="68" fillId="0" borderId="0" xfId="3" applyFont="1" applyBorder="1" applyAlignment="1">
      <alignment horizontal="center"/>
    </xf>
    <xf numFmtId="9" fontId="95" fillId="0" borderId="0" xfId="3" applyFont="1" applyBorder="1" applyAlignment="1">
      <alignment horizontal="center"/>
    </xf>
    <xf numFmtId="44" fontId="3" fillId="20" borderId="6" xfId="2" applyFont="1" applyFill="1" applyBorder="1" applyAlignment="1">
      <alignment horizontal="center" vertical="top"/>
    </xf>
    <xf numFmtId="44" fontId="0" fillId="0" borderId="42" xfId="0" applyNumberFormat="1" applyBorder="1" applyAlignment="1">
      <alignment horizontal="center"/>
    </xf>
    <xf numFmtId="9" fontId="96" fillId="0" borderId="0" xfId="3" applyFont="1" applyAlignment="1">
      <alignment horizontal="center"/>
    </xf>
    <xf numFmtId="9" fontId="68" fillId="0" borderId="0" xfId="3" applyFont="1" applyAlignment="1">
      <alignment horizontal="center"/>
    </xf>
    <xf numFmtId="44" fontId="69" fillId="0" borderId="0" xfId="2" applyFont="1" applyFill="1" applyBorder="1" applyAlignment="1">
      <alignment horizontal="center"/>
    </xf>
    <xf numFmtId="43" fontId="0" fillId="0" borderId="0" xfId="1" applyFont="1" applyAlignment="1">
      <alignment horizontal="center"/>
    </xf>
    <xf numFmtId="44" fontId="3" fillId="0" borderId="0" xfId="2" applyFont="1" applyBorder="1" applyAlignment="1">
      <alignment horizontal="center"/>
    </xf>
    <xf numFmtId="44" fontId="61" fillId="22" borderId="0" xfId="2" applyFont="1" applyFill="1" applyBorder="1" applyAlignment="1">
      <alignment horizontal="center"/>
    </xf>
    <xf numFmtId="44" fontId="70" fillId="27" borderId="0" xfId="2" applyFont="1" applyFill="1" applyBorder="1" applyAlignment="1">
      <alignment horizontal="center"/>
    </xf>
    <xf numFmtId="8" fontId="61" fillId="22" borderId="0" xfId="2" applyNumberFormat="1" applyFont="1" applyFill="1" applyBorder="1" applyAlignment="1">
      <alignment horizontal="center"/>
    </xf>
    <xf numFmtId="0" fontId="70" fillId="32" borderId="29" xfId="0" applyFont="1" applyFill="1" applyBorder="1" applyAlignment="1">
      <alignment horizontal="center"/>
    </xf>
    <xf numFmtId="0" fontId="0" fillId="0" borderId="12" xfId="0" applyBorder="1" applyAlignment="1">
      <alignment horizontal="center"/>
    </xf>
    <xf numFmtId="0" fontId="0" fillId="0" borderId="53" xfId="0" applyBorder="1" applyAlignment="1">
      <alignment horizontal="center"/>
    </xf>
    <xf numFmtId="0" fontId="69" fillId="0" borderId="12" xfId="2" applyNumberFormat="1" applyFont="1" applyFill="1" applyBorder="1" applyAlignment="1">
      <alignment horizontal="center"/>
    </xf>
    <xf numFmtId="9" fontId="68" fillId="0" borderId="14" xfId="3" applyFont="1" applyFill="1" applyBorder="1" applyAlignment="1">
      <alignment horizontal="center"/>
    </xf>
    <xf numFmtId="0" fontId="68" fillId="0" borderId="0" xfId="1" applyNumberFormat="1" applyFont="1" applyAlignment="1">
      <alignment horizontal="center"/>
    </xf>
    <xf numFmtId="0" fontId="70" fillId="33" borderId="29" xfId="0" applyFont="1" applyFill="1" applyBorder="1" applyAlignment="1">
      <alignment horizontal="center"/>
    </xf>
    <xf numFmtId="165" fontId="95" fillId="18" borderId="14" xfId="1" applyNumberFormat="1" applyFont="1" applyFill="1" applyBorder="1" applyAlignment="1">
      <alignment horizontal="center"/>
    </xf>
    <xf numFmtId="178" fontId="0" fillId="5" borderId="29" xfId="1" applyNumberFormat="1" applyFont="1" applyFill="1" applyBorder="1" applyAlignment="1">
      <alignment horizontal="center" vertical="center"/>
    </xf>
    <xf numFmtId="0" fontId="0" fillId="0" borderId="60" xfId="2" applyNumberFormat="1" applyFont="1" applyBorder="1" applyAlignment="1">
      <alignment horizontal="center"/>
    </xf>
    <xf numFmtId="0" fontId="0" fillId="0" borderId="63" xfId="2" applyNumberFormat="1" applyFont="1" applyBorder="1" applyAlignment="1">
      <alignment horizontal="center"/>
    </xf>
    <xf numFmtId="0" fontId="61" fillId="22" borderId="0" xfId="2" applyNumberFormat="1" applyFont="1" applyFill="1" applyAlignment="1">
      <alignment horizontal="center"/>
    </xf>
    <xf numFmtId="165" fontId="64" fillId="0" borderId="0" xfId="1" quotePrefix="1" applyNumberFormat="1" applyFont="1" applyAlignment="1">
      <alignment horizontal="center"/>
    </xf>
    <xf numFmtId="165" fontId="70" fillId="32" borderId="2" xfId="1" applyNumberFormat="1" applyFont="1" applyFill="1" applyBorder="1"/>
    <xf numFmtId="165" fontId="0" fillId="4" borderId="0" xfId="1" applyNumberFormat="1" applyFont="1" applyFill="1" applyBorder="1"/>
    <xf numFmtId="165" fontId="0" fillId="38" borderId="0" xfId="1" applyNumberFormat="1" applyFont="1" applyFill="1" applyBorder="1"/>
    <xf numFmtId="165" fontId="0" fillId="10" borderId="1" xfId="1" applyNumberFormat="1" applyFont="1" applyFill="1" applyBorder="1"/>
    <xf numFmtId="165" fontId="71" fillId="0" borderId="0" xfId="1" applyNumberFormat="1" applyFont="1" applyAlignment="1">
      <alignment horizontal="center"/>
    </xf>
    <xf numFmtId="165" fontId="23" fillId="0" borderId="0" xfId="1" applyNumberFormat="1" applyFont="1" applyFill="1" applyBorder="1" applyAlignment="1">
      <alignment horizontal="center"/>
    </xf>
    <xf numFmtId="165" fontId="70" fillId="32" borderId="0" xfId="1" applyNumberFormat="1" applyFont="1" applyFill="1"/>
    <xf numFmtId="165" fontId="3" fillId="0" borderId="0" xfId="1" applyNumberFormat="1" applyFont="1" applyBorder="1" applyAlignment="1">
      <alignment horizontal="center" vertical="center" wrapText="1"/>
    </xf>
    <xf numFmtId="165" fontId="125" fillId="0" borderId="0" xfId="1" applyNumberFormat="1" applyFont="1"/>
    <xf numFmtId="165" fontId="3" fillId="0" borderId="0" xfId="1" applyNumberFormat="1" applyFont="1" applyAlignment="1">
      <alignment horizontal="center" vertical="center" wrapText="1"/>
    </xf>
    <xf numFmtId="165" fontId="68" fillId="0" borderId="0" xfId="1" applyNumberFormat="1" applyFont="1" applyAlignment="1">
      <alignment horizontal="center" vertical="center" wrapText="1"/>
    </xf>
    <xf numFmtId="165" fontId="3" fillId="0" borderId="0" xfId="1" applyNumberFormat="1" applyFont="1" applyFill="1" applyAlignment="1">
      <alignment horizontal="center" vertical="center" wrapText="1"/>
    </xf>
    <xf numFmtId="165" fontId="77" fillId="0" borderId="0" xfId="1" applyNumberFormat="1" applyFont="1" applyAlignment="1">
      <alignment horizontal="center" vertical="center" wrapText="1"/>
    </xf>
    <xf numFmtId="165" fontId="70" fillId="33" borderId="0" xfId="1" applyNumberFormat="1" applyFont="1" applyFill="1"/>
    <xf numFmtId="165" fontId="3" fillId="21" borderId="0" xfId="1" applyNumberFormat="1" applyFont="1" applyFill="1" applyAlignment="1">
      <alignment horizontal="center" wrapText="1"/>
    </xf>
    <xf numFmtId="165" fontId="3" fillId="0" borderId="0" xfId="1" applyNumberFormat="1" applyFont="1" applyBorder="1" applyAlignment="1" applyProtection="1">
      <alignment horizontal="center" wrapText="1"/>
      <protection locked="0"/>
    </xf>
    <xf numFmtId="165" fontId="23" fillId="6" borderId="0" xfId="1" applyNumberFormat="1" applyFont="1" applyFill="1" applyAlignment="1">
      <alignment horizontal="center"/>
    </xf>
    <xf numFmtId="165" fontId="0" fillId="0" borderId="42" xfId="1" applyNumberFormat="1" applyFont="1" applyBorder="1"/>
    <xf numFmtId="165" fontId="70" fillId="33" borderId="0" xfId="1" applyNumberFormat="1" applyFont="1" applyFill="1" applyAlignment="1">
      <alignment horizontal="center"/>
    </xf>
    <xf numFmtId="165" fontId="103" fillId="0" borderId="0" xfId="1" applyNumberFormat="1" applyFont="1" applyFill="1" applyAlignment="1">
      <alignment horizontal="center"/>
    </xf>
    <xf numFmtId="165" fontId="69" fillId="0" borderId="0" xfId="1" applyNumberFormat="1" applyFont="1"/>
    <xf numFmtId="165" fontId="0" fillId="6" borderId="19" xfId="1" quotePrefix="1" applyNumberFormat="1" applyFont="1" applyFill="1" applyBorder="1" applyAlignment="1" applyProtection="1">
      <alignment horizontal="right"/>
      <protection locked="0"/>
    </xf>
    <xf numFmtId="165" fontId="3" fillId="0" borderId="26" xfId="1" applyNumberFormat="1" applyFont="1" applyBorder="1"/>
    <xf numFmtId="165" fontId="0" fillId="5" borderId="2" xfId="1" applyNumberFormat="1" applyFont="1" applyFill="1" applyBorder="1" applyAlignment="1">
      <alignment vertical="center"/>
    </xf>
    <xf numFmtId="165" fontId="3" fillId="28" borderId="0" xfId="1" applyNumberFormat="1" applyFont="1" applyFill="1" applyAlignment="1" applyProtection="1">
      <alignment horizontal="center" wrapText="1"/>
      <protection locked="0"/>
    </xf>
    <xf numFmtId="165" fontId="0" fillId="0" borderId="7" xfId="1" applyNumberFormat="1" applyFont="1" applyFill="1" applyBorder="1"/>
    <xf numFmtId="165" fontId="0" fillId="0" borderId="7" xfId="1" applyNumberFormat="1" applyFont="1" applyBorder="1"/>
    <xf numFmtId="165" fontId="3" fillId="0" borderId="7" xfId="1" applyNumberFormat="1" applyFont="1" applyFill="1" applyBorder="1"/>
    <xf numFmtId="165" fontId="0" fillId="0" borderId="7" xfId="1" applyNumberFormat="1" applyFont="1" applyFill="1" applyBorder="1" applyAlignment="1">
      <alignment horizontal="center" vertical="center"/>
    </xf>
    <xf numFmtId="165" fontId="0" fillId="0" borderId="0" xfId="1" applyNumberFormat="1" applyFont="1" applyFill="1" applyBorder="1"/>
    <xf numFmtId="165" fontId="3" fillId="0" borderId="0" xfId="1" applyNumberFormat="1" applyFont="1"/>
    <xf numFmtId="165" fontId="3" fillId="0" borderId="5" xfId="1" applyNumberFormat="1" applyFont="1" applyBorder="1"/>
    <xf numFmtId="165" fontId="3" fillId="20" borderId="6" xfId="1" applyNumberFormat="1" applyFont="1" applyFill="1" applyBorder="1"/>
    <xf numFmtId="165" fontId="0" fillId="0" borderId="0" xfId="1" applyNumberFormat="1" applyFont="1" applyBorder="1"/>
    <xf numFmtId="165" fontId="0" fillId="10" borderId="2" xfId="1" applyNumberFormat="1" applyFont="1" applyFill="1" applyBorder="1"/>
    <xf numFmtId="165" fontId="3" fillId="0" borderId="0" xfId="1" applyNumberFormat="1" applyFont="1" applyFill="1" applyBorder="1" applyAlignment="1">
      <alignment horizontal="center"/>
    </xf>
    <xf numFmtId="165" fontId="0" fillId="0" borderId="0" xfId="1" applyNumberFormat="1" applyFont="1" applyFill="1"/>
    <xf numFmtId="165" fontId="0" fillId="0" borderId="0" xfId="1" applyNumberFormat="1" applyFont="1" applyAlignment="1">
      <alignment vertical="center"/>
    </xf>
    <xf numFmtId="165" fontId="61" fillId="22" borderId="6" xfId="1" applyNumberFormat="1" applyFont="1" applyFill="1" applyBorder="1"/>
    <xf numFmtId="165" fontId="70" fillId="27" borderId="6" xfId="1" applyNumberFormat="1" applyFont="1" applyFill="1" applyBorder="1"/>
    <xf numFmtId="165" fontId="3" fillId="6" borderId="6" xfId="1" applyNumberFormat="1" applyFont="1" applyFill="1" applyBorder="1"/>
    <xf numFmtId="165" fontId="3" fillId="6" borderId="6" xfId="1" applyNumberFormat="1" applyFont="1" applyFill="1" applyBorder="1" applyAlignment="1">
      <alignment vertical="top"/>
    </xf>
    <xf numFmtId="165" fontId="70" fillId="27" borderId="0" xfId="1" applyNumberFormat="1" applyFont="1" applyFill="1"/>
    <xf numFmtId="165" fontId="92" fillId="10" borderId="2" xfId="1" applyNumberFormat="1" applyFont="1" applyFill="1" applyBorder="1"/>
    <xf numFmtId="165" fontId="3" fillId="0" borderId="0" xfId="1" applyNumberFormat="1" applyFont="1" applyBorder="1"/>
    <xf numFmtId="165" fontId="3" fillId="20" borderId="2" xfId="1" quotePrefix="1" applyNumberFormat="1" applyFont="1" applyFill="1" applyBorder="1"/>
    <xf numFmtId="165" fontId="68" fillId="0" borderId="0" xfId="1" applyNumberFormat="1" applyFont="1"/>
    <xf numFmtId="165" fontId="3" fillId="0" borderId="0" xfId="1" applyNumberFormat="1" applyFont="1" applyFill="1" applyBorder="1"/>
    <xf numFmtId="165" fontId="0" fillId="0" borderId="0" xfId="1" applyNumberFormat="1" applyFont="1" applyFill="1" applyBorder="1" applyAlignment="1">
      <alignment horizontal="center" vertical="center"/>
    </xf>
    <xf numFmtId="165" fontId="61" fillId="22" borderId="0" xfId="1" applyNumberFormat="1" applyFont="1" applyFill="1" applyBorder="1"/>
    <xf numFmtId="165" fontId="70" fillId="27" borderId="0" xfId="1" applyNumberFormat="1" applyFont="1" applyFill="1" applyBorder="1"/>
    <xf numFmtId="165" fontId="70" fillId="33" borderId="2" xfId="1" applyNumberFormat="1" applyFont="1" applyFill="1" applyBorder="1"/>
    <xf numFmtId="165" fontId="0" fillId="0" borderId="57" xfId="1" applyNumberFormat="1" applyFont="1" applyFill="1" applyBorder="1"/>
    <xf numFmtId="165" fontId="0" fillId="0" borderId="62" xfId="1" applyNumberFormat="1" applyFont="1" applyFill="1" applyBorder="1"/>
    <xf numFmtId="165" fontId="0" fillId="0" borderId="19" xfId="1" quotePrefix="1" applyNumberFormat="1" applyFont="1" applyFill="1" applyBorder="1" applyAlignment="1" applyProtection="1">
      <alignment horizontal="right"/>
      <protection locked="0"/>
    </xf>
    <xf numFmtId="165" fontId="0" fillId="0" borderId="7" xfId="1" quotePrefix="1" applyNumberFormat="1" applyFont="1" applyFill="1" applyBorder="1" applyAlignment="1" applyProtection="1">
      <alignment horizontal="right"/>
      <protection locked="0"/>
    </xf>
    <xf numFmtId="3" fontId="0" fillId="6" borderId="25" xfId="0" applyNumberFormat="1" applyFill="1" applyBorder="1" applyAlignment="1">
      <alignment vertical="center"/>
    </xf>
    <xf numFmtId="3" fontId="0" fillId="6" borderId="0" xfId="0" applyNumberFormat="1" applyFill="1" applyAlignment="1">
      <alignment vertical="center"/>
    </xf>
    <xf numFmtId="2" fontId="0" fillId="6" borderId="0" xfId="0" applyNumberFormat="1" applyFill="1"/>
    <xf numFmtId="44" fontId="0" fillId="6" borderId="0" xfId="2" applyFont="1" applyFill="1"/>
    <xf numFmtId="0" fontId="0" fillId="0" borderId="0" xfId="2" applyNumberFormat="1" applyFont="1" applyFill="1" applyAlignment="1">
      <alignment horizontal="center"/>
    </xf>
    <xf numFmtId="0" fontId="0" fillId="0" borderId="56" xfId="0" applyBorder="1" applyAlignment="1">
      <alignment horizontal="left" vertical="top"/>
    </xf>
    <xf numFmtId="0" fontId="0" fillId="0" borderId="57" xfId="2" applyNumberFormat="1" applyFont="1" applyFill="1" applyBorder="1" applyAlignment="1">
      <alignment horizontal="center"/>
    </xf>
    <xf numFmtId="0" fontId="0" fillId="0" borderId="58" xfId="2" applyNumberFormat="1" applyFont="1" applyFill="1" applyBorder="1" applyAlignment="1">
      <alignment horizontal="center"/>
    </xf>
    <xf numFmtId="175" fontId="50" fillId="0" borderId="0" xfId="2" applyNumberFormat="1" applyFont="1" applyFill="1"/>
    <xf numFmtId="44" fontId="0" fillId="6" borderId="7" xfId="2" applyFont="1" applyFill="1" applyBorder="1"/>
    <xf numFmtId="176" fontId="0" fillId="0" borderId="0" xfId="1" applyNumberFormat="1" applyFont="1" applyFill="1" applyAlignment="1">
      <alignment horizontal="right"/>
    </xf>
    <xf numFmtId="44" fontId="138" fillId="0" borderId="0" xfId="2" applyFont="1" applyFill="1"/>
    <xf numFmtId="176" fontId="138" fillId="0" borderId="0" xfId="1" applyNumberFormat="1" applyFont="1" applyFill="1" applyAlignment="1">
      <alignment horizontal="center"/>
    </xf>
    <xf numFmtId="165" fontId="138" fillId="0" borderId="0" xfId="1" applyNumberFormat="1" applyFont="1" applyFill="1"/>
    <xf numFmtId="44" fontId="138" fillId="0" borderId="0" xfId="2" applyFont="1" applyFill="1" applyAlignment="1">
      <alignment horizontal="center"/>
    </xf>
    <xf numFmtId="176" fontId="138" fillId="0" borderId="0" xfId="1" applyNumberFormat="1" applyFont="1" applyFill="1"/>
    <xf numFmtId="0" fontId="138" fillId="0" borderId="0" xfId="2" applyNumberFormat="1" applyFont="1" applyFill="1"/>
    <xf numFmtId="0" fontId="138" fillId="0" borderId="0" xfId="2" applyNumberFormat="1" applyFont="1" applyFill="1" applyAlignment="1">
      <alignment horizontal="center"/>
    </xf>
    <xf numFmtId="0" fontId="0" fillId="0" borderId="66" xfId="0" applyBorder="1" applyAlignment="1">
      <alignment vertical="center"/>
    </xf>
    <xf numFmtId="176" fontId="0" fillId="0" borderId="67" xfId="1" applyNumberFormat="1" applyFont="1" applyFill="1" applyBorder="1"/>
    <xf numFmtId="44" fontId="0" fillId="0" borderId="67" xfId="2" applyFont="1" applyFill="1" applyBorder="1"/>
    <xf numFmtId="176" fontId="0" fillId="0" borderId="67" xfId="1" applyNumberFormat="1" applyFont="1" applyFill="1" applyBorder="1" applyAlignment="1">
      <alignment horizontal="center"/>
    </xf>
    <xf numFmtId="165" fontId="0" fillId="0" borderId="67" xfId="1" applyNumberFormat="1" applyFont="1" applyFill="1" applyBorder="1"/>
    <xf numFmtId="44" fontId="0" fillId="0" borderId="67" xfId="2" applyFont="1" applyFill="1" applyBorder="1" applyAlignment="1">
      <alignment horizontal="center"/>
    </xf>
    <xf numFmtId="0" fontId="0" fillId="0" borderId="67" xfId="2" applyNumberFormat="1" applyFont="1" applyFill="1" applyBorder="1"/>
    <xf numFmtId="176" fontId="0" fillId="0" borderId="67" xfId="1" applyNumberFormat="1" applyFont="1" applyFill="1" applyBorder="1" applyAlignment="1">
      <alignment horizontal="right"/>
    </xf>
    <xf numFmtId="44" fontId="0" fillId="6" borderId="68" xfId="2" applyFont="1" applyFill="1" applyBorder="1"/>
    <xf numFmtId="0" fontId="0" fillId="0" borderId="67" xfId="2" applyNumberFormat="1" applyFont="1" applyFill="1" applyBorder="1" applyAlignment="1">
      <alignment horizontal="center"/>
    </xf>
    <xf numFmtId="0" fontId="0" fillId="0" borderId="69" xfId="0" applyBorder="1" applyAlignment="1">
      <alignment horizontal="center"/>
    </xf>
    <xf numFmtId="0" fontId="0" fillId="0" borderId="70" xfId="0" applyBorder="1" applyAlignment="1">
      <alignment vertical="center"/>
    </xf>
    <xf numFmtId="176" fontId="0" fillId="0" borderId="71" xfId="1" applyNumberFormat="1" applyFont="1" applyFill="1" applyBorder="1"/>
    <xf numFmtId="44" fontId="0" fillId="0" borderId="71" xfId="2" applyFont="1" applyFill="1" applyBorder="1"/>
    <xf numFmtId="176" fontId="0" fillId="0" borderId="71" xfId="1" applyNumberFormat="1" applyFont="1" applyFill="1" applyBorder="1" applyAlignment="1">
      <alignment horizontal="center"/>
    </xf>
    <xf numFmtId="165" fontId="0" fillId="0" borderId="71" xfId="1" applyNumberFormat="1" applyFont="1" applyFill="1" applyBorder="1"/>
    <xf numFmtId="44" fontId="0" fillId="0" borderId="71" xfId="2" applyFont="1" applyFill="1" applyBorder="1" applyAlignment="1">
      <alignment horizontal="center"/>
    </xf>
    <xf numFmtId="0" fontId="0" fillId="0" borderId="71" xfId="2" applyNumberFormat="1" applyFont="1" applyFill="1" applyBorder="1"/>
    <xf numFmtId="0" fontId="0" fillId="0" borderId="71" xfId="2" applyNumberFormat="1" applyFont="1" applyFill="1" applyBorder="1" applyAlignment="1">
      <alignment horizontal="center"/>
    </xf>
    <xf numFmtId="0" fontId="0" fillId="0" borderId="72" xfId="0" applyBorder="1" applyAlignment="1">
      <alignment horizontal="center"/>
    </xf>
    <xf numFmtId="10" fontId="0" fillId="18" borderId="0" xfId="0" applyNumberFormat="1" applyFill="1"/>
    <xf numFmtId="0" fontId="129" fillId="40" borderId="0" xfId="0" applyFont="1" applyFill="1" applyAlignment="1">
      <alignment horizontal="center" wrapText="1"/>
    </xf>
    <xf numFmtId="0" fontId="73" fillId="0" borderId="0" xfId="0" applyFont="1"/>
    <xf numFmtId="43" fontId="0" fillId="0" borderId="0" xfId="0" applyNumberFormat="1"/>
    <xf numFmtId="0" fontId="130" fillId="0" borderId="0" xfId="0" applyFont="1" applyAlignment="1">
      <alignment wrapText="1"/>
    </xf>
    <xf numFmtId="0" fontId="129" fillId="42" borderId="0" xfId="0" applyFont="1" applyFill="1" applyAlignment="1">
      <alignment wrapText="1"/>
    </xf>
    <xf numFmtId="0" fontId="128" fillId="39" borderId="0" xfId="0" applyFont="1" applyFill="1" applyAlignment="1">
      <alignment horizontal="center" wrapText="1"/>
    </xf>
    <xf numFmtId="0" fontId="128" fillId="45" borderId="0" xfId="0" applyFont="1" applyFill="1" applyAlignment="1">
      <alignment horizontal="center" wrapText="1"/>
    </xf>
    <xf numFmtId="175" fontId="0" fillId="6" borderId="7" xfId="0" applyNumberFormat="1" applyFill="1" applyBorder="1"/>
    <xf numFmtId="175" fontId="0" fillId="19" borderId="0" xfId="0" applyNumberFormat="1" applyFill="1"/>
    <xf numFmtId="175" fontId="0" fillId="47" borderId="7" xfId="0" applyNumberFormat="1" applyFill="1" applyBorder="1"/>
    <xf numFmtId="175" fontId="0" fillId="47" borderId="7" xfId="0" applyNumberFormat="1" applyFill="1" applyBorder="1" applyAlignment="1">
      <alignment horizontal="center"/>
    </xf>
    <xf numFmtId="175" fontId="0" fillId="4" borderId="0" xfId="0" applyNumberFormat="1" applyFill="1"/>
    <xf numFmtId="175" fontId="0" fillId="0" borderId="0" xfId="0" applyNumberFormat="1" applyAlignment="1">
      <alignment horizontal="right"/>
    </xf>
    <xf numFmtId="172" fontId="141" fillId="0" borderId="0" xfId="3" applyNumberFormat="1" applyFont="1"/>
    <xf numFmtId="166" fontId="0" fillId="0" borderId="0" xfId="0" applyNumberFormat="1"/>
    <xf numFmtId="165" fontId="95" fillId="18" borderId="0" xfId="1" applyNumberFormat="1" applyFont="1" applyFill="1" applyBorder="1" applyAlignment="1">
      <alignment horizontal="center"/>
    </xf>
    <xf numFmtId="44" fontId="0" fillId="0" borderId="0" xfId="0" applyNumberFormat="1"/>
    <xf numFmtId="9" fontId="0" fillId="0" borderId="0" xfId="3" applyFont="1"/>
    <xf numFmtId="10" fontId="0" fillId="0" borderId="0" xfId="3" applyNumberFormat="1" applyFont="1"/>
    <xf numFmtId="44" fontId="0" fillId="0" borderId="0" xfId="3" applyNumberFormat="1" applyFont="1"/>
    <xf numFmtId="175" fontId="0" fillId="6" borderId="0" xfId="2" applyNumberFormat="1" applyFont="1" applyFill="1" applyBorder="1"/>
    <xf numFmtId="10" fontId="0" fillId="6" borderId="0" xfId="3" applyNumberFormat="1" applyFont="1" applyFill="1" applyBorder="1"/>
    <xf numFmtId="10" fontId="63" fillId="4" borderId="0" xfId="3" applyNumberFormat="1" applyFont="1" applyFill="1" applyBorder="1"/>
    <xf numFmtId="176" fontId="0" fillId="6" borderId="7" xfId="1" applyNumberFormat="1" applyFont="1" applyFill="1" applyBorder="1"/>
    <xf numFmtId="0" fontId="0" fillId="10" borderId="0" xfId="0" applyFill="1" applyAlignment="1">
      <alignment horizontal="center"/>
    </xf>
    <xf numFmtId="0" fontId="3" fillId="28" borderId="10" xfId="0" applyFont="1" applyFill="1" applyBorder="1" applyAlignment="1">
      <alignment horizontal="center" textRotation="90"/>
    </xf>
    <xf numFmtId="0" fontId="3" fillId="28" borderId="14" xfId="0" applyFont="1" applyFill="1" applyBorder="1" applyAlignment="1">
      <alignment horizontal="center" textRotation="90"/>
    </xf>
    <xf numFmtId="0" fontId="63" fillId="28" borderId="8" xfId="0" applyFont="1" applyFill="1" applyBorder="1" applyAlignment="1">
      <alignment horizontal="center" wrapText="1"/>
    </xf>
    <xf numFmtId="0" fontId="63" fillId="28" borderId="9" xfId="0" applyFont="1" applyFill="1" applyBorder="1" applyAlignment="1">
      <alignment horizontal="center" wrapText="1"/>
    </xf>
    <xf numFmtId="0" fontId="63" fillId="28" borderId="13" xfId="0" applyFont="1" applyFill="1" applyBorder="1" applyAlignment="1">
      <alignment horizontal="center" wrapText="1"/>
    </xf>
    <xf numFmtId="0" fontId="63" fillId="28" borderId="1" xfId="0" applyFont="1" applyFill="1" applyBorder="1" applyAlignment="1">
      <alignment horizontal="center" wrapText="1"/>
    </xf>
    <xf numFmtId="0" fontId="64" fillId="28" borderId="8" xfId="0" applyFont="1" applyFill="1" applyBorder="1" applyAlignment="1">
      <alignment horizontal="center" wrapText="1"/>
    </xf>
    <xf numFmtId="0" fontId="64" fillId="28" borderId="9" xfId="0" applyFont="1" applyFill="1" applyBorder="1" applyAlignment="1">
      <alignment horizontal="center" wrapText="1"/>
    </xf>
    <xf numFmtId="0" fontId="64" fillId="28" borderId="13" xfId="0" applyFont="1" applyFill="1" applyBorder="1" applyAlignment="1">
      <alignment horizontal="center" wrapText="1"/>
    </xf>
    <xf numFmtId="0" fontId="64" fillId="28" borderId="1" xfId="0" applyFont="1" applyFill="1" applyBorder="1" applyAlignment="1">
      <alignment horizontal="center" wrapText="1"/>
    </xf>
    <xf numFmtId="0" fontId="136" fillId="33" borderId="2" xfId="0" applyFont="1" applyFill="1" applyBorder="1" applyAlignment="1">
      <alignment horizontal="center"/>
    </xf>
    <xf numFmtId="3" fontId="3" fillId="21" borderId="0" xfId="0" applyNumberFormat="1" applyFont="1" applyFill="1" applyAlignment="1">
      <alignment horizontal="center" wrapText="1"/>
    </xf>
    <xf numFmtId="0" fontId="64" fillId="28" borderId="11" xfId="0" applyFont="1" applyFill="1" applyBorder="1" applyAlignment="1">
      <alignment horizontal="center" wrapText="1"/>
    </xf>
    <xf numFmtId="0" fontId="64" fillId="28" borderId="0" xfId="0" applyFont="1" applyFill="1" applyAlignment="1">
      <alignment horizontal="center" wrapText="1"/>
    </xf>
    <xf numFmtId="0" fontId="3" fillId="4" borderId="0" xfId="0" applyFont="1" applyFill="1" applyAlignment="1">
      <alignment horizontal="center" wrapText="1"/>
    </xf>
    <xf numFmtId="0" fontId="63" fillId="31" borderId="8" xfId="0" applyFont="1" applyFill="1" applyBorder="1" applyAlignment="1">
      <alignment horizontal="center" wrapText="1"/>
    </xf>
    <xf numFmtId="0" fontId="63" fillId="31" borderId="10" xfId="0" applyFont="1" applyFill="1" applyBorder="1" applyAlignment="1">
      <alignment horizontal="center" wrapText="1"/>
    </xf>
    <xf numFmtId="0" fontId="63" fillId="31" borderId="13" xfId="0" applyFont="1" applyFill="1" applyBorder="1" applyAlignment="1">
      <alignment horizontal="center" wrapText="1"/>
    </xf>
    <xf numFmtId="0" fontId="63" fillId="31" borderId="14" xfId="0" applyFont="1" applyFill="1" applyBorder="1" applyAlignment="1">
      <alignment horizontal="center" wrapText="1"/>
    </xf>
    <xf numFmtId="0" fontId="3" fillId="4" borderId="0" xfId="0" applyFont="1" applyFill="1" applyAlignment="1">
      <alignment horizontal="center" vertical="center" wrapText="1"/>
    </xf>
    <xf numFmtId="0" fontId="3" fillId="28" borderId="12" xfId="0" applyFont="1" applyFill="1" applyBorder="1" applyAlignment="1">
      <alignment horizontal="center" textRotation="90"/>
    </xf>
    <xf numFmtId="0" fontId="63" fillId="28" borderId="10" xfId="0" applyFont="1" applyFill="1" applyBorder="1" applyAlignment="1">
      <alignment horizontal="center" textRotation="90"/>
    </xf>
    <xf numFmtId="0" fontId="63" fillId="28" borderId="14" xfId="0" applyFont="1" applyFill="1" applyBorder="1" applyAlignment="1">
      <alignment horizontal="center" textRotation="90"/>
    </xf>
    <xf numFmtId="0" fontId="0" fillId="6" borderId="8" xfId="0" applyFill="1" applyBorder="1" applyAlignment="1">
      <alignment horizontal="center" vertical="center"/>
    </xf>
    <xf numFmtId="0" fontId="0" fillId="6" borderId="9" xfId="0" applyFill="1" applyBorder="1" applyAlignment="1">
      <alignment horizontal="center" vertical="center"/>
    </xf>
    <xf numFmtId="0" fontId="0" fillId="6" borderId="11" xfId="0" applyFill="1" applyBorder="1" applyAlignment="1">
      <alignment horizontal="center" vertical="center"/>
    </xf>
    <xf numFmtId="0" fontId="0" fillId="6" borderId="0" xfId="0" applyFill="1" applyAlignment="1">
      <alignment horizontal="center" vertical="center"/>
    </xf>
    <xf numFmtId="0" fontId="101" fillId="0" borderId="1" xfId="0" applyFont="1" applyBorder="1" applyAlignment="1">
      <alignment horizontal="center"/>
    </xf>
    <xf numFmtId="0" fontId="64" fillId="28" borderId="10" xfId="0" applyFont="1" applyFill="1" applyBorder="1" applyAlignment="1">
      <alignment horizontal="center" wrapText="1"/>
    </xf>
    <xf numFmtId="0" fontId="64" fillId="28" borderId="14" xfId="0" applyFont="1" applyFill="1" applyBorder="1" applyAlignment="1">
      <alignment horizontal="center" wrapText="1"/>
    </xf>
    <xf numFmtId="0" fontId="64" fillId="28" borderId="12" xfId="0" applyFont="1" applyFill="1" applyBorder="1" applyAlignment="1">
      <alignment horizontal="center" wrapText="1"/>
    </xf>
    <xf numFmtId="0" fontId="63" fillId="28" borderId="10" xfId="0" applyFont="1" applyFill="1" applyBorder="1" applyAlignment="1">
      <alignment horizontal="center" wrapText="1"/>
    </xf>
    <xf numFmtId="0" fontId="63" fillId="28" borderId="14" xfId="0" applyFont="1" applyFill="1" applyBorder="1" applyAlignment="1">
      <alignment horizontal="center" wrapText="1"/>
    </xf>
    <xf numFmtId="44" fontId="0" fillId="0" borderId="67" xfId="2" applyFont="1" applyFill="1" applyBorder="1" applyAlignment="1">
      <alignment horizontal="left" wrapText="1"/>
    </xf>
    <xf numFmtId="44" fontId="0" fillId="0" borderId="71" xfId="2" applyFont="1" applyFill="1" applyBorder="1" applyAlignment="1">
      <alignment horizontal="left" wrapText="1"/>
    </xf>
    <xf numFmtId="0" fontId="0" fillId="0" borderId="9" xfId="0" applyBorder="1" applyAlignment="1">
      <alignment horizontal="left" wrapText="1"/>
    </xf>
    <xf numFmtId="0" fontId="0" fillId="0" borderId="0" xfId="0" applyAlignment="1">
      <alignment horizontal="left" wrapText="1"/>
    </xf>
    <xf numFmtId="3" fontId="3" fillId="21" borderId="0" xfId="0" applyNumberFormat="1" applyFont="1" applyFill="1" applyAlignment="1">
      <alignment horizontal="center"/>
    </xf>
    <xf numFmtId="0" fontId="56" fillId="28" borderId="0" xfId="0" applyFont="1" applyFill="1" applyAlignment="1">
      <alignment horizontal="center" wrapText="1"/>
    </xf>
    <xf numFmtId="0" fontId="3" fillId="28" borderId="0" xfId="0" applyFont="1" applyFill="1" applyAlignment="1">
      <alignment horizontal="center" wrapText="1"/>
    </xf>
    <xf numFmtId="3" fontId="3" fillId="21" borderId="0" xfId="0" applyNumberFormat="1" applyFont="1" applyFill="1" applyAlignment="1">
      <alignment horizontal="left" wrapText="1"/>
    </xf>
    <xf numFmtId="3" fontId="45" fillId="21" borderId="0" xfId="0" applyNumberFormat="1" applyFont="1" applyFill="1" applyAlignment="1">
      <alignment horizontal="center" wrapText="1"/>
    </xf>
    <xf numFmtId="0" fontId="128" fillId="39" borderId="0" xfId="0" applyFont="1" applyFill="1" applyAlignment="1">
      <alignment horizontal="center" wrapText="1"/>
    </xf>
    <xf numFmtId="0" fontId="128" fillId="45" borderId="0" xfId="0" applyFont="1" applyFill="1" applyAlignment="1">
      <alignment horizontal="center" wrapText="1"/>
    </xf>
    <xf numFmtId="0" fontId="130" fillId="0" borderId="0" xfId="0" applyFont="1" applyAlignment="1">
      <alignment horizontal="center" wrapText="1"/>
    </xf>
    <xf numFmtId="0" fontId="0" fillId="0" borderId="0" xfId="0"/>
    <xf numFmtId="0" fontId="128" fillId="39" borderId="0" xfId="0" applyFont="1" applyFill="1" applyAlignment="1">
      <alignment horizontal="center"/>
    </xf>
    <xf numFmtId="0" fontId="73" fillId="0" borderId="0" xfId="0" applyFont="1"/>
    <xf numFmtId="0" fontId="134" fillId="41" borderId="0" xfId="0" applyFont="1" applyFill="1" applyAlignment="1">
      <alignment horizontal="center"/>
    </xf>
    <xf numFmtId="0" fontId="129" fillId="26" borderId="0" xfId="0" applyFont="1" applyFill="1" applyAlignment="1">
      <alignment horizontal="center" wrapText="1"/>
    </xf>
    <xf numFmtId="0" fontId="130" fillId="40" borderId="0" xfId="0" applyFont="1" applyFill="1" applyAlignment="1">
      <alignment horizontal="center" wrapText="1"/>
    </xf>
    <xf numFmtId="0" fontId="129" fillId="40" borderId="0" xfId="0" applyFont="1" applyFill="1" applyAlignment="1">
      <alignment horizontal="center" wrapText="1"/>
    </xf>
    <xf numFmtId="0" fontId="132" fillId="39" borderId="0" xfId="0" applyFont="1" applyFill="1" applyAlignment="1">
      <alignment horizontal="center"/>
    </xf>
    <xf numFmtId="0" fontId="129" fillId="0" borderId="0" xfId="0" applyFont="1" applyAlignment="1">
      <alignment horizontal="center" wrapText="1"/>
    </xf>
    <xf numFmtId="175" fontId="0" fillId="4" borderId="0" xfId="0" applyNumberFormat="1" applyFill="1" applyAlignment="1">
      <alignment horizontal="center" vertical="top" wrapText="1"/>
    </xf>
    <xf numFmtId="0" fontId="139" fillId="39" borderId="0" xfId="0" applyFont="1" applyFill="1" applyAlignment="1">
      <alignment horizontal="center" wrapText="1"/>
    </xf>
    <xf numFmtId="9" fontId="129" fillId="46" borderId="0" xfId="0" applyNumberFormat="1" applyFont="1" applyFill="1" applyAlignment="1">
      <alignment horizontal="center" vertical="center" wrapText="1"/>
    </xf>
    <xf numFmtId="0" fontId="129" fillId="46" borderId="0" xfId="0" applyFont="1" applyFill="1" applyAlignment="1">
      <alignment horizontal="center" vertical="center" wrapText="1"/>
    </xf>
    <xf numFmtId="0" fontId="140" fillId="39" borderId="0" xfId="0" applyFont="1" applyFill="1" applyAlignment="1">
      <alignment horizontal="center" wrapText="1"/>
    </xf>
    <xf numFmtId="0" fontId="67" fillId="23" borderId="40" xfId="8" applyFill="1" applyBorder="1"/>
    <xf numFmtId="0" fontId="73" fillId="0" borderId="43" xfId="8" applyFont="1" applyBorder="1"/>
    <xf numFmtId="0" fontId="67" fillId="23" borderId="15" xfId="8" applyFill="1" applyBorder="1" applyAlignment="1">
      <alignment horizontal="center"/>
    </xf>
    <xf numFmtId="0" fontId="67" fillId="23" borderId="6" xfId="8" applyFill="1" applyBorder="1" applyAlignment="1">
      <alignment horizontal="center"/>
    </xf>
    <xf numFmtId="0" fontId="67" fillId="23" borderId="16" xfId="8" applyFill="1" applyBorder="1" applyAlignment="1">
      <alignment horizontal="center"/>
    </xf>
    <xf numFmtId="0" fontId="73" fillId="0" borderId="41" xfId="8" applyFont="1" applyBorder="1"/>
    <xf numFmtId="0" fontId="67" fillId="0" borderId="0" xfId="8"/>
    <xf numFmtId="0" fontId="67" fillId="23" borderId="40" xfId="8" applyFill="1" applyBorder="1" applyAlignment="1">
      <alignment horizontal="center"/>
    </xf>
    <xf numFmtId="0" fontId="67" fillId="23" borderId="41" xfId="8" applyFill="1" applyBorder="1" applyAlignment="1">
      <alignment horizontal="center"/>
    </xf>
    <xf numFmtId="3" fontId="12" fillId="2" borderId="0" xfId="4" applyNumberFormat="1" applyFont="1" applyFill="1" applyAlignment="1">
      <alignment horizontal="center"/>
    </xf>
    <xf numFmtId="0" fontId="6" fillId="0" borderId="0" xfId="4" applyFont="1" applyAlignment="1">
      <alignment horizontal="center"/>
    </xf>
    <xf numFmtId="0" fontId="4" fillId="0" borderId="0" xfId="4" applyAlignment="1">
      <alignment horizontal="center" wrapText="1"/>
    </xf>
    <xf numFmtId="0" fontId="4" fillId="0" borderId="0" xfId="4" applyAlignment="1">
      <alignment horizontal="center"/>
    </xf>
    <xf numFmtId="4" fontId="4" fillId="0" borderId="5" xfId="4" applyNumberFormat="1" applyBorder="1" applyAlignment="1">
      <alignment horizontal="center"/>
    </xf>
    <xf numFmtId="0" fontId="15" fillId="0" borderId="0" xfId="4" applyFont="1" applyAlignment="1">
      <alignment horizontal="center" vertical="center"/>
    </xf>
    <xf numFmtId="0" fontId="13" fillId="0" borderId="0" xfId="4" applyFont="1" applyAlignment="1">
      <alignment horizontal="center" wrapText="1"/>
    </xf>
    <xf numFmtId="4" fontId="4" fillId="0" borderId="4" xfId="4" applyNumberFormat="1" applyBorder="1" applyAlignment="1">
      <alignment horizontal="center"/>
    </xf>
    <xf numFmtId="0" fontId="4" fillId="0" borderId="4" xfId="4" applyBorder="1"/>
    <xf numFmtId="4" fontId="4" fillId="0" borderId="5" xfId="4" applyNumberFormat="1" applyBorder="1" applyAlignment="1">
      <alignment horizontal="center" vertical="center"/>
    </xf>
    <xf numFmtId="49" fontId="15" fillId="0" borderId="0" xfId="4" applyNumberFormat="1" applyFont="1" applyAlignment="1">
      <alignment horizontal="center"/>
    </xf>
    <xf numFmtId="0" fontId="18" fillId="0" borderId="0" xfId="4" applyFont="1" applyAlignment="1">
      <alignment horizontal="left" wrapText="1"/>
    </xf>
    <xf numFmtId="0" fontId="4" fillId="0" borderId="0" xfId="4"/>
    <xf numFmtId="4" fontId="6" fillId="0" borderId="4" xfId="4" applyNumberFormat="1" applyFont="1" applyBorder="1" applyAlignment="1">
      <alignment horizontal="center"/>
    </xf>
    <xf numFmtId="0" fontId="4" fillId="0" borderId="0" xfId="4" applyAlignment="1">
      <alignment horizontal="center" vertical="center"/>
    </xf>
    <xf numFmtId="2" fontId="6" fillId="0" borderId="4" xfId="4" applyNumberFormat="1" applyFont="1" applyBorder="1" applyAlignment="1">
      <alignment horizontal="center"/>
    </xf>
    <xf numFmtId="4" fontId="6" fillId="0" borderId="6" xfId="4" applyNumberFormat="1" applyFont="1" applyBorder="1" applyAlignment="1">
      <alignment horizontal="center"/>
    </xf>
    <xf numFmtId="0" fontId="10" fillId="18" borderId="0" xfId="5" applyFont="1" applyFill="1" applyAlignment="1">
      <alignment horizontal="center" wrapText="1"/>
    </xf>
    <xf numFmtId="0" fontId="10" fillId="7" borderId="0" xfId="5" applyFont="1" applyAlignment="1">
      <alignment horizontal="center"/>
    </xf>
    <xf numFmtId="0" fontId="10" fillId="7" borderId="15" xfId="5" applyFont="1" applyBorder="1" applyAlignment="1">
      <alignment horizontal="center"/>
    </xf>
    <xf numFmtId="0" fontId="10" fillId="7" borderId="6" xfId="5" applyFont="1" applyBorder="1" applyAlignment="1">
      <alignment horizontal="center"/>
    </xf>
    <xf numFmtId="0" fontId="10" fillId="7" borderId="16" xfId="5" applyFont="1" applyBorder="1" applyAlignment="1">
      <alignment horizontal="center"/>
    </xf>
    <xf numFmtId="0" fontId="53" fillId="19" borderId="7" xfId="5" applyFont="1" applyFill="1" applyBorder="1" applyAlignment="1">
      <alignment wrapText="1"/>
    </xf>
    <xf numFmtId="0" fontId="78" fillId="7" borderId="7" xfId="5" applyFont="1" applyBorder="1" applyAlignment="1">
      <alignment wrapText="1"/>
    </xf>
    <xf numFmtId="0" fontId="59" fillId="7" borderId="28" xfId="5" applyFont="1" applyBorder="1" applyAlignment="1">
      <alignment wrapText="1"/>
    </xf>
    <xf numFmtId="0" fontId="59" fillId="7" borderId="2" xfId="5" applyFont="1" applyBorder="1"/>
    <xf numFmtId="0" fontId="59" fillId="7" borderId="29" xfId="5" applyFont="1" applyBorder="1"/>
    <xf numFmtId="0" fontId="21" fillId="7" borderId="15" xfId="5" applyFont="1" applyBorder="1" applyAlignment="1">
      <alignment vertical="top" wrapText="1"/>
    </xf>
    <xf numFmtId="0" fontId="6" fillId="7" borderId="6" xfId="5" applyBorder="1" applyAlignment="1">
      <alignment wrapText="1"/>
    </xf>
    <xf numFmtId="0" fontId="10" fillId="7" borderId="6" xfId="5" applyFont="1" applyBorder="1" applyAlignment="1">
      <alignment wrapText="1"/>
    </xf>
  </cellXfs>
  <cellStyles count="31">
    <cellStyle name="Comma" xfId="1" builtinId="3"/>
    <cellStyle name="Comma 2" xfId="12" xr:uid="{00000000-0005-0000-0000-000001000000}"/>
    <cellStyle name="Comma 2 2" xfId="15" xr:uid="{00000000-0005-0000-0000-000002000000}"/>
    <cellStyle name="Comma 2 3" xfId="24" xr:uid="{74ACBDCB-1517-4805-8A42-CE0CEE042737}"/>
    <cellStyle name="Comma 2 4" xfId="26" xr:uid="{35801DC2-8CB5-48AD-B72A-CD599FCB6F47}"/>
    <cellStyle name="Comma 3" xfId="19" xr:uid="{124BF0B5-1DC7-4561-AA5C-A412124A797F}"/>
    <cellStyle name="Comma 4" xfId="30" xr:uid="{C96D3027-ECAF-4DCE-9193-2D97119B3B74}"/>
    <cellStyle name="Currency" xfId="2" builtinId="4"/>
    <cellStyle name="Currency 2" xfId="6" xr:uid="{00000000-0005-0000-0000-000004000000}"/>
    <cellStyle name="Currency 2 2" xfId="29" xr:uid="{FC1401B4-5D63-4DF2-99B4-42A59B36FF22}"/>
    <cellStyle name="Currency 3" xfId="11" xr:uid="{00000000-0005-0000-0000-000005000000}"/>
    <cellStyle name="Currency 4" xfId="14" xr:uid="{00000000-0005-0000-0000-000006000000}"/>
    <cellStyle name="Currency 5" xfId="18" xr:uid="{01737E76-F1B0-47FD-AC6C-83275DE3EBC6}"/>
    <cellStyle name="Currency 6" xfId="20" xr:uid="{E2415A20-24C3-48C4-8438-0EE6FF96B827}"/>
    <cellStyle name="Normal" xfId="0" builtinId="0"/>
    <cellStyle name="Normal 2" xfId="4" xr:uid="{00000000-0005-0000-0000-000008000000}"/>
    <cellStyle name="Normal 2 2" xfId="13" xr:uid="{00000000-0005-0000-0000-000009000000}"/>
    <cellStyle name="Normal 2 3" xfId="16" xr:uid="{00000000-0005-0000-0000-00000A000000}"/>
    <cellStyle name="Normal 2 4" xfId="27" xr:uid="{E86337EC-AE28-482E-B213-D52C7B7E4853}"/>
    <cellStyle name="Normal 3" xfId="5" xr:uid="{00000000-0005-0000-0000-00000B000000}"/>
    <cellStyle name="Normal 3 2" xfId="21" xr:uid="{83AC689A-A94A-4665-BA78-BCCDA043AC1B}"/>
    <cellStyle name="Normal 3 3" xfId="25" xr:uid="{CAE5B6B4-04C5-4E78-81DD-4C359757E955}"/>
    <cellStyle name="Normal 4" xfId="7" xr:uid="{00000000-0005-0000-0000-00000C000000}"/>
    <cellStyle name="Normal 5" xfId="8" xr:uid="{00000000-0005-0000-0000-00000D000000}"/>
    <cellStyle name="Normal 6" xfId="10" xr:uid="{00000000-0005-0000-0000-00000E000000}"/>
    <cellStyle name="Normal 7" xfId="17" xr:uid="{D72A4A52-9F6C-42A5-B8E4-AA6E23972893}"/>
    <cellStyle name="Normal 8" xfId="23" xr:uid="{9F042097-15E8-44D1-92C9-AE7C406B4A77}"/>
    <cellStyle name="Percent" xfId="3" builtinId="5"/>
    <cellStyle name="Percent 2" xfId="9" xr:uid="{00000000-0005-0000-0000-000010000000}"/>
    <cellStyle name="Percent 2 2" xfId="28" xr:uid="{641E3C09-8292-40E0-9FC3-2CDC0D8C4BFD}"/>
    <cellStyle name="Percent 3" xfId="22" xr:uid="{31021CFD-18CB-4F84-8B82-FBFA29BEEC7E}"/>
  </cellStyles>
  <dxfs count="56">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condense val="0"/>
        <extend val="0"/>
        <color indexed="22"/>
      </font>
      <fill>
        <patternFill>
          <bgColor indexed="22"/>
        </patternFill>
      </fill>
    </dxf>
    <dxf>
      <font>
        <condense val="0"/>
        <extend val="0"/>
        <color indexed="48"/>
      </font>
      <fill>
        <patternFill patternType="none">
          <bgColor indexed="65"/>
        </patternFill>
      </fill>
    </dxf>
    <dxf>
      <font>
        <condense val="0"/>
        <extend val="0"/>
        <color indexed="22"/>
      </font>
      <fill>
        <patternFill patternType="solid">
          <bgColor indexed="22"/>
        </patternFill>
      </fill>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condense val="0"/>
        <extend val="0"/>
        <color indexed="22"/>
      </font>
      <fill>
        <patternFill>
          <bgColor indexed="22"/>
        </patternFill>
      </fill>
    </dxf>
    <dxf>
      <font>
        <condense val="0"/>
        <extend val="0"/>
        <color indexed="48"/>
      </font>
      <fill>
        <patternFill patternType="none">
          <bgColor indexed="65"/>
        </patternFill>
      </fill>
    </dxf>
    <dxf>
      <font>
        <condense val="0"/>
        <extend val="0"/>
        <color indexed="22"/>
      </font>
      <fill>
        <patternFill patternType="solid">
          <bgColor indexed="22"/>
        </patternFill>
      </fill>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condense val="0"/>
        <extend val="0"/>
        <color indexed="22"/>
      </font>
      <fill>
        <patternFill>
          <bgColor indexed="22"/>
        </patternFill>
      </fill>
    </dxf>
    <dxf>
      <font>
        <condense val="0"/>
        <extend val="0"/>
        <color indexed="48"/>
      </font>
      <fill>
        <patternFill patternType="none">
          <bgColor indexed="65"/>
        </patternFill>
      </fill>
    </dxf>
    <dxf>
      <font>
        <condense val="0"/>
        <extend val="0"/>
        <color indexed="22"/>
      </font>
      <fill>
        <patternFill patternType="solid">
          <bgColor indexed="22"/>
        </patternFill>
      </fill>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condense val="0"/>
        <extend val="0"/>
        <color indexed="22"/>
      </font>
      <fill>
        <patternFill>
          <bgColor indexed="22"/>
        </patternFill>
      </fill>
    </dxf>
    <dxf>
      <font>
        <condense val="0"/>
        <extend val="0"/>
        <color indexed="48"/>
      </font>
      <fill>
        <patternFill patternType="none">
          <bgColor indexed="65"/>
        </patternFill>
      </fill>
    </dxf>
    <dxf>
      <font>
        <condense val="0"/>
        <extend val="0"/>
        <color indexed="22"/>
      </font>
      <fill>
        <patternFill patternType="solid">
          <bgColor indexed="22"/>
        </patternFill>
      </fill>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condense val="0"/>
        <extend val="0"/>
        <color indexed="22"/>
      </font>
      <fill>
        <patternFill>
          <bgColor indexed="22"/>
        </patternFill>
      </fill>
    </dxf>
    <dxf>
      <font>
        <condense val="0"/>
        <extend val="0"/>
        <color indexed="48"/>
      </font>
      <fill>
        <patternFill patternType="none">
          <bgColor indexed="65"/>
        </patternFill>
      </fill>
    </dxf>
    <dxf>
      <font>
        <condense val="0"/>
        <extend val="0"/>
        <color indexed="22"/>
      </font>
      <fill>
        <patternFill patternType="solid">
          <bgColor indexed="22"/>
        </patternFill>
      </fill>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condense val="0"/>
        <extend val="0"/>
        <color indexed="22"/>
      </font>
      <fill>
        <patternFill>
          <bgColor indexed="22"/>
        </patternFill>
      </fill>
    </dxf>
    <dxf>
      <font>
        <condense val="0"/>
        <extend val="0"/>
        <color indexed="48"/>
      </font>
      <fill>
        <patternFill patternType="none">
          <bgColor indexed="65"/>
        </patternFill>
      </fill>
    </dxf>
    <dxf>
      <font>
        <condense val="0"/>
        <extend val="0"/>
        <color indexed="22"/>
      </font>
      <fill>
        <patternFill patternType="solid">
          <bgColor indexed="22"/>
        </patternFill>
      </fill>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condense val="0"/>
        <extend val="0"/>
        <color indexed="22"/>
      </font>
      <fill>
        <patternFill>
          <bgColor indexed="22"/>
        </patternFill>
      </fill>
    </dxf>
    <dxf>
      <font>
        <condense val="0"/>
        <extend val="0"/>
        <color indexed="48"/>
      </font>
      <fill>
        <patternFill patternType="none">
          <bgColor indexed="65"/>
        </patternFill>
      </fill>
    </dxf>
    <dxf>
      <font>
        <condense val="0"/>
        <extend val="0"/>
        <color indexed="22"/>
      </font>
      <fill>
        <patternFill patternType="solid">
          <bgColor indexed="22"/>
        </patternFill>
      </fill>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condense val="0"/>
        <extend val="0"/>
        <color indexed="22"/>
      </font>
      <fill>
        <patternFill>
          <bgColor indexed="22"/>
        </patternFill>
      </fill>
    </dxf>
    <dxf>
      <font>
        <condense val="0"/>
        <extend val="0"/>
        <color indexed="48"/>
      </font>
      <fill>
        <patternFill patternType="none">
          <bgColor indexed="65"/>
        </patternFill>
      </fill>
    </dxf>
    <dxf>
      <font>
        <condense val="0"/>
        <extend val="0"/>
        <color indexed="22"/>
      </font>
      <fill>
        <patternFill patternType="solid">
          <bgColor indexed="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07" Type="http://schemas.openxmlformats.org/officeDocument/2006/relationships/customXml" Target="../customXml/item2.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sharedStrings" Target="sharedStrings.xml"/><Relationship Id="rId108" Type="http://schemas.openxmlformats.org/officeDocument/2006/relationships/customXml" Target="../customXml/item3.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customXml" Target="../customXml/item4.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sheetMetadata" Target="metadata.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s>
</file>

<file path=xl/drawings/drawing1.xml><?xml version="1.0" encoding="utf-8"?>
<xdr:wsDr xmlns:xdr="http://schemas.openxmlformats.org/drawingml/2006/spreadsheetDrawing" xmlns:a="http://schemas.openxmlformats.org/drawingml/2006/main">
  <xdr:twoCellAnchor>
    <xdr:from>
      <xdr:col>5</xdr:col>
      <xdr:colOff>80736</xdr:colOff>
      <xdr:row>20</xdr:row>
      <xdr:rowOff>26307</xdr:rowOff>
    </xdr:from>
    <xdr:to>
      <xdr:col>11</xdr:col>
      <xdr:colOff>1404</xdr:colOff>
      <xdr:row>29</xdr:row>
      <xdr:rowOff>96598</xdr:rowOff>
    </xdr:to>
    <xdr:sp macro="" textlink="">
      <xdr:nvSpPr>
        <xdr:cNvPr id="2" name="Rectangle 1">
          <a:extLst>
            <a:ext uri="{FF2B5EF4-FFF2-40B4-BE49-F238E27FC236}">
              <a16:creationId xmlns:a16="http://schemas.microsoft.com/office/drawing/2014/main" id="{AEA7F97A-2103-4594-A1DD-FB4E235CB391}"/>
            </a:ext>
          </a:extLst>
        </xdr:cNvPr>
        <xdr:cNvSpPr/>
      </xdr:nvSpPr>
      <xdr:spPr bwMode="auto">
        <a:xfrm>
          <a:off x="3700236" y="3963307"/>
          <a:ext cx="4264068" cy="1841941"/>
        </a:xfrm>
        <a:prstGeom prst="rect">
          <a:avLst/>
        </a:prstGeom>
        <a:solidFill>
          <a:schemeClr val="accent5">
            <a:lumMod val="40000"/>
            <a:lumOff val="60000"/>
            <a:alpha val="53000"/>
          </a:schemeClr>
        </a:solidFill>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endParaRPr lang="en-US"/>
        </a:p>
      </xdr:txBody>
    </xdr:sp>
    <xdr:clientData/>
  </xdr:twoCellAnchor>
  <xdr:twoCellAnchor>
    <xdr:from>
      <xdr:col>13</xdr:col>
      <xdr:colOff>68489</xdr:colOff>
      <xdr:row>39</xdr:row>
      <xdr:rowOff>7802</xdr:rowOff>
    </xdr:from>
    <xdr:to>
      <xdr:col>21</xdr:col>
      <xdr:colOff>4533</xdr:colOff>
      <xdr:row>50</xdr:row>
      <xdr:rowOff>63960</xdr:rowOff>
    </xdr:to>
    <xdr:sp macro="" textlink="">
      <xdr:nvSpPr>
        <xdr:cNvPr id="3" name="Rectangle 2">
          <a:extLst>
            <a:ext uri="{FF2B5EF4-FFF2-40B4-BE49-F238E27FC236}">
              <a16:creationId xmlns:a16="http://schemas.microsoft.com/office/drawing/2014/main" id="{0DA6135A-9533-49E3-ABE8-042237E6BDC8}"/>
            </a:ext>
          </a:extLst>
        </xdr:cNvPr>
        <xdr:cNvSpPr/>
      </xdr:nvSpPr>
      <xdr:spPr bwMode="auto">
        <a:xfrm>
          <a:off x="9479189" y="7684952"/>
          <a:ext cx="5727244" cy="2221508"/>
        </a:xfrm>
        <a:prstGeom prst="rect">
          <a:avLst/>
        </a:prstGeom>
        <a:solidFill>
          <a:schemeClr val="accent5">
            <a:lumMod val="40000"/>
            <a:lumOff val="60000"/>
            <a:alpha val="53000"/>
          </a:schemeClr>
        </a:solidFill>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endParaRPr 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80736</xdr:colOff>
      <xdr:row>20</xdr:row>
      <xdr:rowOff>26307</xdr:rowOff>
    </xdr:from>
    <xdr:to>
      <xdr:col>11</xdr:col>
      <xdr:colOff>1404</xdr:colOff>
      <xdr:row>29</xdr:row>
      <xdr:rowOff>96598</xdr:rowOff>
    </xdr:to>
    <xdr:sp macro="" textlink="">
      <xdr:nvSpPr>
        <xdr:cNvPr id="2" name="Rectangle 1">
          <a:extLst>
            <a:ext uri="{FF2B5EF4-FFF2-40B4-BE49-F238E27FC236}">
              <a16:creationId xmlns:a16="http://schemas.microsoft.com/office/drawing/2014/main" id="{27CDEEE8-20BD-4A52-B6E5-18BABA0EA582}"/>
            </a:ext>
          </a:extLst>
        </xdr:cNvPr>
        <xdr:cNvSpPr/>
      </xdr:nvSpPr>
      <xdr:spPr bwMode="auto">
        <a:xfrm>
          <a:off x="3039836" y="3607707"/>
          <a:ext cx="3209968" cy="1632391"/>
        </a:xfrm>
        <a:prstGeom prst="rect">
          <a:avLst/>
        </a:prstGeom>
        <a:solidFill>
          <a:schemeClr val="accent5">
            <a:lumMod val="40000"/>
            <a:lumOff val="60000"/>
            <a:alpha val="53000"/>
          </a:schemeClr>
        </a:solidFill>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endParaRPr lang="en-US"/>
        </a:p>
      </xdr:txBody>
    </xdr:sp>
    <xdr:clientData/>
  </xdr:twoCellAnchor>
  <xdr:twoCellAnchor>
    <xdr:from>
      <xdr:col>13</xdr:col>
      <xdr:colOff>68489</xdr:colOff>
      <xdr:row>39</xdr:row>
      <xdr:rowOff>7802</xdr:rowOff>
    </xdr:from>
    <xdr:to>
      <xdr:col>21</xdr:col>
      <xdr:colOff>4533</xdr:colOff>
      <xdr:row>50</xdr:row>
      <xdr:rowOff>63960</xdr:rowOff>
    </xdr:to>
    <xdr:sp macro="" textlink="">
      <xdr:nvSpPr>
        <xdr:cNvPr id="3" name="Rectangle 2">
          <a:extLst>
            <a:ext uri="{FF2B5EF4-FFF2-40B4-BE49-F238E27FC236}">
              <a16:creationId xmlns:a16="http://schemas.microsoft.com/office/drawing/2014/main" id="{17F22858-E323-491A-820D-8F86FAB1B5F4}"/>
            </a:ext>
          </a:extLst>
        </xdr:cNvPr>
        <xdr:cNvSpPr/>
      </xdr:nvSpPr>
      <xdr:spPr bwMode="auto">
        <a:xfrm>
          <a:off x="7440839" y="6929302"/>
          <a:ext cx="4177844" cy="2011958"/>
        </a:xfrm>
        <a:prstGeom prst="rect">
          <a:avLst/>
        </a:prstGeom>
        <a:solidFill>
          <a:schemeClr val="accent5">
            <a:lumMod val="40000"/>
            <a:lumOff val="60000"/>
            <a:alpha val="53000"/>
          </a:schemeClr>
        </a:solidFill>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80736</xdr:colOff>
      <xdr:row>20</xdr:row>
      <xdr:rowOff>26307</xdr:rowOff>
    </xdr:from>
    <xdr:to>
      <xdr:col>11</xdr:col>
      <xdr:colOff>1404</xdr:colOff>
      <xdr:row>29</xdr:row>
      <xdr:rowOff>96598</xdr:rowOff>
    </xdr:to>
    <xdr:sp macro="" textlink="">
      <xdr:nvSpPr>
        <xdr:cNvPr id="2" name="Rectangle 1">
          <a:extLst>
            <a:ext uri="{FF2B5EF4-FFF2-40B4-BE49-F238E27FC236}">
              <a16:creationId xmlns:a16="http://schemas.microsoft.com/office/drawing/2014/main" id="{F53EAB3B-B4C4-4EE1-99E5-6582D7D6D7C9}"/>
            </a:ext>
          </a:extLst>
        </xdr:cNvPr>
        <xdr:cNvSpPr/>
      </xdr:nvSpPr>
      <xdr:spPr bwMode="auto">
        <a:xfrm>
          <a:off x="3039836" y="3607707"/>
          <a:ext cx="3209968" cy="1632391"/>
        </a:xfrm>
        <a:prstGeom prst="rect">
          <a:avLst/>
        </a:prstGeom>
        <a:solidFill>
          <a:schemeClr val="accent5">
            <a:lumMod val="40000"/>
            <a:lumOff val="60000"/>
            <a:alpha val="53000"/>
          </a:schemeClr>
        </a:solidFill>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endParaRPr lang="en-US"/>
        </a:p>
      </xdr:txBody>
    </xdr:sp>
    <xdr:clientData/>
  </xdr:twoCellAnchor>
  <xdr:twoCellAnchor>
    <xdr:from>
      <xdr:col>13</xdr:col>
      <xdr:colOff>68489</xdr:colOff>
      <xdr:row>39</xdr:row>
      <xdr:rowOff>7802</xdr:rowOff>
    </xdr:from>
    <xdr:to>
      <xdr:col>21</xdr:col>
      <xdr:colOff>4533</xdr:colOff>
      <xdr:row>50</xdr:row>
      <xdr:rowOff>63960</xdr:rowOff>
    </xdr:to>
    <xdr:sp macro="" textlink="">
      <xdr:nvSpPr>
        <xdr:cNvPr id="3" name="Rectangle 2">
          <a:extLst>
            <a:ext uri="{FF2B5EF4-FFF2-40B4-BE49-F238E27FC236}">
              <a16:creationId xmlns:a16="http://schemas.microsoft.com/office/drawing/2014/main" id="{D6CC90BE-DD07-4DE2-8AF0-F29BA7247A98}"/>
            </a:ext>
          </a:extLst>
        </xdr:cNvPr>
        <xdr:cNvSpPr/>
      </xdr:nvSpPr>
      <xdr:spPr bwMode="auto">
        <a:xfrm>
          <a:off x="7440839" y="6929302"/>
          <a:ext cx="4177844" cy="2011958"/>
        </a:xfrm>
        <a:prstGeom prst="rect">
          <a:avLst/>
        </a:prstGeom>
        <a:solidFill>
          <a:schemeClr val="accent5">
            <a:lumMod val="40000"/>
            <a:lumOff val="60000"/>
            <a:alpha val="53000"/>
          </a:schemeClr>
        </a:solidFill>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80736</xdr:colOff>
      <xdr:row>20</xdr:row>
      <xdr:rowOff>26307</xdr:rowOff>
    </xdr:from>
    <xdr:to>
      <xdr:col>11</xdr:col>
      <xdr:colOff>1404</xdr:colOff>
      <xdr:row>29</xdr:row>
      <xdr:rowOff>96598</xdr:rowOff>
    </xdr:to>
    <xdr:sp macro="" textlink="">
      <xdr:nvSpPr>
        <xdr:cNvPr id="2" name="Rectangle 1">
          <a:extLst>
            <a:ext uri="{FF2B5EF4-FFF2-40B4-BE49-F238E27FC236}">
              <a16:creationId xmlns:a16="http://schemas.microsoft.com/office/drawing/2014/main" id="{BA2F7527-4A26-43C2-A749-EE8A3E2BF2D9}"/>
            </a:ext>
          </a:extLst>
        </xdr:cNvPr>
        <xdr:cNvSpPr/>
      </xdr:nvSpPr>
      <xdr:spPr bwMode="auto">
        <a:xfrm>
          <a:off x="3039836" y="3607707"/>
          <a:ext cx="3209968" cy="1632391"/>
        </a:xfrm>
        <a:prstGeom prst="rect">
          <a:avLst/>
        </a:prstGeom>
        <a:solidFill>
          <a:schemeClr val="accent5">
            <a:lumMod val="40000"/>
            <a:lumOff val="60000"/>
            <a:alpha val="53000"/>
          </a:schemeClr>
        </a:solidFill>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endParaRPr lang="en-US"/>
        </a:p>
      </xdr:txBody>
    </xdr:sp>
    <xdr:clientData/>
  </xdr:twoCellAnchor>
  <xdr:twoCellAnchor>
    <xdr:from>
      <xdr:col>13</xdr:col>
      <xdr:colOff>68489</xdr:colOff>
      <xdr:row>39</xdr:row>
      <xdr:rowOff>7802</xdr:rowOff>
    </xdr:from>
    <xdr:to>
      <xdr:col>21</xdr:col>
      <xdr:colOff>4533</xdr:colOff>
      <xdr:row>50</xdr:row>
      <xdr:rowOff>63960</xdr:rowOff>
    </xdr:to>
    <xdr:sp macro="" textlink="">
      <xdr:nvSpPr>
        <xdr:cNvPr id="3" name="Rectangle 2">
          <a:extLst>
            <a:ext uri="{FF2B5EF4-FFF2-40B4-BE49-F238E27FC236}">
              <a16:creationId xmlns:a16="http://schemas.microsoft.com/office/drawing/2014/main" id="{6FD1F284-B709-4AB9-9861-6C6188FF1CA7}"/>
            </a:ext>
          </a:extLst>
        </xdr:cNvPr>
        <xdr:cNvSpPr/>
      </xdr:nvSpPr>
      <xdr:spPr bwMode="auto">
        <a:xfrm>
          <a:off x="7440839" y="6929302"/>
          <a:ext cx="4177844" cy="2011958"/>
        </a:xfrm>
        <a:prstGeom prst="rect">
          <a:avLst/>
        </a:prstGeom>
        <a:solidFill>
          <a:schemeClr val="accent5">
            <a:lumMod val="40000"/>
            <a:lumOff val="60000"/>
            <a:alpha val="53000"/>
          </a:schemeClr>
        </a:solidFill>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endParaRPr 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80736</xdr:colOff>
      <xdr:row>20</xdr:row>
      <xdr:rowOff>26307</xdr:rowOff>
    </xdr:from>
    <xdr:to>
      <xdr:col>11</xdr:col>
      <xdr:colOff>1404</xdr:colOff>
      <xdr:row>29</xdr:row>
      <xdr:rowOff>96598</xdr:rowOff>
    </xdr:to>
    <xdr:sp macro="" textlink="">
      <xdr:nvSpPr>
        <xdr:cNvPr id="2" name="Rectangle 1">
          <a:extLst>
            <a:ext uri="{FF2B5EF4-FFF2-40B4-BE49-F238E27FC236}">
              <a16:creationId xmlns:a16="http://schemas.microsoft.com/office/drawing/2014/main" id="{84D9F7F2-38C0-4270-8F8A-D7872FAE8A09}"/>
            </a:ext>
          </a:extLst>
        </xdr:cNvPr>
        <xdr:cNvSpPr/>
      </xdr:nvSpPr>
      <xdr:spPr bwMode="auto">
        <a:xfrm>
          <a:off x="3039836" y="3607707"/>
          <a:ext cx="3209968" cy="1632391"/>
        </a:xfrm>
        <a:prstGeom prst="rect">
          <a:avLst/>
        </a:prstGeom>
        <a:solidFill>
          <a:schemeClr val="accent5">
            <a:lumMod val="40000"/>
            <a:lumOff val="60000"/>
            <a:alpha val="53000"/>
          </a:schemeClr>
        </a:solidFill>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endParaRPr lang="en-US"/>
        </a:p>
      </xdr:txBody>
    </xdr:sp>
    <xdr:clientData/>
  </xdr:twoCellAnchor>
  <xdr:twoCellAnchor>
    <xdr:from>
      <xdr:col>13</xdr:col>
      <xdr:colOff>68489</xdr:colOff>
      <xdr:row>39</xdr:row>
      <xdr:rowOff>7802</xdr:rowOff>
    </xdr:from>
    <xdr:to>
      <xdr:col>21</xdr:col>
      <xdr:colOff>4533</xdr:colOff>
      <xdr:row>50</xdr:row>
      <xdr:rowOff>63960</xdr:rowOff>
    </xdr:to>
    <xdr:sp macro="" textlink="">
      <xdr:nvSpPr>
        <xdr:cNvPr id="3" name="Rectangle 2">
          <a:extLst>
            <a:ext uri="{FF2B5EF4-FFF2-40B4-BE49-F238E27FC236}">
              <a16:creationId xmlns:a16="http://schemas.microsoft.com/office/drawing/2014/main" id="{4D95320D-78E0-4665-BF35-0E4087399418}"/>
            </a:ext>
          </a:extLst>
        </xdr:cNvPr>
        <xdr:cNvSpPr/>
      </xdr:nvSpPr>
      <xdr:spPr bwMode="auto">
        <a:xfrm>
          <a:off x="7440839" y="6929302"/>
          <a:ext cx="4177844" cy="2011958"/>
        </a:xfrm>
        <a:prstGeom prst="rect">
          <a:avLst/>
        </a:prstGeom>
        <a:solidFill>
          <a:schemeClr val="accent5">
            <a:lumMod val="40000"/>
            <a:lumOff val="60000"/>
            <a:alpha val="53000"/>
          </a:schemeClr>
        </a:solidFill>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endParaRPr 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80736</xdr:colOff>
      <xdr:row>20</xdr:row>
      <xdr:rowOff>26307</xdr:rowOff>
    </xdr:from>
    <xdr:to>
      <xdr:col>11</xdr:col>
      <xdr:colOff>1404</xdr:colOff>
      <xdr:row>29</xdr:row>
      <xdr:rowOff>96598</xdr:rowOff>
    </xdr:to>
    <xdr:sp macro="" textlink="">
      <xdr:nvSpPr>
        <xdr:cNvPr id="2" name="Rectangle 1">
          <a:extLst>
            <a:ext uri="{FF2B5EF4-FFF2-40B4-BE49-F238E27FC236}">
              <a16:creationId xmlns:a16="http://schemas.microsoft.com/office/drawing/2014/main" id="{58D323DF-CAE9-435F-A514-7CB4C18DE94F}"/>
            </a:ext>
          </a:extLst>
        </xdr:cNvPr>
        <xdr:cNvSpPr/>
      </xdr:nvSpPr>
      <xdr:spPr bwMode="auto">
        <a:xfrm>
          <a:off x="3039836" y="3607707"/>
          <a:ext cx="3209968" cy="1632391"/>
        </a:xfrm>
        <a:prstGeom prst="rect">
          <a:avLst/>
        </a:prstGeom>
        <a:solidFill>
          <a:schemeClr val="accent5">
            <a:lumMod val="40000"/>
            <a:lumOff val="60000"/>
            <a:alpha val="53000"/>
          </a:schemeClr>
        </a:solidFill>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endParaRPr lang="en-US"/>
        </a:p>
      </xdr:txBody>
    </xdr:sp>
    <xdr:clientData/>
  </xdr:twoCellAnchor>
  <xdr:twoCellAnchor>
    <xdr:from>
      <xdr:col>13</xdr:col>
      <xdr:colOff>68489</xdr:colOff>
      <xdr:row>39</xdr:row>
      <xdr:rowOff>7802</xdr:rowOff>
    </xdr:from>
    <xdr:to>
      <xdr:col>21</xdr:col>
      <xdr:colOff>4533</xdr:colOff>
      <xdr:row>50</xdr:row>
      <xdr:rowOff>63960</xdr:rowOff>
    </xdr:to>
    <xdr:sp macro="" textlink="">
      <xdr:nvSpPr>
        <xdr:cNvPr id="3" name="Rectangle 2">
          <a:extLst>
            <a:ext uri="{FF2B5EF4-FFF2-40B4-BE49-F238E27FC236}">
              <a16:creationId xmlns:a16="http://schemas.microsoft.com/office/drawing/2014/main" id="{DB5F1E9C-ECC4-4057-AAA3-5AECC9B4EDC4}"/>
            </a:ext>
          </a:extLst>
        </xdr:cNvPr>
        <xdr:cNvSpPr/>
      </xdr:nvSpPr>
      <xdr:spPr bwMode="auto">
        <a:xfrm>
          <a:off x="7440839" y="6929302"/>
          <a:ext cx="4177844" cy="2011958"/>
        </a:xfrm>
        <a:prstGeom prst="rect">
          <a:avLst/>
        </a:prstGeom>
        <a:solidFill>
          <a:schemeClr val="accent5">
            <a:lumMod val="40000"/>
            <a:lumOff val="60000"/>
            <a:alpha val="53000"/>
          </a:schemeClr>
        </a:solidFill>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endParaRPr 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80736</xdr:colOff>
      <xdr:row>20</xdr:row>
      <xdr:rowOff>26307</xdr:rowOff>
    </xdr:from>
    <xdr:to>
      <xdr:col>11</xdr:col>
      <xdr:colOff>1404</xdr:colOff>
      <xdr:row>29</xdr:row>
      <xdr:rowOff>96598</xdr:rowOff>
    </xdr:to>
    <xdr:sp macro="" textlink="">
      <xdr:nvSpPr>
        <xdr:cNvPr id="2" name="Rectangle 1">
          <a:extLst>
            <a:ext uri="{FF2B5EF4-FFF2-40B4-BE49-F238E27FC236}">
              <a16:creationId xmlns:a16="http://schemas.microsoft.com/office/drawing/2014/main" id="{1020D4DF-B3A2-466C-A880-4DE6458697B4}"/>
            </a:ext>
          </a:extLst>
        </xdr:cNvPr>
        <xdr:cNvSpPr/>
      </xdr:nvSpPr>
      <xdr:spPr bwMode="auto">
        <a:xfrm>
          <a:off x="3039836" y="3607707"/>
          <a:ext cx="3209968" cy="1632391"/>
        </a:xfrm>
        <a:prstGeom prst="rect">
          <a:avLst/>
        </a:prstGeom>
        <a:solidFill>
          <a:schemeClr val="accent5">
            <a:lumMod val="40000"/>
            <a:lumOff val="60000"/>
            <a:alpha val="53000"/>
          </a:schemeClr>
        </a:solidFill>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endParaRPr lang="en-US"/>
        </a:p>
      </xdr:txBody>
    </xdr:sp>
    <xdr:clientData/>
  </xdr:twoCellAnchor>
  <xdr:twoCellAnchor>
    <xdr:from>
      <xdr:col>13</xdr:col>
      <xdr:colOff>68489</xdr:colOff>
      <xdr:row>39</xdr:row>
      <xdr:rowOff>7802</xdr:rowOff>
    </xdr:from>
    <xdr:to>
      <xdr:col>21</xdr:col>
      <xdr:colOff>4533</xdr:colOff>
      <xdr:row>50</xdr:row>
      <xdr:rowOff>63960</xdr:rowOff>
    </xdr:to>
    <xdr:sp macro="" textlink="">
      <xdr:nvSpPr>
        <xdr:cNvPr id="3" name="Rectangle 2">
          <a:extLst>
            <a:ext uri="{FF2B5EF4-FFF2-40B4-BE49-F238E27FC236}">
              <a16:creationId xmlns:a16="http://schemas.microsoft.com/office/drawing/2014/main" id="{0994B964-B765-4FE5-9930-C9F6E7604FE9}"/>
            </a:ext>
          </a:extLst>
        </xdr:cNvPr>
        <xdr:cNvSpPr/>
      </xdr:nvSpPr>
      <xdr:spPr bwMode="auto">
        <a:xfrm>
          <a:off x="7440839" y="6929302"/>
          <a:ext cx="4177844" cy="2011958"/>
        </a:xfrm>
        <a:prstGeom prst="rect">
          <a:avLst/>
        </a:prstGeom>
        <a:solidFill>
          <a:schemeClr val="accent5">
            <a:lumMod val="40000"/>
            <a:lumOff val="60000"/>
            <a:alpha val="53000"/>
          </a:schemeClr>
        </a:solidFill>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endParaRPr lang="en-US"/>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80736</xdr:colOff>
      <xdr:row>20</xdr:row>
      <xdr:rowOff>26307</xdr:rowOff>
    </xdr:from>
    <xdr:to>
      <xdr:col>11</xdr:col>
      <xdr:colOff>1404</xdr:colOff>
      <xdr:row>29</xdr:row>
      <xdr:rowOff>96598</xdr:rowOff>
    </xdr:to>
    <xdr:sp macro="" textlink="">
      <xdr:nvSpPr>
        <xdr:cNvPr id="2" name="Rectangle 1">
          <a:extLst>
            <a:ext uri="{FF2B5EF4-FFF2-40B4-BE49-F238E27FC236}">
              <a16:creationId xmlns:a16="http://schemas.microsoft.com/office/drawing/2014/main" id="{AE935B6E-DDAA-48CD-A086-958DC11C080E}"/>
            </a:ext>
          </a:extLst>
        </xdr:cNvPr>
        <xdr:cNvSpPr/>
      </xdr:nvSpPr>
      <xdr:spPr bwMode="auto">
        <a:xfrm>
          <a:off x="3039836" y="3607707"/>
          <a:ext cx="3209968" cy="1632391"/>
        </a:xfrm>
        <a:prstGeom prst="rect">
          <a:avLst/>
        </a:prstGeom>
        <a:solidFill>
          <a:schemeClr val="accent5">
            <a:lumMod val="40000"/>
            <a:lumOff val="60000"/>
            <a:alpha val="53000"/>
          </a:schemeClr>
        </a:solidFill>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endParaRPr lang="en-US"/>
        </a:p>
      </xdr:txBody>
    </xdr:sp>
    <xdr:clientData/>
  </xdr:twoCellAnchor>
  <xdr:twoCellAnchor>
    <xdr:from>
      <xdr:col>13</xdr:col>
      <xdr:colOff>68489</xdr:colOff>
      <xdr:row>39</xdr:row>
      <xdr:rowOff>7802</xdr:rowOff>
    </xdr:from>
    <xdr:to>
      <xdr:col>21</xdr:col>
      <xdr:colOff>4533</xdr:colOff>
      <xdr:row>50</xdr:row>
      <xdr:rowOff>63960</xdr:rowOff>
    </xdr:to>
    <xdr:sp macro="" textlink="">
      <xdr:nvSpPr>
        <xdr:cNvPr id="3" name="Rectangle 2">
          <a:extLst>
            <a:ext uri="{FF2B5EF4-FFF2-40B4-BE49-F238E27FC236}">
              <a16:creationId xmlns:a16="http://schemas.microsoft.com/office/drawing/2014/main" id="{577F25A6-FA01-4600-B5DB-D27B8FAA743A}"/>
            </a:ext>
          </a:extLst>
        </xdr:cNvPr>
        <xdr:cNvSpPr/>
      </xdr:nvSpPr>
      <xdr:spPr bwMode="auto">
        <a:xfrm>
          <a:off x="7440839" y="6929302"/>
          <a:ext cx="4177844" cy="2011958"/>
        </a:xfrm>
        <a:prstGeom prst="rect">
          <a:avLst/>
        </a:prstGeom>
        <a:solidFill>
          <a:schemeClr val="accent5">
            <a:lumMod val="40000"/>
            <a:lumOff val="60000"/>
            <a:alpha val="53000"/>
          </a:schemeClr>
        </a:solidFill>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endParaRPr lang="en-US"/>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P652"/>
  <sheetViews>
    <sheetView showGridLines="0" tabSelected="1" topLeftCell="C1" zoomScale="85" zoomScaleNormal="85" workbookViewId="0">
      <pane ySplit="3" topLeftCell="A4" activePane="bottomLeft" state="frozen"/>
      <selection activeCell="E1" sqref="E1"/>
      <selection pane="bottomLeft" activeCell="AC306" sqref="AC306"/>
    </sheetView>
  </sheetViews>
  <sheetFormatPr defaultColWidth="1.44140625" defaultRowHeight="14.4" outlineLevelRow="1" outlineLevelCol="1"/>
  <cols>
    <col min="1" max="1" width="5.5546875" bestFit="1" customWidth="1"/>
    <col min="2" max="2" width="2" bestFit="1" customWidth="1"/>
    <col min="3" max="3" width="8" bestFit="1" customWidth="1"/>
    <col min="4" max="4" width="32.77734375" customWidth="1"/>
    <col min="5" max="5" width="25.44140625" customWidth="1"/>
    <col min="6" max="6" width="15.6640625" customWidth="1"/>
    <col min="7" max="7" width="8.88671875" bestFit="1" customWidth="1"/>
    <col min="8" max="8" width="9.109375" bestFit="1" customWidth="1"/>
    <col min="9" max="9" width="8.88671875" bestFit="1" customWidth="1"/>
    <col min="10" max="10" width="11.88671875" bestFit="1" customWidth="1"/>
    <col min="11" max="11" width="12.33203125" bestFit="1" customWidth="1"/>
    <col min="12" max="12" width="6.21875" hidden="1" customWidth="1" outlineLevel="1"/>
    <col min="13" max="13" width="15.6640625" hidden="1" customWidth="1" outlineLevel="1"/>
    <col min="14" max="14" width="6.21875" hidden="1" customWidth="1" outlineLevel="1"/>
    <col min="15" max="15" width="15.5546875" hidden="1" customWidth="1" outlineLevel="1"/>
    <col min="16" max="16" width="6.33203125" hidden="1" customWidth="1" outlineLevel="1"/>
    <col min="17" max="17" width="15.5546875" hidden="1" customWidth="1" outlineLevel="1"/>
    <col min="18" max="18" width="5.6640625" customWidth="1" collapsed="1"/>
    <col min="19" max="19" width="5.88671875" style="917" hidden="1" customWidth="1"/>
    <col min="20" max="20" width="15.5546875" hidden="1" customWidth="1"/>
    <col min="21" max="21" width="15.109375" style="62" hidden="1" customWidth="1"/>
    <col min="22" max="23" width="5.88671875" style="917" hidden="1" customWidth="1"/>
    <col min="24" max="24" width="6.33203125" hidden="1" customWidth="1" outlineLevel="1"/>
    <col min="25" max="25" width="15.5546875" hidden="1" customWidth="1" outlineLevel="1"/>
    <col min="26" max="27" width="6.33203125" hidden="1" customWidth="1" outlineLevel="1"/>
    <col min="28" max="28" width="10.44140625" style="917" customWidth="1" collapsed="1"/>
    <col min="29" max="29" width="20.109375" bestFit="1" customWidth="1"/>
    <col min="30" max="30" width="15.109375" style="62" bestFit="1" customWidth="1"/>
    <col min="31" max="31" width="17.88671875" style="917" bestFit="1" customWidth="1"/>
    <col min="32" max="32" width="5.88671875" style="917" customWidth="1"/>
    <col min="33" max="33" width="5.88671875" style="917" customWidth="1" outlineLevel="1"/>
    <col min="34" max="34" width="20" customWidth="1" outlineLevel="1"/>
    <col min="35" max="35" width="9.109375" style="62" customWidth="1" outlineLevel="1"/>
    <col min="36" max="38" width="5.88671875" style="917" customWidth="1" outlineLevel="1"/>
    <col min="39" max="39" width="15.5546875" customWidth="1" outlineLevel="1"/>
    <col min="40" max="40" width="9.109375" style="62" customWidth="1" outlineLevel="1"/>
    <col min="41" max="43" width="5.88671875" style="917" customWidth="1" outlineLevel="1"/>
    <col min="44" max="44" width="15.5546875" customWidth="1" outlineLevel="1"/>
    <col min="45" max="45" width="9.109375" style="62" customWidth="1" outlineLevel="1"/>
    <col min="46" max="48" width="5.88671875" style="917" customWidth="1" outlineLevel="1"/>
    <col min="49" max="49" width="15.5546875" customWidth="1" outlineLevel="1"/>
    <col min="50" max="50" width="9.109375" style="62" customWidth="1" outlineLevel="1"/>
    <col min="51" max="53" width="5.88671875" style="917" customWidth="1" outlineLevel="1"/>
    <col min="54" max="54" width="15.5546875" customWidth="1" outlineLevel="1"/>
    <col min="55" max="55" width="9.109375" style="62" customWidth="1" outlineLevel="1"/>
    <col min="56" max="57" width="5.88671875" style="917" customWidth="1" outlineLevel="1"/>
    <col min="58" max="58" width="35.33203125" bestFit="1" customWidth="1"/>
    <col min="59" max="59" width="12" bestFit="1" customWidth="1"/>
    <col min="60" max="60" width="14.33203125" bestFit="1" customWidth="1"/>
    <col min="61" max="61" width="9.21875" customWidth="1"/>
    <col min="62" max="67" width="11.21875" bestFit="1" customWidth="1"/>
    <col min="68" max="68" width="10.33203125" bestFit="1" customWidth="1"/>
  </cols>
  <sheetData>
    <row r="1" spans="1:68" ht="18.600000000000001" thickBot="1">
      <c r="A1" t="s">
        <v>169</v>
      </c>
      <c r="B1" t="s">
        <v>947</v>
      </c>
      <c r="C1" t="s">
        <v>1209</v>
      </c>
      <c r="D1" s="560" t="s">
        <v>875</v>
      </c>
      <c r="E1" s="560"/>
      <c r="F1" s="560"/>
      <c r="G1" s="560"/>
      <c r="H1" s="560"/>
      <c r="I1" s="560"/>
      <c r="J1" s="560"/>
      <c r="K1" s="560"/>
      <c r="L1" s="560"/>
      <c r="M1" s="560"/>
      <c r="N1" s="560"/>
      <c r="O1" s="560"/>
      <c r="P1" s="1174" t="s">
        <v>891</v>
      </c>
      <c r="Q1" s="1174"/>
      <c r="R1" s="560"/>
      <c r="S1" s="561"/>
      <c r="T1" s="255" t="s">
        <v>342</v>
      </c>
      <c r="U1" s="1026"/>
      <c r="V1" s="255"/>
      <c r="W1" s="255"/>
      <c r="X1" s="252"/>
      <c r="Y1" s="255" t="s">
        <v>892</v>
      </c>
      <c r="Z1" s="255"/>
      <c r="AA1" s="255"/>
      <c r="AB1" s="561"/>
      <c r="AC1" s="255" t="s">
        <v>343</v>
      </c>
      <c r="AD1" s="1026"/>
      <c r="AE1" s="255"/>
      <c r="AF1" s="255"/>
      <c r="AG1" s="561"/>
      <c r="AH1" s="255" t="s">
        <v>344</v>
      </c>
      <c r="AI1" s="1026"/>
      <c r="AJ1" s="255"/>
      <c r="AK1" s="255"/>
      <c r="AL1" s="561"/>
      <c r="AM1" s="255" t="s">
        <v>345</v>
      </c>
      <c r="AN1" s="1026"/>
      <c r="AO1" s="255"/>
      <c r="AP1" s="255"/>
      <c r="AQ1" s="561"/>
      <c r="AR1" s="255" t="s">
        <v>346</v>
      </c>
      <c r="AS1" s="1026"/>
      <c r="AT1" s="255"/>
      <c r="AU1" s="255"/>
      <c r="AV1" s="561"/>
      <c r="AW1" s="255" t="s">
        <v>347</v>
      </c>
      <c r="AX1" s="1026"/>
      <c r="AY1" s="255"/>
      <c r="AZ1" s="255"/>
      <c r="BA1" s="561"/>
      <c r="BB1" s="255" t="s">
        <v>348</v>
      </c>
      <c r="BC1" s="1026"/>
      <c r="BD1" s="255"/>
      <c r="BE1" s="255"/>
      <c r="BI1" s="1161" t="s">
        <v>1316</v>
      </c>
      <c r="BJ1" s="1161"/>
      <c r="BK1" s="1161"/>
      <c r="BL1" s="1161"/>
      <c r="BM1" s="1161"/>
      <c r="BN1" s="1161"/>
      <c r="BO1" s="1161"/>
      <c r="BP1" s="1161"/>
    </row>
    <row r="2" spans="1:68" ht="14.55" customHeight="1">
      <c r="D2" s="1170" t="s">
        <v>874</v>
      </c>
      <c r="E2" s="1171"/>
      <c r="F2" s="1171"/>
      <c r="G2" s="1171"/>
      <c r="H2" s="1171"/>
      <c r="I2" s="1171"/>
      <c r="J2" s="1171"/>
      <c r="K2" s="602"/>
      <c r="L2" s="1153" t="s">
        <v>1210</v>
      </c>
      <c r="M2" s="1175"/>
      <c r="N2" s="1153" t="s">
        <v>1289</v>
      </c>
      <c r="O2" s="1175"/>
      <c r="P2" s="1153" t="s">
        <v>1492</v>
      </c>
      <c r="Q2" s="1175"/>
      <c r="R2" s="618"/>
      <c r="S2" s="1153" t="s">
        <v>1290</v>
      </c>
      <c r="T2" s="1154"/>
      <c r="U2" s="1154"/>
      <c r="V2" s="1154"/>
      <c r="W2" s="615"/>
      <c r="X2" s="1153" t="s">
        <v>1291</v>
      </c>
      <c r="Y2" s="1154"/>
      <c r="Z2" s="1154"/>
      <c r="AA2" s="1147"/>
      <c r="AB2" s="1153" t="s">
        <v>1292</v>
      </c>
      <c r="AC2" s="1154"/>
      <c r="AD2" s="1154"/>
      <c r="AE2" s="1154"/>
      <c r="AF2" s="1147"/>
      <c r="AG2" s="1153" t="s">
        <v>876</v>
      </c>
      <c r="AH2" s="1154"/>
      <c r="AI2" s="1154"/>
      <c r="AJ2" s="1154"/>
      <c r="AK2" s="1147"/>
      <c r="AL2" s="1153" t="s">
        <v>877</v>
      </c>
      <c r="AM2" s="1154"/>
      <c r="AN2" s="1154"/>
      <c r="AO2" s="1154"/>
      <c r="AP2" s="1147"/>
      <c r="AQ2" s="1153" t="s">
        <v>878</v>
      </c>
      <c r="AR2" s="1154"/>
      <c r="AS2" s="1154"/>
      <c r="AT2" s="1154"/>
      <c r="AU2" s="1147"/>
      <c r="AV2" s="1153" t="s">
        <v>1211</v>
      </c>
      <c r="AW2" s="1154"/>
      <c r="AX2" s="1154"/>
      <c r="AY2" s="1154"/>
      <c r="AZ2" s="1147"/>
      <c r="BA2" s="1153" t="s">
        <v>1293</v>
      </c>
      <c r="BB2" s="1154"/>
      <c r="BC2" s="1154"/>
      <c r="BD2" s="1154"/>
      <c r="BE2" s="1147"/>
      <c r="BF2" s="1162" t="s">
        <v>452</v>
      </c>
      <c r="BG2" s="1163"/>
      <c r="BH2" s="842"/>
      <c r="BI2" s="1166"/>
      <c r="BJ2" s="1166"/>
      <c r="BK2" s="1166"/>
      <c r="BL2" s="1166"/>
      <c r="BM2" s="1166"/>
      <c r="BN2" s="1166"/>
      <c r="BO2" s="1166"/>
      <c r="BP2" s="1166"/>
    </row>
    <row r="3" spans="1:68" ht="19.05" customHeight="1" thickBot="1">
      <c r="D3" s="1172"/>
      <c r="E3" s="1173"/>
      <c r="F3" s="1173"/>
      <c r="G3" s="1173"/>
      <c r="H3" s="1173"/>
      <c r="I3" s="1173"/>
      <c r="J3" s="1173"/>
      <c r="K3" s="603"/>
      <c r="L3" s="1159"/>
      <c r="M3" s="1177"/>
      <c r="N3" s="1159"/>
      <c r="O3" s="1177"/>
      <c r="P3" s="1159"/>
      <c r="Q3" s="1177"/>
      <c r="R3" s="618"/>
      <c r="S3" s="1159"/>
      <c r="T3" s="1160"/>
      <c r="U3" s="1160"/>
      <c r="V3" s="1160"/>
      <c r="W3" s="616"/>
      <c r="X3" s="1159"/>
      <c r="Y3" s="1160"/>
      <c r="Z3" s="1160"/>
      <c r="AA3" s="1167"/>
      <c r="AB3" s="1159"/>
      <c r="AC3" s="1160"/>
      <c r="AD3" s="1160"/>
      <c r="AE3" s="1160"/>
      <c r="AF3" s="1167"/>
      <c r="AG3" s="1159"/>
      <c r="AH3" s="1160"/>
      <c r="AI3" s="1160"/>
      <c r="AJ3" s="1160"/>
      <c r="AK3" s="1167"/>
      <c r="AL3" s="1155"/>
      <c r="AM3" s="1156"/>
      <c r="AN3" s="1156"/>
      <c r="AO3" s="1156"/>
      <c r="AP3" s="1167"/>
      <c r="AQ3" s="1159"/>
      <c r="AR3" s="1160"/>
      <c r="AS3" s="1160"/>
      <c r="AT3" s="1160"/>
      <c r="AU3" s="1167"/>
      <c r="AV3" s="1159"/>
      <c r="AW3" s="1160"/>
      <c r="AX3" s="1160"/>
      <c r="AY3" s="1160"/>
      <c r="AZ3" s="1167"/>
      <c r="BA3" s="1159"/>
      <c r="BB3" s="1160"/>
      <c r="BC3" s="1160"/>
      <c r="BD3" s="1160"/>
      <c r="BE3" s="1167"/>
      <c r="BF3" s="1164"/>
      <c r="BG3" s="1165"/>
      <c r="BH3" s="842"/>
      <c r="BI3" s="1166"/>
      <c r="BJ3" s="1166"/>
      <c r="BK3" s="1166"/>
      <c r="BL3" s="1166"/>
      <c r="BM3" s="1166"/>
      <c r="BN3" s="1166"/>
      <c r="BO3" s="1166"/>
      <c r="BP3" s="1166"/>
    </row>
    <row r="4" spans="1:68" ht="16.2" thickBot="1">
      <c r="D4" s="635" t="s">
        <v>872</v>
      </c>
      <c r="E4" s="636"/>
      <c r="F4" s="636"/>
      <c r="G4" s="636"/>
      <c r="H4" s="636"/>
      <c r="I4" s="636"/>
      <c r="J4" s="636"/>
      <c r="K4" s="636"/>
      <c r="L4" s="636"/>
      <c r="M4" s="636"/>
      <c r="N4" s="636"/>
      <c r="O4" s="636"/>
      <c r="P4" s="636"/>
      <c r="Q4" s="636"/>
      <c r="R4" s="636"/>
      <c r="S4" s="908"/>
      <c r="T4" s="636"/>
      <c r="U4" s="1027"/>
      <c r="V4" s="908"/>
      <c r="W4" s="908"/>
      <c r="X4" s="636"/>
      <c r="Y4" s="636"/>
      <c r="Z4" s="636"/>
      <c r="AA4" s="636"/>
      <c r="AB4" s="908"/>
      <c r="AC4" s="636"/>
      <c r="AD4" s="1027"/>
      <c r="AE4" s="908"/>
      <c r="AF4" s="908"/>
      <c r="AG4" s="908"/>
      <c r="AH4" s="636"/>
      <c r="AI4" s="1027"/>
      <c r="AJ4" s="908"/>
      <c r="AK4" s="908"/>
      <c r="AL4" s="908"/>
      <c r="AM4" s="636"/>
      <c r="AN4" s="1027"/>
      <c r="AO4" s="908"/>
      <c r="AP4" s="908"/>
      <c r="AQ4" s="908"/>
      <c r="AR4" s="636"/>
      <c r="AS4" s="1027"/>
      <c r="AT4" s="908"/>
      <c r="AU4" s="908"/>
      <c r="AV4" s="908"/>
      <c r="AW4" s="636"/>
      <c r="AX4" s="1027"/>
      <c r="AY4" s="908"/>
      <c r="AZ4" s="908"/>
      <c r="BA4" s="908"/>
      <c r="BB4" s="636"/>
      <c r="BC4" s="1027"/>
      <c r="BD4" s="908"/>
      <c r="BE4" s="1014"/>
      <c r="BF4" s="606"/>
      <c r="BG4" s="607"/>
      <c r="BH4" s="842"/>
      <c r="BI4" s="538"/>
      <c r="BJ4" s="538"/>
      <c r="BK4" s="538"/>
      <c r="BL4" s="538"/>
      <c r="BM4" s="538"/>
      <c r="BN4" s="538"/>
      <c r="BO4" s="538"/>
      <c r="BP4" s="538"/>
    </row>
    <row r="5" spans="1:68" ht="15.6" outlineLevel="1">
      <c r="D5" s="843" t="s">
        <v>1204</v>
      </c>
      <c r="E5" s="843"/>
      <c r="F5" s="843"/>
      <c r="G5" s="843"/>
      <c r="H5" s="843"/>
      <c r="I5" s="843"/>
      <c r="J5" s="843"/>
      <c r="K5" s="843"/>
      <c r="L5" s="843"/>
      <c r="M5" s="843"/>
      <c r="N5" s="843"/>
      <c r="O5" s="843"/>
      <c r="P5" s="843"/>
      <c r="Q5" s="843"/>
      <c r="R5" s="843"/>
      <c r="S5" s="909"/>
      <c r="T5" s="843"/>
      <c r="U5" s="1028"/>
      <c r="V5" s="909"/>
      <c r="W5" s="909"/>
      <c r="X5" s="843"/>
      <c r="Y5" s="843"/>
      <c r="Z5" s="843"/>
      <c r="AA5" s="843"/>
      <c r="AB5" s="909"/>
      <c r="AC5" s="843">
        <f>ROUND(Y5*(1+AC$9),0)</f>
        <v>0</v>
      </c>
      <c r="AD5" s="1028"/>
      <c r="AE5" s="909" t="s">
        <v>1205</v>
      </c>
      <c r="AF5" s="909"/>
      <c r="AG5" s="909"/>
      <c r="AH5" s="843">
        <f>ROUND(AC5*(1+AH$9),0)</f>
        <v>0</v>
      </c>
      <c r="AI5" s="1028"/>
      <c r="AJ5" s="909" t="s">
        <v>1205</v>
      </c>
      <c r="AK5" s="909"/>
      <c r="AL5" s="909"/>
      <c r="AM5" s="843">
        <f>ROUND(AH5*(1+AM$9),0)</f>
        <v>0</v>
      </c>
      <c r="AN5" s="1028"/>
      <c r="AO5" s="909" t="s">
        <v>1205</v>
      </c>
      <c r="AP5" s="909"/>
      <c r="AQ5" s="909"/>
      <c r="AR5" s="843">
        <f>ROUND(AM5*(1+AR$9),0)</f>
        <v>0</v>
      </c>
      <c r="AS5" s="1028"/>
      <c r="AT5" s="909" t="s">
        <v>1205</v>
      </c>
      <c r="AU5" s="909"/>
      <c r="AV5" s="909"/>
      <c r="AW5" s="843">
        <f>ROUND(AR5*(1+AW$9),0)</f>
        <v>0</v>
      </c>
      <c r="AX5" s="1028"/>
      <c r="AY5" s="909" t="s">
        <v>1205</v>
      </c>
      <c r="AZ5" s="909"/>
      <c r="BA5" s="909"/>
      <c r="BB5" s="843">
        <f>ROUND(AW5*(1+BB$9),0)</f>
        <v>0</v>
      </c>
      <c r="BC5" s="1028"/>
      <c r="BD5" s="909" t="s">
        <v>1205</v>
      </c>
      <c r="BE5" s="909"/>
      <c r="BF5" s="842"/>
      <c r="BG5" s="841"/>
      <c r="BH5" s="842"/>
      <c r="BI5" s="538"/>
      <c r="BJ5" s="538"/>
      <c r="BK5" s="538"/>
      <c r="BL5" s="538"/>
      <c r="BM5" s="538"/>
      <c r="BN5" s="538"/>
      <c r="BO5" s="538"/>
      <c r="BP5" s="538"/>
    </row>
    <row r="6" spans="1:68" ht="15.6" outlineLevel="1">
      <c r="D6" s="844" t="s">
        <v>1208</v>
      </c>
      <c r="E6" s="844"/>
      <c r="F6" s="844"/>
      <c r="G6" s="844"/>
      <c r="H6" s="844"/>
      <c r="I6" s="844"/>
      <c r="J6" s="844"/>
      <c r="K6" s="844"/>
      <c r="L6" s="844"/>
      <c r="M6" s="844"/>
      <c r="N6" s="844"/>
      <c r="O6" s="844"/>
      <c r="P6" s="844"/>
      <c r="Q6" s="844"/>
      <c r="R6" s="844"/>
      <c r="S6" s="910"/>
      <c r="T6" s="844"/>
      <c r="U6" s="1029"/>
      <c r="V6" s="910"/>
      <c r="W6" s="910"/>
      <c r="X6" s="844"/>
      <c r="Y6" s="844"/>
      <c r="Z6" s="844"/>
      <c r="AA6" s="844"/>
      <c r="AB6" s="910"/>
      <c r="AC6" s="844">
        <f>ROUND(Y6*(AC$78),0)</f>
        <v>0</v>
      </c>
      <c r="AD6" s="1029"/>
      <c r="AE6" s="910" t="s">
        <v>1206</v>
      </c>
      <c r="AF6" s="910"/>
      <c r="AG6" s="910"/>
      <c r="AH6" s="844">
        <f>ROUND(AC6*(AH$78),0)</f>
        <v>0</v>
      </c>
      <c r="AI6" s="1029"/>
      <c r="AJ6" s="910" t="s">
        <v>1206</v>
      </c>
      <c r="AK6" s="910"/>
      <c r="AL6" s="910"/>
      <c r="AM6" s="844">
        <f>ROUND(AH6*(AM$78),0)</f>
        <v>0</v>
      </c>
      <c r="AN6" s="1029"/>
      <c r="AO6" s="910" t="s">
        <v>1206</v>
      </c>
      <c r="AP6" s="910"/>
      <c r="AQ6" s="910"/>
      <c r="AR6" s="844">
        <f>ROUND(AM6*(AR$78),0)</f>
        <v>0</v>
      </c>
      <c r="AS6" s="1029"/>
      <c r="AT6" s="910" t="s">
        <v>1206</v>
      </c>
      <c r="AU6" s="910"/>
      <c r="AV6" s="910"/>
      <c r="AW6" s="844">
        <f>ROUND(AR6*(AW$78),0)</f>
        <v>0</v>
      </c>
      <c r="AX6" s="1029"/>
      <c r="AY6" s="910" t="s">
        <v>1206</v>
      </c>
      <c r="AZ6" s="910"/>
      <c r="BA6" s="910"/>
      <c r="BB6" s="844">
        <f>ROUND(AW6*(BB$78),0)</f>
        <v>0</v>
      </c>
      <c r="BC6" s="1029"/>
      <c r="BD6" s="910" t="s">
        <v>1206</v>
      </c>
      <c r="BE6" s="910"/>
      <c r="BF6" s="842"/>
      <c r="BG6" s="841"/>
      <c r="BH6" s="842"/>
      <c r="BI6" s="538"/>
      <c r="BJ6" s="538"/>
      <c r="BK6" s="538"/>
      <c r="BL6" s="538"/>
      <c r="BM6" s="538"/>
      <c r="BN6" s="538"/>
      <c r="BO6" s="538"/>
      <c r="BP6" s="538"/>
    </row>
    <row r="7" spans="1:68" ht="16.2" outlineLevel="1" thickBot="1">
      <c r="D7" s="845" t="s">
        <v>1207</v>
      </c>
      <c r="E7" s="845"/>
      <c r="F7" s="845"/>
      <c r="G7" s="845"/>
      <c r="H7" s="845"/>
      <c r="I7" s="845"/>
      <c r="J7" s="845"/>
      <c r="K7" s="845"/>
      <c r="L7" s="845"/>
      <c r="M7" s="845"/>
      <c r="N7" s="845"/>
      <c r="O7" s="845"/>
      <c r="P7" s="845"/>
      <c r="Q7" s="845"/>
      <c r="R7" s="845"/>
      <c r="S7" s="911"/>
      <c r="T7" s="845"/>
      <c r="U7" s="1030"/>
      <c r="V7" s="911"/>
      <c r="W7" s="911"/>
      <c r="X7" s="845"/>
      <c r="Y7" s="845"/>
      <c r="Z7" s="845"/>
      <c r="AA7" s="845"/>
      <c r="AB7" s="911"/>
      <c r="AC7" s="845">
        <f>ROUND(Y7*(AC$78)*(1+AC$6),0)</f>
        <v>0</v>
      </c>
      <c r="AD7" s="1030"/>
      <c r="AE7" s="911" t="s">
        <v>1317</v>
      </c>
      <c r="AF7" s="911"/>
      <c r="AG7" s="911"/>
      <c r="AH7" s="845">
        <f>ROUND(AC7*(AH$78)*(1+AH$6),0)</f>
        <v>0</v>
      </c>
      <c r="AI7" s="1030"/>
      <c r="AJ7" s="911" t="s">
        <v>1317</v>
      </c>
      <c r="AK7" s="911"/>
      <c r="AL7" s="911"/>
      <c r="AM7" s="845">
        <f>ROUND(AH7*(AM$78)*(1+AM$6),0)</f>
        <v>0</v>
      </c>
      <c r="AN7" s="1030"/>
      <c r="AO7" s="911" t="s">
        <v>1317</v>
      </c>
      <c r="AP7" s="911"/>
      <c r="AQ7" s="911"/>
      <c r="AR7" s="845">
        <f>ROUND(AM7*(AR$78)*(1+AR$6),0)</f>
        <v>0</v>
      </c>
      <c r="AS7" s="1030"/>
      <c r="AT7" s="911" t="s">
        <v>1317</v>
      </c>
      <c r="AU7" s="911"/>
      <c r="AV7" s="911"/>
      <c r="AW7" s="845">
        <f>ROUND(AR7*(AW$78)*(1+AW$6),0)</f>
        <v>0</v>
      </c>
      <c r="AX7" s="1030"/>
      <c r="AY7" s="911" t="s">
        <v>1317</v>
      </c>
      <c r="AZ7" s="911"/>
      <c r="BA7" s="911"/>
      <c r="BB7" s="845">
        <f>ROUND(AW7*(BB$78)*(1+BB$6),0)</f>
        <v>0</v>
      </c>
      <c r="BC7" s="1030"/>
      <c r="BD7" s="911" t="s">
        <v>1317</v>
      </c>
      <c r="BE7" s="911"/>
      <c r="BF7" s="842"/>
      <c r="BG7" s="841"/>
      <c r="BH7" s="842"/>
      <c r="BI7" s="538"/>
      <c r="BJ7" s="538"/>
      <c r="BK7" s="538"/>
      <c r="BL7" s="538"/>
      <c r="BM7" s="538"/>
      <c r="BN7" s="538"/>
      <c r="BO7" s="538"/>
      <c r="BP7" s="538"/>
    </row>
    <row r="8" spans="1:68" outlineLevel="1">
      <c r="D8" s="590" t="s">
        <v>873</v>
      </c>
      <c r="E8" s="591"/>
      <c r="S8" s="591"/>
      <c r="T8" s="580">
        <v>0.95</v>
      </c>
      <c r="U8" s="950"/>
      <c r="V8" s="950"/>
      <c r="W8" s="950"/>
      <c r="X8" s="593"/>
      <c r="Y8" s="580">
        <v>0.95</v>
      </c>
      <c r="Z8" s="592"/>
      <c r="AA8" s="592"/>
      <c r="AB8" s="593"/>
      <c r="AC8" s="580">
        <v>0.94</v>
      </c>
      <c r="AD8" s="950"/>
      <c r="AE8" s="950"/>
      <c r="AF8" s="950"/>
      <c r="AG8" s="593"/>
      <c r="AH8" s="580">
        <v>0.95</v>
      </c>
      <c r="AI8" s="950"/>
      <c r="AJ8" s="950"/>
      <c r="AK8" s="950"/>
      <c r="AL8" s="593"/>
      <c r="AM8" s="580">
        <v>0.95</v>
      </c>
      <c r="AN8" s="950"/>
      <c r="AO8" s="950"/>
      <c r="AP8" s="950"/>
      <c r="AQ8" s="593"/>
      <c r="AR8" s="580">
        <v>0.95</v>
      </c>
      <c r="AS8" s="950"/>
      <c r="AT8" s="950"/>
      <c r="AU8" s="950"/>
      <c r="AV8" s="593"/>
      <c r="AW8" s="580">
        <v>0.95</v>
      </c>
      <c r="AX8" s="950"/>
      <c r="AY8" s="950"/>
      <c r="AZ8" s="950"/>
      <c r="BA8" s="593"/>
      <c r="BB8" s="580">
        <v>0.95</v>
      </c>
      <c r="BC8" s="950"/>
      <c r="BD8" s="562"/>
      <c r="BE8" s="1015"/>
      <c r="BF8" s="581" t="s">
        <v>445</v>
      </c>
      <c r="BG8" s="492">
        <v>1000000</v>
      </c>
      <c r="BH8" s="1142"/>
      <c r="BI8" s="538"/>
      <c r="BJ8" s="538"/>
      <c r="BK8" s="538"/>
      <c r="BL8" s="538"/>
      <c r="BM8" s="538"/>
      <c r="BN8" s="538"/>
      <c r="BO8" s="538"/>
      <c r="BP8" s="538"/>
    </row>
    <row r="9" spans="1:68" ht="15.6" outlineLevel="1">
      <c r="D9" s="904" t="s">
        <v>880</v>
      </c>
      <c r="E9" s="591"/>
      <c r="S9" s="591"/>
      <c r="T9" s="574">
        <v>0.03</v>
      </c>
      <c r="U9" s="950"/>
      <c r="V9" s="950"/>
      <c r="W9" s="950"/>
      <c r="X9" s="593"/>
      <c r="Y9" s="541">
        <v>0.03</v>
      </c>
      <c r="Z9" s="592"/>
      <c r="AA9" s="592"/>
      <c r="AB9" s="593"/>
      <c r="AC9" s="574">
        <v>0.03</v>
      </c>
      <c r="AD9" s="950"/>
      <c r="AE9" s="950"/>
      <c r="AF9" s="950"/>
      <c r="AG9" s="593"/>
      <c r="AH9" s="574">
        <v>0.03</v>
      </c>
      <c r="AI9" s="950"/>
      <c r="AJ9" s="950"/>
      <c r="AK9" s="950"/>
      <c r="AL9" s="593"/>
      <c r="AM9" s="574">
        <v>0.03</v>
      </c>
      <c r="AN9" s="950"/>
      <c r="AO9" s="950"/>
      <c r="AP9" s="950"/>
      <c r="AQ9" s="593"/>
      <c r="AR9" s="574">
        <v>0.03</v>
      </c>
      <c r="AS9" s="950"/>
      <c r="AT9" s="950"/>
      <c r="AU9" s="950"/>
      <c r="AV9" s="593"/>
      <c r="AW9" s="574">
        <v>0.03</v>
      </c>
      <c r="AX9" s="950"/>
      <c r="AY9" s="950"/>
      <c r="AZ9" s="950"/>
      <c r="BA9" s="593"/>
      <c r="BB9" s="574">
        <v>0.03</v>
      </c>
      <c r="BC9" s="950"/>
      <c r="BD9" s="562"/>
      <c r="BE9" s="1015"/>
      <c r="BF9" s="581" t="s">
        <v>446</v>
      </c>
      <c r="BG9" s="492">
        <v>6000000</v>
      </c>
      <c r="BH9" s="1142"/>
      <c r="BI9" s="538"/>
      <c r="BJ9" s="538"/>
      <c r="BK9" s="538"/>
      <c r="BL9" s="538"/>
      <c r="BM9" s="538"/>
      <c r="BN9" s="538"/>
      <c r="BO9" s="538"/>
      <c r="BP9" s="538"/>
    </row>
    <row r="10" spans="1:68" ht="15" outlineLevel="1" thickBot="1">
      <c r="D10" s="594" t="s">
        <v>884</v>
      </c>
      <c r="E10" s="575"/>
      <c r="F10" s="576"/>
      <c r="G10" s="576"/>
      <c r="H10" s="576"/>
      <c r="I10" s="576"/>
      <c r="J10" s="576"/>
      <c r="K10" s="576"/>
      <c r="L10" s="576"/>
      <c r="M10" s="576"/>
      <c r="N10" s="576"/>
      <c r="O10" s="576"/>
      <c r="P10" s="576"/>
      <c r="Q10" s="576"/>
      <c r="R10" s="576"/>
      <c r="S10" s="912"/>
      <c r="T10" s="577"/>
      <c r="U10" s="951"/>
      <c r="V10" s="951"/>
      <c r="W10" s="951"/>
      <c r="X10" s="576"/>
      <c r="Y10" s="579"/>
      <c r="Z10" s="576"/>
      <c r="AA10" s="576"/>
      <c r="AB10" s="912"/>
      <c r="AC10" s="541">
        <v>0.03</v>
      </c>
      <c r="AD10" s="951"/>
      <c r="AE10" s="951"/>
      <c r="AF10" s="951"/>
      <c r="AG10" s="912"/>
      <c r="AH10" s="541">
        <v>0.03</v>
      </c>
      <c r="AI10" s="951"/>
      <c r="AJ10" s="951"/>
      <c r="AK10" s="951"/>
      <c r="AL10" s="912"/>
      <c r="AM10" s="541">
        <v>0.03</v>
      </c>
      <c r="AN10" s="951"/>
      <c r="AO10" s="951"/>
      <c r="AP10" s="951"/>
      <c r="AQ10" s="912"/>
      <c r="AR10" s="541">
        <v>0.03</v>
      </c>
      <c r="AS10" s="951"/>
      <c r="AT10" s="951"/>
      <c r="AU10" s="951"/>
      <c r="AV10" s="912"/>
      <c r="AW10" s="541">
        <v>0.03</v>
      </c>
      <c r="AX10" s="951"/>
      <c r="AY10" s="951"/>
      <c r="AZ10" s="951"/>
      <c r="BA10" s="951"/>
      <c r="BB10" s="541">
        <v>0.03</v>
      </c>
      <c r="BC10" s="951"/>
      <c r="BD10" s="578"/>
      <c r="BE10" s="1016"/>
      <c r="BF10" s="581" t="s">
        <v>447</v>
      </c>
      <c r="BG10" s="583">
        <f>+BG9+BG8</f>
        <v>7000000</v>
      </c>
      <c r="BH10" s="620"/>
      <c r="BI10" s="495"/>
      <c r="BJ10" s="495"/>
      <c r="BK10" s="495"/>
      <c r="BL10" s="495"/>
      <c r="BM10" s="495"/>
      <c r="BN10" s="495"/>
      <c r="BO10" s="495"/>
      <c r="BP10" s="495"/>
    </row>
    <row r="11" spans="1:68" ht="15" outlineLevel="1" thickTop="1">
      <c r="D11" s="595" t="s">
        <v>881</v>
      </c>
      <c r="E11" s="505"/>
      <c r="S11" s="913"/>
      <c r="T11" s="596">
        <v>41191</v>
      </c>
      <c r="U11" s="952"/>
      <c r="V11" s="952"/>
      <c r="W11" s="981"/>
      <c r="X11" s="597"/>
      <c r="Y11" s="596">
        <v>41391</v>
      </c>
      <c r="Z11" s="598"/>
      <c r="AA11" s="598"/>
      <c r="AB11" s="914"/>
      <c r="AC11" s="824">
        <v>43622</v>
      </c>
      <c r="AD11" s="952"/>
      <c r="AE11" s="952" t="s">
        <v>1294</v>
      </c>
      <c r="AF11" s="981"/>
      <c r="AG11" s="914"/>
      <c r="AH11" s="596">
        <f>ROUND(AC11*(1+AH10),0)</f>
        <v>44931</v>
      </c>
      <c r="AI11" s="952"/>
      <c r="AJ11" s="952"/>
      <c r="AK11" s="952"/>
      <c r="AL11" s="914"/>
      <c r="AM11" s="596">
        <f>ROUND(AH11*(1+AM10),0)</f>
        <v>46279</v>
      </c>
      <c r="AN11" s="952"/>
      <c r="AO11" s="952"/>
      <c r="AP11" s="952"/>
      <c r="AQ11" s="914"/>
      <c r="AR11" s="596">
        <f>ROUND(AM11*(1+AR10),0)</f>
        <v>47667</v>
      </c>
      <c r="AS11" s="952"/>
      <c r="AT11" s="952"/>
      <c r="AU11" s="952"/>
      <c r="AV11" s="914"/>
      <c r="AW11" s="596">
        <f>ROUND(AR11*(1+AW10),0)</f>
        <v>49097</v>
      </c>
      <c r="AX11" s="952"/>
      <c r="AY11" s="952"/>
      <c r="AZ11" s="952"/>
      <c r="BA11" s="914"/>
      <c r="BB11" s="596">
        <f>ROUND(AW11*(1+BB10),0)</f>
        <v>50570</v>
      </c>
      <c r="BC11" s="952"/>
      <c r="BD11" s="1008"/>
      <c r="BE11" s="1017"/>
      <c r="BF11" s="581" t="s">
        <v>448</v>
      </c>
      <c r="BG11" s="496">
        <v>0.65</v>
      </c>
      <c r="BH11" s="1143"/>
      <c r="BI11" s="495"/>
      <c r="BJ11" s="495"/>
      <c r="BK11" s="495"/>
      <c r="BL11" s="495"/>
      <c r="BM11" s="495"/>
      <c r="BN11" s="495"/>
      <c r="BO11" s="495"/>
      <c r="BP11" s="495"/>
    </row>
    <row r="12" spans="1:68" outlineLevel="1">
      <c r="D12" s="594" t="s">
        <v>883</v>
      </c>
      <c r="E12" s="575"/>
      <c r="F12" s="576"/>
      <c r="G12" s="576"/>
      <c r="H12" s="576"/>
      <c r="I12" s="576"/>
      <c r="J12" s="576"/>
      <c r="K12" s="576"/>
      <c r="L12" s="576"/>
      <c r="M12" s="576"/>
      <c r="N12" s="576"/>
      <c r="O12" s="576"/>
      <c r="P12" s="576"/>
      <c r="Q12" s="576"/>
      <c r="R12" s="576"/>
      <c r="S12" s="912"/>
      <c r="T12" s="577"/>
      <c r="U12" s="951"/>
      <c r="V12" s="951"/>
      <c r="W12" s="951"/>
      <c r="X12" s="576"/>
      <c r="Y12" s="576"/>
      <c r="Z12" s="576"/>
      <c r="AA12" s="576"/>
      <c r="AB12" s="912"/>
      <c r="AC12" s="541">
        <v>0.03</v>
      </c>
      <c r="AD12" s="951"/>
      <c r="AE12" s="951"/>
      <c r="AF12" s="951"/>
      <c r="AG12" s="912"/>
      <c r="AH12" s="541">
        <v>0.03</v>
      </c>
      <c r="AI12" s="951"/>
      <c r="AJ12" s="951"/>
      <c r="AK12" s="951"/>
      <c r="AL12" s="912"/>
      <c r="AM12" s="541">
        <v>0.03</v>
      </c>
      <c r="AN12" s="951"/>
      <c r="AO12" s="951"/>
      <c r="AP12" s="951"/>
      <c r="AQ12" s="912"/>
      <c r="AR12" s="541">
        <v>0.03</v>
      </c>
      <c r="AS12" s="951"/>
      <c r="AT12" s="951"/>
      <c r="AU12" s="951"/>
      <c r="AV12" s="912"/>
      <c r="AW12" s="541">
        <v>0.03</v>
      </c>
      <c r="AX12" s="951"/>
      <c r="AY12" s="951"/>
      <c r="AZ12" s="951"/>
      <c r="BA12" s="951"/>
      <c r="BB12" s="541">
        <v>0.03</v>
      </c>
      <c r="BC12" s="951"/>
      <c r="BD12" s="578"/>
      <c r="BE12" s="1016"/>
      <c r="BF12" s="581" t="s">
        <v>449</v>
      </c>
      <c r="BG12" s="496">
        <v>4.4999999999999998E-2</v>
      </c>
      <c r="BH12" s="1143"/>
      <c r="BI12" s="538"/>
      <c r="BJ12" s="538"/>
      <c r="BK12" s="538"/>
      <c r="BL12" s="538"/>
      <c r="BM12" s="538"/>
      <c r="BN12" s="538"/>
      <c r="BO12" s="538"/>
      <c r="BP12" s="538"/>
    </row>
    <row r="13" spans="1:68" outlineLevel="1">
      <c r="D13" s="595" t="s">
        <v>1318</v>
      </c>
      <c r="E13" s="597"/>
      <c r="F13" s="599"/>
      <c r="G13" s="599"/>
      <c r="H13" s="599"/>
      <c r="I13" s="599"/>
      <c r="J13" s="599"/>
      <c r="K13" s="599"/>
      <c r="L13" s="599"/>
      <c r="M13" s="599"/>
      <c r="N13" s="599"/>
      <c r="O13" s="599"/>
      <c r="P13" s="599"/>
      <c r="Q13" s="599"/>
      <c r="R13" s="599"/>
      <c r="S13" s="914"/>
      <c r="T13" s="596">
        <v>43151</v>
      </c>
      <c r="U13" s="952"/>
      <c r="V13" s="952"/>
      <c r="W13" s="981"/>
      <c r="X13" s="597"/>
      <c r="Y13" s="596">
        <f>+T13</f>
        <v>43151</v>
      </c>
      <c r="Z13" s="598"/>
      <c r="AA13" s="598"/>
      <c r="AB13" s="914"/>
      <c r="AC13" s="824">
        <v>44446</v>
      </c>
      <c r="AD13" s="952"/>
      <c r="AE13" s="952" t="s">
        <v>1294</v>
      </c>
      <c r="AF13" s="981"/>
      <c r="AG13" s="914"/>
      <c r="AH13" s="596">
        <f>ROUND(AC13*(1+AH12),0)</f>
        <v>45779</v>
      </c>
      <c r="AI13" s="952"/>
      <c r="AJ13" s="952"/>
      <c r="AK13" s="952"/>
      <c r="AL13" s="914"/>
      <c r="AM13" s="596">
        <f>ROUND(AH13*(1+AM12),0)</f>
        <v>47152</v>
      </c>
      <c r="AN13" s="952"/>
      <c r="AO13" s="952"/>
      <c r="AP13" s="952"/>
      <c r="AQ13" s="914"/>
      <c r="AR13" s="596">
        <f>ROUND(AM13*(1+AR12),0)</f>
        <v>48567</v>
      </c>
      <c r="AS13" s="952"/>
      <c r="AT13" s="952"/>
      <c r="AU13" s="952"/>
      <c r="AV13" s="914"/>
      <c r="AW13" s="596">
        <f>ROUND(AR13*(1+AW10),0)</f>
        <v>50024</v>
      </c>
      <c r="AX13" s="952"/>
      <c r="AY13" s="952"/>
      <c r="AZ13" s="952"/>
      <c r="BA13" s="914"/>
      <c r="BB13" s="596">
        <f>ROUND(AW13*(1+BB10),0)</f>
        <v>51525</v>
      </c>
      <c r="BC13" s="952"/>
      <c r="BD13" s="1008"/>
      <c r="BE13" s="1017"/>
      <c r="BF13" s="581" t="s">
        <v>450</v>
      </c>
      <c r="BG13" s="496">
        <f>1-BG11</f>
        <v>0.35</v>
      </c>
      <c r="BH13" s="1143"/>
      <c r="BI13" s="538"/>
      <c r="BJ13" s="538"/>
      <c r="BK13" s="538"/>
      <c r="BL13" s="538"/>
      <c r="BM13" s="538"/>
      <c r="BN13" s="538"/>
      <c r="BO13" s="538"/>
      <c r="BP13" s="538"/>
    </row>
    <row r="14" spans="1:68" outlineLevel="1">
      <c r="D14" s="594" t="s">
        <v>882</v>
      </c>
      <c r="E14" s="575"/>
      <c r="F14" s="576"/>
      <c r="G14" s="576"/>
      <c r="H14" s="576"/>
      <c r="I14" s="576"/>
      <c r="J14" s="576"/>
      <c r="K14" s="576"/>
      <c r="L14" s="576"/>
      <c r="M14" s="576"/>
      <c r="N14" s="576"/>
      <c r="O14" s="576"/>
      <c r="P14" s="576"/>
      <c r="Q14" s="576"/>
      <c r="R14" s="576"/>
      <c r="S14" s="912"/>
      <c r="T14" s="577"/>
      <c r="U14" s="951"/>
      <c r="V14" s="951"/>
      <c r="W14" s="951"/>
      <c r="X14" s="576"/>
      <c r="Y14" s="576"/>
      <c r="Z14" s="576"/>
      <c r="AA14" s="576"/>
      <c r="AB14" s="912"/>
      <c r="AC14" s="541">
        <v>0.03</v>
      </c>
      <c r="AD14" s="951"/>
      <c r="AE14" s="951"/>
      <c r="AF14" s="951"/>
      <c r="AG14" s="912"/>
      <c r="AH14" s="541">
        <v>0.03</v>
      </c>
      <c r="AI14" s="951"/>
      <c r="AJ14" s="951"/>
      <c r="AK14" s="951"/>
      <c r="AL14" s="912"/>
      <c r="AM14" s="541">
        <v>0.03</v>
      </c>
      <c r="AN14" s="951"/>
      <c r="AO14" s="951"/>
      <c r="AP14" s="951"/>
      <c r="AQ14" s="912"/>
      <c r="AR14" s="541">
        <v>0.03</v>
      </c>
      <c r="AS14" s="951"/>
      <c r="AT14" s="951"/>
      <c r="AU14" s="951"/>
      <c r="AV14" s="912"/>
      <c r="AW14" s="541"/>
      <c r="AX14" s="951"/>
      <c r="AY14" s="951"/>
      <c r="AZ14" s="951"/>
      <c r="BA14" s="951"/>
      <c r="BB14" s="541"/>
      <c r="BC14" s="951"/>
      <c r="BD14" s="578"/>
      <c r="BE14" s="1016"/>
      <c r="BF14" s="581" t="s">
        <v>451</v>
      </c>
      <c r="BG14" s="496">
        <v>0.03</v>
      </c>
      <c r="BH14" s="1143"/>
      <c r="BI14" s="538"/>
      <c r="BJ14" s="538"/>
      <c r="BK14" s="538"/>
      <c r="BL14" s="538"/>
      <c r="BM14" s="538"/>
      <c r="BN14" s="538"/>
      <c r="BO14" s="538"/>
      <c r="BP14" s="538"/>
    </row>
    <row r="15" spans="1:68" ht="18" outlineLevel="1">
      <c r="D15" s="595" t="s">
        <v>879</v>
      </c>
      <c r="S15" s="563"/>
      <c r="T15" s="596">
        <v>38802</v>
      </c>
      <c r="U15" s="952"/>
      <c r="V15" s="952"/>
      <c r="W15" s="981"/>
      <c r="X15" s="597"/>
      <c r="Y15" s="596">
        <f>+T15</f>
        <v>38802</v>
      </c>
      <c r="Z15" s="598"/>
      <c r="AA15" s="598"/>
      <c r="AB15" s="914"/>
      <c r="AC15" s="824">
        <v>39966</v>
      </c>
      <c r="AD15" s="952"/>
      <c r="AE15" s="952" t="s">
        <v>1294</v>
      </c>
      <c r="AF15" s="981"/>
      <c r="AG15" s="914"/>
      <c r="AH15" s="596">
        <f>ROUND(AC15*(1+AH14),0)</f>
        <v>41165</v>
      </c>
      <c r="AI15" s="952"/>
      <c r="AJ15" s="952"/>
      <c r="AK15" s="952"/>
      <c r="AL15" s="914"/>
      <c r="AM15" s="596">
        <f>ROUND(AH15*(1+AM14),0)</f>
        <v>42400</v>
      </c>
      <c r="AN15" s="952"/>
      <c r="AO15" s="952"/>
      <c r="AP15" s="952"/>
      <c r="AQ15" s="914"/>
      <c r="AR15" s="596">
        <f>ROUND(AM15*(1+AR14),0)</f>
        <v>43672</v>
      </c>
      <c r="AS15" s="952"/>
      <c r="AT15" s="952"/>
      <c r="AU15" s="952"/>
      <c r="AV15" s="914"/>
      <c r="AW15" s="596">
        <f>ROUND(AR15*(1+AW10),0)</f>
        <v>44982</v>
      </c>
      <c r="AX15" s="952"/>
      <c r="AY15" s="952"/>
      <c r="AZ15" s="952"/>
      <c r="BA15" s="914"/>
      <c r="BB15" s="596">
        <f>ROUND(AW15*(1+BB10),0)</f>
        <v>46331</v>
      </c>
      <c r="BC15" s="952"/>
      <c r="BD15" s="561"/>
      <c r="BE15" s="600"/>
      <c r="BF15" s="581" t="s">
        <v>453</v>
      </c>
      <c r="BG15" s="584">
        <f>+'Loan Amortization Based on Proj'!B5</f>
        <v>3.9749999999999994E-2</v>
      </c>
      <c r="BH15" s="1144"/>
      <c r="BI15" s="538"/>
      <c r="BJ15" s="538"/>
      <c r="BK15" s="538"/>
      <c r="BL15" s="538"/>
      <c r="BM15" s="538"/>
      <c r="BN15" s="538"/>
      <c r="BO15" s="538"/>
      <c r="BP15" s="538"/>
    </row>
    <row r="16" spans="1:68" ht="18" outlineLevel="1">
      <c r="D16" s="595" t="s">
        <v>1296</v>
      </c>
      <c r="S16" s="563"/>
      <c r="T16" s="897">
        <v>0.12690000000000001</v>
      </c>
      <c r="U16" s="917"/>
      <c r="W16" s="981"/>
      <c r="X16" s="597"/>
      <c r="Y16" s="596"/>
      <c r="Z16" s="598"/>
      <c r="AA16" s="598"/>
      <c r="AB16" s="914"/>
      <c r="AC16" s="897">
        <v>0.1348</v>
      </c>
      <c r="AD16" s="917"/>
      <c r="AF16" s="981"/>
      <c r="AG16" s="914"/>
      <c r="AH16" s="897">
        <v>0.15040000000000001</v>
      </c>
      <c r="AI16" s="917"/>
      <c r="AK16" s="952"/>
      <c r="AL16" s="914"/>
      <c r="AM16" s="897">
        <v>0.17380000000000001</v>
      </c>
      <c r="AN16" s="917"/>
      <c r="AP16" s="952"/>
      <c r="AQ16" s="914"/>
      <c r="AR16" s="897">
        <v>0.17380000000000001</v>
      </c>
      <c r="AS16" s="917"/>
      <c r="AU16" s="952"/>
      <c r="AV16" s="914"/>
      <c r="AW16" s="897">
        <v>0.17380000000000001</v>
      </c>
      <c r="AX16" s="917"/>
      <c r="AZ16" s="952"/>
      <c r="BA16" s="914"/>
      <c r="BB16" s="897">
        <v>0.17380000000000001</v>
      </c>
      <c r="BC16" s="917"/>
      <c r="BE16" s="600"/>
      <c r="BF16" s="495"/>
      <c r="BG16" s="584"/>
      <c r="BH16" s="1144"/>
      <c r="BI16" s="538"/>
      <c r="BJ16" s="538"/>
      <c r="BK16" s="538"/>
      <c r="BL16" s="538"/>
      <c r="BM16" s="538"/>
      <c r="BN16" s="538"/>
      <c r="BO16" s="538"/>
      <c r="BP16" s="538"/>
    </row>
    <row r="17" spans="4:68" ht="18" outlineLevel="1">
      <c r="D17" s="595" t="s">
        <v>1295</v>
      </c>
      <c r="S17" s="563"/>
      <c r="T17" s="897">
        <v>0.1118</v>
      </c>
      <c r="U17" s="917"/>
      <c r="W17" s="981"/>
      <c r="X17" s="597"/>
      <c r="Y17" s="596"/>
      <c r="Z17" s="598"/>
      <c r="AA17" s="598"/>
      <c r="AB17" s="914"/>
      <c r="AC17" s="897">
        <v>0.1196</v>
      </c>
      <c r="AD17" s="917"/>
      <c r="AF17" s="981"/>
      <c r="AG17" s="914"/>
      <c r="AH17" s="897">
        <v>0.1353</v>
      </c>
      <c r="AI17" s="917"/>
      <c r="AK17" s="952"/>
      <c r="AL17" s="914"/>
      <c r="AM17" s="897">
        <v>0.15870000000000001</v>
      </c>
      <c r="AN17" s="917"/>
      <c r="AP17" s="952"/>
      <c r="AQ17" s="914"/>
      <c r="AR17" s="897">
        <v>0.15870000000000001</v>
      </c>
      <c r="AS17" s="917"/>
      <c r="AU17" s="952"/>
      <c r="AV17" s="914"/>
      <c r="AW17" s="897">
        <v>0.15870000000000001</v>
      </c>
      <c r="AX17" s="917"/>
      <c r="AZ17" s="952"/>
      <c r="BA17" s="914"/>
      <c r="BB17" s="897">
        <v>0.15870000000000001</v>
      </c>
      <c r="BC17" s="917"/>
      <c r="BE17" s="600"/>
      <c r="BF17" s="495"/>
      <c r="BG17" s="584"/>
      <c r="BH17" s="1144"/>
      <c r="BI17" s="538"/>
      <c r="BJ17" s="538"/>
      <c r="BK17" s="538"/>
      <c r="BL17" s="538"/>
      <c r="BM17" s="538"/>
      <c r="BN17" s="538"/>
      <c r="BO17" s="538"/>
      <c r="BP17" s="538"/>
    </row>
    <row r="18" spans="4:68" ht="18.600000000000001" outlineLevel="1" thickBot="1">
      <c r="D18" s="608" t="s">
        <v>457</v>
      </c>
      <c r="E18" s="609"/>
      <c r="F18" s="610"/>
      <c r="G18" s="610"/>
      <c r="H18" s="610"/>
      <c r="I18" s="610"/>
      <c r="J18" s="610"/>
      <c r="K18" s="610"/>
      <c r="L18" s="610"/>
      <c r="M18" s="610"/>
      <c r="N18" s="610"/>
      <c r="O18" s="610"/>
      <c r="P18" s="610"/>
      <c r="Q18" s="610"/>
      <c r="R18" s="610"/>
      <c r="S18" s="915"/>
      <c r="T18" s="896">
        <v>0</v>
      </c>
      <c r="U18" s="953"/>
      <c r="V18" s="953"/>
      <c r="W18" s="953"/>
      <c r="X18" s="613"/>
      <c r="Y18" s="611">
        <v>0</v>
      </c>
      <c r="Z18" s="612"/>
      <c r="AA18" s="612"/>
      <c r="AB18" s="613"/>
      <c r="AC18" s="611">
        <v>0</v>
      </c>
      <c r="AD18" s="953"/>
      <c r="AE18" s="953"/>
      <c r="AF18" s="953"/>
      <c r="AG18" s="613"/>
      <c r="AH18" s="611">
        <v>0</v>
      </c>
      <c r="AI18" s="953"/>
      <c r="AJ18" s="953"/>
      <c r="AK18" s="953"/>
      <c r="AL18" s="613"/>
      <c r="AM18" s="611">
        <v>0</v>
      </c>
      <c r="AN18" s="953"/>
      <c r="AO18" s="953"/>
      <c r="AP18" s="953"/>
      <c r="AQ18" s="613"/>
      <c r="AR18" s="611">
        <v>0</v>
      </c>
      <c r="AS18" s="953"/>
      <c r="AT18" s="953"/>
      <c r="AU18" s="953"/>
      <c r="AV18" s="613"/>
      <c r="AW18" s="611">
        <v>0</v>
      </c>
      <c r="AX18" s="953"/>
      <c r="AY18" s="953"/>
      <c r="AZ18" s="953"/>
      <c r="BA18" s="613"/>
      <c r="BB18" s="611">
        <v>0</v>
      </c>
      <c r="BC18" s="953"/>
      <c r="BD18" s="614"/>
      <c r="BE18" s="1018"/>
      <c r="BF18" s="601" t="s">
        <v>454</v>
      </c>
      <c r="BG18" s="589">
        <f>ROUND('Loan Amortization Based on Proj'!D5,0)</f>
        <v>442903</v>
      </c>
      <c r="BH18" s="620"/>
      <c r="BI18" s="538"/>
      <c r="BJ18" s="538"/>
      <c r="BK18" s="538"/>
      <c r="BL18" s="538"/>
      <c r="BM18" s="538"/>
      <c r="BN18" s="538"/>
      <c r="BO18" s="538"/>
      <c r="BP18" s="538"/>
    </row>
    <row r="19" spans="4:68" ht="18">
      <c r="D19" s="542" t="s">
        <v>896</v>
      </c>
      <c r="E19" s="539"/>
      <c r="F19" s="540"/>
      <c r="G19" s="540"/>
      <c r="H19" s="540"/>
      <c r="I19" s="540"/>
      <c r="J19" s="540"/>
      <c r="K19" s="540"/>
      <c r="L19" s="540"/>
      <c r="M19" s="540"/>
      <c r="N19" s="540"/>
      <c r="O19" s="540"/>
      <c r="P19" s="540"/>
      <c r="Q19" s="540"/>
      <c r="R19" s="540"/>
      <c r="S19" s="916"/>
      <c r="T19" s="457">
        <f>IF('CY Without (1)'!$M$37="You May Use this Calculation",'CY Without (1)'!$N$36,IF('Best 28 (1)'!$O$37="You May Use this Calculation",'Best 28 (1)'!$O$36,'Best 28 Without (1)'!$O$36))</f>
        <v>11.25</v>
      </c>
      <c r="U19" s="1031"/>
      <c r="V19" s="457"/>
      <c r="W19" s="457"/>
      <c r="X19" s="457"/>
      <c r="Y19" s="457">
        <v>10.67</v>
      </c>
      <c r="Z19" s="625"/>
      <c r="AA19" s="625"/>
      <c r="AB19" s="457"/>
      <c r="AC19" s="457">
        <f>IF('CY Without (3)'!$M$37="You May Use this Calculation",'CY Without (3)'!$N$36,IF('Best 28 (3)'!$O$37="You May Use this Calculation",'Best 28 (3)'!$O$36,'Best 28 Without (3)'!$O$36))</f>
        <v>13.79</v>
      </c>
      <c r="AD19" s="1031"/>
      <c r="AE19" s="625"/>
      <c r="AF19" s="457"/>
      <c r="AG19" s="457"/>
      <c r="AH19" s="457">
        <f>IF('CY Without (4)'!$M$37="You May Use this Calculation",'CY Without (4)'!$N$36,IF('Best 28 (4)'!$O$37="You May Use this Calculation",'Best 28 (4)'!$O$36,'Best 28 Without (4)'!$O$36))</f>
        <v>17.100000000000001</v>
      </c>
      <c r="AI19" s="1031"/>
      <c r="AJ19" s="625"/>
      <c r="AK19" s="625"/>
      <c r="AL19" s="457"/>
      <c r="AM19" s="457">
        <f>IF('CY Without (5)'!$M$37="You May Use this Calculation",'CY Without (5)'!$N$36,IF('Best 28 (5)'!$O$37="You May Use this Calculation",'Best 28 (5)'!$O$36,'Best 28 Without (5)'!$O$36))</f>
        <v>17.89</v>
      </c>
      <c r="AN19" s="1031"/>
      <c r="AO19" s="625"/>
      <c r="AP19" s="625"/>
      <c r="AQ19" s="457"/>
      <c r="AR19" s="457">
        <f>IF('CY Without (6)'!$M$37="You May Use this Calculation",'CY Without (6)'!$N$36,IF('Best 28 (6)'!$O$37="You May Use this Calculation",'Best 28 (6)'!$O$36,'Best 28 Without (6)'!$O$36))</f>
        <v>17.940000000000001</v>
      </c>
      <c r="AS19" s="1031"/>
      <c r="AT19" s="625"/>
      <c r="AU19" s="625"/>
      <c r="AV19" s="457"/>
      <c r="AW19" s="457">
        <f>IF('CY Without (7)'!$M$37="You May Use this Calculation",'CY Without (7)'!$N$36,IF('Best 28 (7)'!$O$37="You May Use this Calculation",'Best 28 (7)'!$O$36,'Best 28 Without (7)'!$O$36))</f>
        <v>17.510000000000002</v>
      </c>
      <c r="AX19" s="1031"/>
      <c r="AY19" s="625"/>
      <c r="AZ19" s="625"/>
      <c r="BA19" s="457"/>
      <c r="BB19" s="457">
        <f>IF('CY Without (8)'!$M$37="You May Use this Calculation",'CY Without (8)'!$N$36,IF('Best 28 (8)'!$O$37="You May Use this Calculation",'Best 28 (8)'!$O$36,'Best 28 Without (8)'!$O$36))</f>
        <v>20.329999999999998</v>
      </c>
      <c r="BC19" s="1031"/>
      <c r="BD19" s="562"/>
      <c r="BE19" s="916"/>
      <c r="BF19" s="582"/>
      <c r="BG19" s="620"/>
      <c r="BH19" s="620"/>
      <c r="BI19" s="538"/>
      <c r="BJ19" s="538"/>
      <c r="BK19" s="538"/>
      <c r="BL19" s="538"/>
      <c r="BM19" s="538"/>
      <c r="BN19" s="538"/>
      <c r="BO19" s="538"/>
      <c r="BP19" s="538"/>
    </row>
    <row r="20" spans="4:68" ht="18">
      <c r="D20" s="542" t="s">
        <v>887</v>
      </c>
      <c r="E20" s="539"/>
      <c r="F20" s="540"/>
      <c r="G20" s="540"/>
      <c r="H20" s="540"/>
      <c r="I20" s="540"/>
      <c r="J20" s="540"/>
      <c r="K20" s="540"/>
      <c r="L20" s="540"/>
      <c r="M20" s="540"/>
      <c r="N20" s="540"/>
      <c r="O20" s="540"/>
      <c r="P20" s="540"/>
      <c r="Q20" s="540"/>
      <c r="R20" s="540"/>
      <c r="S20" s="916"/>
      <c r="T20" s="623">
        <f>+T196</f>
        <v>463399</v>
      </c>
      <c r="U20" s="1032"/>
      <c r="V20" s="950"/>
      <c r="W20" s="950"/>
      <c r="X20" s="621"/>
      <c r="Y20" s="623">
        <f>+Y196</f>
        <v>441642</v>
      </c>
      <c r="Z20" s="592"/>
      <c r="AA20" s="592"/>
      <c r="AB20" s="621"/>
      <c r="AC20" s="623">
        <f>+AC196</f>
        <v>601547</v>
      </c>
      <c r="AD20" s="1032"/>
      <c r="AE20" s="950"/>
      <c r="AF20" s="950"/>
      <c r="AG20" s="621"/>
      <c r="AH20" s="623">
        <f>+AH196</f>
        <v>768320</v>
      </c>
      <c r="AI20" s="1032"/>
      <c r="AJ20" s="950"/>
      <c r="AK20" s="950"/>
      <c r="AL20" s="621"/>
      <c r="AM20" s="623">
        <f>+AM196</f>
        <v>827931</v>
      </c>
      <c r="AN20" s="1032"/>
      <c r="AO20" s="950"/>
      <c r="AP20" s="950"/>
      <c r="AQ20" s="621"/>
      <c r="AR20" s="623">
        <f>+AR196</f>
        <v>855146</v>
      </c>
      <c r="AS20" s="1032"/>
      <c r="AT20" s="950"/>
      <c r="AU20" s="950"/>
      <c r="AV20" s="621"/>
      <c r="AW20" s="623">
        <f>+AW196</f>
        <v>859688</v>
      </c>
      <c r="AX20" s="1032"/>
      <c r="AY20" s="950"/>
      <c r="AZ20" s="950"/>
      <c r="BA20" s="621"/>
      <c r="BB20" s="623">
        <f>+BB196</f>
        <v>1028088</v>
      </c>
      <c r="BC20" s="1032"/>
      <c r="BD20" s="562"/>
      <c r="BE20" s="916"/>
      <c r="BF20" s="561"/>
      <c r="BG20" s="622"/>
      <c r="BH20" s="622"/>
      <c r="BI20" s="538"/>
      <c r="BJ20" s="538"/>
      <c r="BK20" s="538"/>
      <c r="BL20" s="538"/>
      <c r="BM20" s="538"/>
      <c r="BN20" s="538"/>
      <c r="BO20" s="538"/>
      <c r="BP20" s="538"/>
    </row>
    <row r="21" spans="4:68" ht="18">
      <c r="D21" s="542" t="s">
        <v>888</v>
      </c>
      <c r="E21" s="539"/>
      <c r="F21" s="540"/>
      <c r="G21" s="540"/>
      <c r="H21" s="540"/>
      <c r="I21" s="540"/>
      <c r="J21" s="540"/>
      <c r="K21" s="540"/>
      <c r="L21" s="540"/>
      <c r="M21" s="540"/>
      <c r="N21" s="540"/>
      <c r="O21" s="540"/>
      <c r="P21" s="540"/>
      <c r="Q21" s="540"/>
      <c r="R21" s="540"/>
      <c r="S21" s="916"/>
      <c r="T21" s="623">
        <f>+T201</f>
        <v>932903</v>
      </c>
      <c r="U21" s="1032"/>
      <c r="V21" s="950"/>
      <c r="W21" s="950"/>
      <c r="X21" s="621"/>
      <c r="Y21" s="623">
        <f>+Y201</f>
        <v>875646</v>
      </c>
      <c r="Z21" s="592"/>
      <c r="AA21" s="592"/>
      <c r="AB21" s="621"/>
      <c r="AC21" s="623">
        <f>+AC201</f>
        <v>1172477</v>
      </c>
      <c r="AD21" s="1032"/>
      <c r="AE21" s="950"/>
      <c r="AF21" s="950"/>
      <c r="AG21" s="621"/>
      <c r="AH21" s="623">
        <f>+AH201</f>
        <v>1531819</v>
      </c>
      <c r="AI21" s="1032"/>
      <c r="AJ21" s="950"/>
      <c r="AK21" s="950"/>
      <c r="AL21" s="621"/>
      <c r="AM21" s="623">
        <f>+AM201</f>
        <v>1684184</v>
      </c>
      <c r="AN21" s="1032"/>
      <c r="AO21" s="950"/>
      <c r="AP21" s="950"/>
      <c r="AQ21" s="621"/>
      <c r="AR21" s="623">
        <f>+AR201</f>
        <v>1773823</v>
      </c>
      <c r="AS21" s="1032"/>
      <c r="AT21" s="950"/>
      <c r="AU21" s="950"/>
      <c r="AV21" s="621"/>
      <c r="AW21" s="623">
        <f>+AW201</f>
        <v>1818035</v>
      </c>
      <c r="AX21" s="1032"/>
      <c r="AY21" s="950"/>
      <c r="AZ21" s="950"/>
      <c r="BA21" s="621"/>
      <c r="BB21" s="623">
        <f>+BB201</f>
        <v>2215190</v>
      </c>
      <c r="BC21" s="1032"/>
      <c r="BD21" s="562"/>
      <c r="BE21" s="916"/>
      <c r="BF21" s="561"/>
      <c r="BG21" s="622"/>
      <c r="BH21" s="622"/>
      <c r="BI21" s="538"/>
      <c r="BJ21" s="538"/>
      <c r="BK21" s="538"/>
      <c r="BL21" s="538"/>
      <c r="BM21" s="538"/>
      <c r="BN21" s="538"/>
      <c r="BO21" s="538"/>
      <c r="BP21" s="538"/>
    </row>
    <row r="22" spans="4:68" ht="18">
      <c r="D22" s="542" t="s">
        <v>889</v>
      </c>
      <c r="E22" s="539"/>
      <c r="F22" s="540"/>
      <c r="G22" s="540"/>
      <c r="H22" s="540"/>
      <c r="I22" s="540"/>
      <c r="J22" s="540"/>
      <c r="K22" s="540"/>
      <c r="L22" s="540"/>
      <c r="M22" s="540"/>
      <c r="N22" s="540"/>
      <c r="O22" s="540"/>
      <c r="P22" s="540"/>
      <c r="Q22" s="540"/>
      <c r="R22" s="540"/>
      <c r="S22" s="916"/>
      <c r="T22" s="623">
        <f>+T203</f>
        <v>166161</v>
      </c>
      <c r="U22" s="1032"/>
      <c r="V22" s="950"/>
      <c r="W22" s="950"/>
      <c r="X22" s="621"/>
      <c r="Y22" s="623">
        <f>+Y203</f>
        <v>175762</v>
      </c>
      <c r="Z22" s="592"/>
      <c r="AA22" s="592"/>
      <c r="AB22" s="621"/>
      <c r="AC22" s="623">
        <f>+AC203</f>
        <v>238482</v>
      </c>
      <c r="AD22" s="1032"/>
      <c r="AE22" s="950"/>
      <c r="AF22" s="950"/>
      <c r="AG22" s="621"/>
      <c r="AH22" s="623">
        <f>+AH203</f>
        <v>323673</v>
      </c>
      <c r="AI22" s="1032"/>
      <c r="AJ22" s="950"/>
      <c r="AK22" s="950"/>
      <c r="AL22" s="621"/>
      <c r="AM22" s="623">
        <f>+AM203</f>
        <v>373780</v>
      </c>
      <c r="AN22" s="1032"/>
      <c r="AO22" s="950"/>
      <c r="AP22" s="950"/>
      <c r="AQ22" s="621"/>
      <c r="AR22" s="623">
        <f>+AR203</f>
        <v>431292</v>
      </c>
      <c r="AS22" s="1032"/>
      <c r="AT22" s="950"/>
      <c r="AU22" s="950"/>
      <c r="AV22" s="621"/>
      <c r="AW22" s="623">
        <f>+AW203</f>
        <v>451066</v>
      </c>
      <c r="AX22" s="1032"/>
      <c r="AY22" s="950"/>
      <c r="AZ22" s="950"/>
      <c r="BA22" s="621"/>
      <c r="BB22" s="623">
        <f>+BB203</f>
        <v>471481</v>
      </c>
      <c r="BC22" s="1032"/>
      <c r="BD22" s="562"/>
      <c r="BE22" s="916"/>
      <c r="BF22" s="561"/>
      <c r="BG22" s="622"/>
      <c r="BH22" s="622"/>
      <c r="BI22" s="538"/>
      <c r="BJ22" s="538"/>
      <c r="BK22" s="538"/>
      <c r="BL22" s="538"/>
      <c r="BM22" s="538"/>
      <c r="BN22" s="538"/>
      <c r="BO22" s="538"/>
      <c r="BP22" s="538"/>
    </row>
    <row r="23" spans="4:68" ht="15" thickBot="1">
      <c r="BI23" s="495"/>
      <c r="BJ23" s="495"/>
      <c r="BK23" s="495"/>
      <c r="BL23" s="495"/>
      <c r="BM23" s="495"/>
      <c r="BN23" s="495"/>
      <c r="BO23" s="495"/>
      <c r="BP23" s="495"/>
    </row>
    <row r="24" spans="4:68" ht="18.45" customHeight="1">
      <c r="L24" s="1153" t="str">
        <f>L$2</f>
        <v>Audited
2021-2022</v>
      </c>
      <c r="M24" s="1175"/>
      <c r="N24" s="1153" t="str">
        <f>N$2</f>
        <v>Audited
2022-2023</v>
      </c>
      <c r="O24" s="1175"/>
      <c r="P24" s="1153" t="str">
        <f>P$2</f>
        <v>Audited
2023-2024</v>
      </c>
      <c r="Q24" s="1175"/>
      <c r="R24" s="618"/>
      <c r="S24" s="1153" t="str">
        <f>S$2</f>
        <v>Current Budget
2023-2024</v>
      </c>
      <c r="T24" s="1154"/>
      <c r="U24" s="1154"/>
      <c r="V24" s="1154"/>
      <c r="W24" s="615"/>
      <c r="X24" s="1153" t="str">
        <f>X$2</f>
        <v>Amended Budget
2023-2024</v>
      </c>
      <c r="Y24" s="1154"/>
      <c r="Z24" s="1154"/>
      <c r="AA24" s="1147"/>
      <c r="AB24" s="1153" t="str">
        <f>AB$2</f>
        <v>Budgeted
2024-2025</v>
      </c>
      <c r="AC24" s="1154"/>
      <c r="AD24" s="1154"/>
      <c r="AE24" s="1154"/>
      <c r="AF24" s="1147"/>
      <c r="AG24" s="1153" t="str">
        <f>AG$2</f>
        <v>Projected
2025-2026</v>
      </c>
      <c r="AH24" s="1154"/>
      <c r="AI24" s="1154"/>
      <c r="AJ24" s="1154"/>
      <c r="AK24" s="1147"/>
      <c r="AL24" s="1153" t="str">
        <f>AL$2</f>
        <v>Projected
2026-2027</v>
      </c>
      <c r="AM24" s="1154"/>
      <c r="AN24" s="1154"/>
      <c r="AO24" s="1154"/>
      <c r="AP24" s="1147"/>
      <c r="AQ24" s="1153" t="str">
        <f>AQ$2</f>
        <v>Projected
2027-2028</v>
      </c>
      <c r="AR24" s="1154"/>
      <c r="AS24" s="1154"/>
      <c r="AT24" s="1154"/>
      <c r="AU24" s="1147"/>
      <c r="AV24" s="1153" t="str">
        <f>AV$2</f>
        <v>Projected
2028-2029</v>
      </c>
      <c r="AW24" s="1154"/>
      <c r="AX24" s="1154"/>
      <c r="AY24" s="1154"/>
      <c r="AZ24" s="1147"/>
      <c r="BA24" s="1153" t="str">
        <f>BA$2</f>
        <v>Projected
2029-2030</v>
      </c>
      <c r="BB24" s="1154"/>
      <c r="BC24" s="1154"/>
      <c r="BD24" s="1154"/>
      <c r="BE24" s="1147"/>
      <c r="BI24" s="495"/>
      <c r="BJ24" s="495"/>
      <c r="BK24" s="495"/>
      <c r="BL24" s="495"/>
      <c r="BM24" s="495"/>
      <c r="BN24" s="495"/>
      <c r="BO24" s="495"/>
      <c r="BP24" s="495"/>
    </row>
    <row r="25" spans="4:68" ht="18.600000000000001" thickBot="1">
      <c r="L25" s="1155"/>
      <c r="M25" s="1176"/>
      <c r="N25" s="1155"/>
      <c r="O25" s="1176"/>
      <c r="P25" s="1155"/>
      <c r="Q25" s="1176"/>
      <c r="R25" s="618"/>
      <c r="S25" s="1155"/>
      <c r="T25" s="1156"/>
      <c r="U25" s="1156"/>
      <c r="V25" s="1156"/>
      <c r="W25" s="617"/>
      <c r="X25" s="1155"/>
      <c r="Y25" s="1156"/>
      <c r="Z25" s="1156"/>
      <c r="AA25" s="1148"/>
      <c r="AB25" s="1155"/>
      <c r="AC25" s="1156"/>
      <c r="AD25" s="1156"/>
      <c r="AE25" s="1156"/>
      <c r="AF25" s="1148"/>
      <c r="AG25" s="1155"/>
      <c r="AH25" s="1156"/>
      <c r="AI25" s="1156"/>
      <c r="AJ25" s="1156"/>
      <c r="AK25" s="1148"/>
      <c r="AL25" s="1155"/>
      <c r="AM25" s="1156"/>
      <c r="AN25" s="1156"/>
      <c r="AO25" s="1156"/>
      <c r="AP25" s="1148"/>
      <c r="AQ25" s="1155"/>
      <c r="AR25" s="1156"/>
      <c r="AS25" s="1156"/>
      <c r="AT25" s="1156"/>
      <c r="AU25" s="1148"/>
      <c r="AV25" s="1155"/>
      <c r="AW25" s="1156"/>
      <c r="AX25" s="1156"/>
      <c r="AY25" s="1156"/>
      <c r="AZ25" s="1148"/>
      <c r="BA25" s="1155"/>
      <c r="BB25" s="1156"/>
      <c r="BC25" s="1156"/>
      <c r="BD25" s="1156"/>
      <c r="BE25" s="1148"/>
      <c r="BI25" s="495"/>
      <c r="BJ25" s="495"/>
      <c r="BK25" s="495"/>
      <c r="BL25" s="495"/>
      <c r="BM25" s="495"/>
      <c r="BN25" s="495"/>
      <c r="BO25" s="495"/>
      <c r="BP25" s="495"/>
    </row>
    <row r="26" spans="4:68">
      <c r="D26" s="605" t="s">
        <v>885</v>
      </c>
      <c r="E26" s="605"/>
      <c r="F26" s="605"/>
      <c r="G26" s="605"/>
      <c r="H26" s="605"/>
      <c r="I26" s="605"/>
      <c r="J26" s="605"/>
      <c r="K26" s="605"/>
      <c r="L26" s="605"/>
      <c r="M26" s="605"/>
      <c r="N26" s="605"/>
      <c r="O26" s="605"/>
      <c r="P26" s="605"/>
      <c r="Q26" s="605"/>
      <c r="R26" s="605"/>
      <c r="S26" s="918"/>
      <c r="T26" s="605"/>
      <c r="U26" s="1033"/>
      <c r="V26" s="918"/>
      <c r="W26" s="918"/>
      <c r="X26" s="605"/>
      <c r="Y26" s="605"/>
      <c r="Z26" s="605"/>
      <c r="AA26" s="605"/>
      <c r="AB26" s="918"/>
      <c r="AC26" s="605"/>
      <c r="AD26" s="1033"/>
      <c r="AE26" s="918"/>
      <c r="AF26" s="918"/>
      <c r="AG26" s="918"/>
      <c r="AH26" s="605"/>
      <c r="AI26" s="1033"/>
      <c r="AJ26" s="918"/>
      <c r="AK26" s="918"/>
      <c r="AL26" s="918"/>
      <c r="AM26" s="605"/>
      <c r="AN26" s="1033"/>
      <c r="AO26" s="918"/>
      <c r="AP26" s="918"/>
      <c r="AQ26" s="918"/>
      <c r="AR26" s="605"/>
      <c r="AS26" s="1033"/>
      <c r="AT26" s="918"/>
      <c r="AU26" s="918"/>
      <c r="AV26" s="918"/>
      <c r="AW26" s="605"/>
      <c r="AX26" s="1033"/>
      <c r="AY26" s="918"/>
      <c r="AZ26" s="918"/>
      <c r="BA26" s="918"/>
      <c r="BB26" s="605"/>
      <c r="BC26" s="1033"/>
      <c r="BD26" s="918"/>
      <c r="BE26" s="918"/>
      <c r="BI26" s="495"/>
      <c r="BJ26" s="495"/>
      <c r="BK26" s="495"/>
      <c r="BL26" s="495"/>
      <c r="BM26" s="495"/>
      <c r="BN26" s="495"/>
      <c r="BO26" s="495"/>
      <c r="BP26" s="495"/>
    </row>
    <row r="27" spans="4:68" hidden="1" outlineLevel="1">
      <c r="D27" s="808" t="s">
        <v>1076</v>
      </c>
      <c r="BI27" s="495"/>
      <c r="BJ27" s="495"/>
      <c r="BK27" s="495"/>
      <c r="BL27" s="495"/>
      <c r="BM27" s="495"/>
      <c r="BN27" s="495"/>
      <c r="BO27" s="495"/>
      <c r="BP27" s="495"/>
    </row>
    <row r="28" spans="4:68" hidden="1" outlineLevel="1">
      <c r="D28" s="809" t="s">
        <v>1073</v>
      </c>
      <c r="BI28" s="495"/>
      <c r="BJ28" s="495"/>
      <c r="BK28" s="495"/>
      <c r="BL28" s="495"/>
      <c r="BM28" s="495"/>
      <c r="BN28" s="495"/>
      <c r="BO28" s="495"/>
      <c r="BP28" s="495"/>
    </row>
    <row r="29" spans="4:68" hidden="1" outlineLevel="1">
      <c r="D29" s="810" t="s">
        <v>1079</v>
      </c>
      <c r="M29" s="812">
        <v>0</v>
      </c>
      <c r="O29" s="812">
        <v>0</v>
      </c>
      <c r="Q29" s="812">
        <v>0</v>
      </c>
      <c r="T29" s="812">
        <v>0</v>
      </c>
      <c r="Y29" s="812">
        <v>0</v>
      </c>
      <c r="AC29" s="812">
        <v>0</v>
      </c>
      <c r="AH29" s="812">
        <v>0</v>
      </c>
      <c r="AM29" s="812">
        <v>0</v>
      </c>
      <c r="AR29" s="812">
        <v>0</v>
      </c>
      <c r="AW29" s="812">
        <v>0</v>
      </c>
      <c r="BB29" s="812">
        <v>0</v>
      </c>
      <c r="BI29" s="495"/>
      <c r="BJ29" s="495"/>
      <c r="BK29" s="495"/>
      <c r="BL29" s="495"/>
      <c r="BM29" s="495"/>
      <c r="BN29" s="495"/>
      <c r="BO29" s="495"/>
      <c r="BP29" s="495"/>
    </row>
    <row r="30" spans="4:68" hidden="1" outlineLevel="1">
      <c r="D30" s="810" t="s">
        <v>1071</v>
      </c>
      <c r="M30" s="812">
        <v>0</v>
      </c>
      <c r="O30" s="812">
        <v>0</v>
      </c>
      <c r="Q30" s="812">
        <v>0</v>
      </c>
      <c r="T30" s="812">
        <v>0</v>
      </c>
      <c r="Y30" s="812">
        <v>0</v>
      </c>
      <c r="AC30" s="812">
        <v>0</v>
      </c>
      <c r="AH30" s="812">
        <v>0</v>
      </c>
      <c r="AM30" s="812">
        <v>0</v>
      </c>
      <c r="AR30" s="812">
        <v>0</v>
      </c>
      <c r="AW30" s="812">
        <v>0</v>
      </c>
      <c r="BB30" s="812">
        <v>0</v>
      </c>
      <c r="BI30" s="495"/>
      <c r="BJ30" s="495"/>
      <c r="BK30" s="495"/>
      <c r="BL30" s="495"/>
      <c r="BM30" s="495"/>
      <c r="BN30" s="495"/>
      <c r="BO30" s="495"/>
      <c r="BP30" s="495"/>
    </row>
    <row r="31" spans="4:68" hidden="1" outlineLevel="1">
      <c r="D31" s="810" t="s">
        <v>1072</v>
      </c>
      <c r="M31" s="812">
        <v>0</v>
      </c>
      <c r="O31" s="812">
        <v>0</v>
      </c>
      <c r="Q31" s="812">
        <v>0</v>
      </c>
      <c r="T31" s="812">
        <v>0</v>
      </c>
      <c r="Y31" s="812">
        <v>0</v>
      </c>
      <c r="AC31" s="812">
        <v>0</v>
      </c>
      <c r="AH31" s="812">
        <v>0</v>
      </c>
      <c r="AM31" s="812">
        <v>0</v>
      </c>
      <c r="AR31" s="812">
        <v>0</v>
      </c>
      <c r="AW31" s="812">
        <v>0</v>
      </c>
      <c r="BB31" s="812">
        <v>0</v>
      </c>
      <c r="BI31" s="495"/>
      <c r="BJ31" s="495"/>
      <c r="BK31" s="495"/>
      <c r="BL31" s="495"/>
      <c r="BM31" s="495"/>
      <c r="BN31" s="495"/>
      <c r="BO31" s="495"/>
      <c r="BP31" s="495"/>
    </row>
    <row r="32" spans="4:68" hidden="1" outlineLevel="1">
      <c r="D32" s="846" t="s">
        <v>1021</v>
      </c>
      <c r="L32" s="257"/>
      <c r="M32" s="503">
        <f>SUM(M29:M31)</f>
        <v>0</v>
      </c>
      <c r="N32" s="257"/>
      <c r="O32" s="503">
        <f>SUM(O29:O31)</f>
        <v>0</v>
      </c>
      <c r="P32" s="257"/>
      <c r="Q32" s="503">
        <f>SUM(Q29:Q31)</f>
        <v>0</v>
      </c>
      <c r="S32" s="257"/>
      <c r="T32" s="503">
        <f>SUM(T29:T31)</f>
        <v>0</v>
      </c>
      <c r="U32" s="1034"/>
      <c r="V32" s="530"/>
      <c r="W32" s="530"/>
      <c r="X32" s="257"/>
      <c r="Y32" s="503">
        <f>SUM(Y29:Y31)</f>
        <v>0</v>
      </c>
      <c r="Z32" s="257"/>
      <c r="AA32" s="257"/>
      <c r="AB32" s="257"/>
      <c r="AC32" s="503">
        <f>SUM(AC29:AC31)</f>
        <v>0</v>
      </c>
      <c r="AD32" s="1034"/>
      <c r="AE32" s="257"/>
      <c r="AF32" s="257"/>
      <c r="AG32" s="257"/>
      <c r="AH32" s="503">
        <f>SUM(AH29:AH31)</f>
        <v>0</v>
      </c>
      <c r="AI32" s="1034"/>
      <c r="AJ32" s="257"/>
      <c r="AK32" s="257"/>
      <c r="AL32" s="257"/>
      <c r="AM32" s="503">
        <f>SUM(AM29:AM31)</f>
        <v>0</v>
      </c>
      <c r="AN32" s="1034"/>
      <c r="AO32" s="257"/>
      <c r="AP32" s="257"/>
      <c r="AQ32" s="257"/>
      <c r="AR32" s="503">
        <f>SUM(AR29:AR31)</f>
        <v>0</v>
      </c>
      <c r="AS32" s="1034"/>
      <c r="AT32" s="257"/>
      <c r="AU32" s="257"/>
      <c r="AV32" s="257"/>
      <c r="AW32" s="503">
        <f>SUM(AW29:AW31)</f>
        <v>0</v>
      </c>
      <c r="AX32" s="1034"/>
      <c r="AY32" s="257"/>
      <c r="AZ32" s="257"/>
      <c r="BA32" s="257"/>
      <c r="BB32" s="503">
        <f>SUM(BB29:BB31)</f>
        <v>0</v>
      </c>
      <c r="BC32" s="1034"/>
      <c r="BD32" s="530"/>
      <c r="BE32" s="471"/>
      <c r="BI32" s="495"/>
      <c r="BJ32" s="495"/>
      <c r="BK32" s="495"/>
      <c r="BL32" s="495"/>
      <c r="BM32" s="495"/>
      <c r="BN32" s="495"/>
      <c r="BO32" s="495"/>
      <c r="BP32" s="495"/>
    </row>
    <row r="33" spans="4:68" hidden="1" outlineLevel="1">
      <c r="D33" s="809" t="s">
        <v>1074</v>
      </c>
      <c r="M33" s="812"/>
      <c r="O33" s="812"/>
      <c r="Q33" s="812"/>
      <c r="T33" s="812"/>
      <c r="Y33" s="812"/>
      <c r="AC33" s="812"/>
      <c r="AH33" s="812"/>
      <c r="AM33" s="812"/>
      <c r="AR33" s="812"/>
      <c r="AW33" s="812"/>
      <c r="BB33" s="812"/>
      <c r="BI33" s="495"/>
      <c r="BJ33" s="495"/>
      <c r="BK33" s="495"/>
      <c r="BL33" s="495"/>
      <c r="BM33" s="495"/>
      <c r="BN33" s="495"/>
      <c r="BO33" s="495"/>
      <c r="BP33" s="495"/>
    </row>
    <row r="34" spans="4:68" hidden="1" outlineLevel="1">
      <c r="D34" s="810" t="s">
        <v>1075</v>
      </c>
      <c r="M34" s="812">
        <v>0</v>
      </c>
      <c r="O34" s="812">
        <v>0</v>
      </c>
      <c r="Q34" s="812">
        <v>0</v>
      </c>
      <c r="T34" s="812">
        <v>0</v>
      </c>
      <c r="Y34" s="812">
        <v>0</v>
      </c>
      <c r="AC34" s="812">
        <v>0</v>
      </c>
      <c r="AH34" s="812">
        <v>0</v>
      </c>
      <c r="AM34" s="812">
        <v>0</v>
      </c>
      <c r="AR34" s="812">
        <v>0</v>
      </c>
      <c r="AW34" s="812">
        <v>0</v>
      </c>
      <c r="BB34" s="812">
        <v>0</v>
      </c>
      <c r="BI34" s="495"/>
      <c r="BJ34" s="495"/>
      <c r="BK34" s="495"/>
      <c r="BL34" s="495"/>
      <c r="BM34" s="495"/>
      <c r="BN34" s="495"/>
      <c r="BO34" s="495"/>
      <c r="BP34" s="495"/>
    </row>
    <row r="35" spans="4:68" hidden="1" outlineLevel="1">
      <c r="D35" s="810" t="s">
        <v>1078</v>
      </c>
      <c r="M35" s="812">
        <v>0</v>
      </c>
      <c r="O35" s="812">
        <v>0</v>
      </c>
      <c r="Q35" s="812">
        <v>0</v>
      </c>
      <c r="T35" s="812">
        <v>0</v>
      </c>
      <c r="Y35" s="812">
        <v>0</v>
      </c>
      <c r="AC35" s="812">
        <v>0</v>
      </c>
      <c r="AH35" s="812">
        <v>0</v>
      </c>
      <c r="AM35" s="812">
        <v>0</v>
      </c>
      <c r="AR35" s="812">
        <v>0</v>
      </c>
      <c r="AW35" s="812">
        <v>0</v>
      </c>
      <c r="BB35" s="812">
        <v>0</v>
      </c>
      <c r="BI35" s="495"/>
      <c r="BJ35" s="495"/>
      <c r="BK35" s="495"/>
      <c r="BL35" s="495"/>
      <c r="BM35" s="495"/>
      <c r="BN35" s="495"/>
      <c r="BO35" s="495"/>
      <c r="BP35" s="495"/>
    </row>
    <row r="36" spans="4:68" hidden="1" outlineLevel="1">
      <c r="D36" s="846" t="s">
        <v>1027</v>
      </c>
      <c r="L36" s="257"/>
      <c r="M36" s="503">
        <f>SUM(M34:M35)</f>
        <v>0</v>
      </c>
      <c r="N36" s="257"/>
      <c r="O36" s="503">
        <f>SUM(O34:O35)</f>
        <v>0</v>
      </c>
      <c r="P36" s="257"/>
      <c r="Q36" s="503">
        <f>SUM(Q34:Q35)</f>
        <v>0</v>
      </c>
      <c r="S36" s="257"/>
      <c r="T36" s="503">
        <f>SUM(T34:T35)</f>
        <v>0</v>
      </c>
      <c r="U36" s="1034"/>
      <c r="V36" s="530"/>
      <c r="W36" s="530"/>
      <c r="X36" s="257"/>
      <c r="Y36" s="503">
        <f>SUM(Y34:Y35)</f>
        <v>0</v>
      </c>
      <c r="Z36" s="257"/>
      <c r="AA36" s="257"/>
      <c r="AB36" s="257"/>
      <c r="AC36" s="503">
        <f>SUM(AC34:AC35)</f>
        <v>0</v>
      </c>
      <c r="AD36" s="1034"/>
      <c r="AE36" s="257"/>
      <c r="AF36" s="257"/>
      <c r="AG36" s="257"/>
      <c r="AH36" s="503">
        <f>SUM(AH34:AH35)</f>
        <v>0</v>
      </c>
      <c r="AI36" s="1034"/>
      <c r="AJ36" s="257"/>
      <c r="AK36" s="257"/>
      <c r="AL36" s="257"/>
      <c r="AM36" s="503">
        <f>SUM(AM34:AM35)</f>
        <v>0</v>
      </c>
      <c r="AN36" s="1034"/>
      <c r="AO36" s="257"/>
      <c r="AP36" s="257"/>
      <c r="AQ36" s="257"/>
      <c r="AR36" s="503">
        <f>SUM(AR34:AR35)</f>
        <v>0</v>
      </c>
      <c r="AS36" s="1034"/>
      <c r="AT36" s="257"/>
      <c r="AU36" s="257"/>
      <c r="AV36" s="257"/>
      <c r="AW36" s="503">
        <f>SUM(AW34:AW35)</f>
        <v>0</v>
      </c>
      <c r="AX36" s="1034"/>
      <c r="AY36" s="257"/>
      <c r="AZ36" s="257"/>
      <c r="BA36" s="257"/>
      <c r="BB36" s="503">
        <f>SUM(BB34:BB35)</f>
        <v>0</v>
      </c>
      <c r="BC36" s="1034"/>
      <c r="BD36" s="530"/>
      <c r="BE36" s="471"/>
      <c r="BI36" s="495"/>
      <c r="BJ36" s="495"/>
      <c r="BK36" s="495"/>
      <c r="BL36" s="495"/>
      <c r="BM36" s="495"/>
      <c r="BN36" s="495"/>
      <c r="BO36" s="495"/>
      <c r="BP36" s="495"/>
    </row>
    <row r="37" spans="4:68" hidden="1" outlineLevel="1">
      <c r="D37" s="846" t="s">
        <v>1077</v>
      </c>
      <c r="L37" s="257"/>
      <c r="M37" s="503">
        <v>0</v>
      </c>
      <c r="N37" s="257"/>
      <c r="O37" s="503">
        <v>0</v>
      </c>
      <c r="P37" s="257"/>
      <c r="Q37" s="503">
        <v>0</v>
      </c>
      <c r="S37" s="257"/>
      <c r="T37" s="503">
        <v>0</v>
      </c>
      <c r="U37" s="1034"/>
      <c r="V37" s="530"/>
      <c r="W37" s="530"/>
      <c r="X37" s="257"/>
      <c r="Y37" s="503">
        <v>0</v>
      </c>
      <c r="Z37" s="257"/>
      <c r="AA37" s="257"/>
      <c r="AB37" s="257"/>
      <c r="AC37" s="503">
        <v>0</v>
      </c>
      <c r="AD37" s="1034"/>
      <c r="AE37" s="257"/>
      <c r="AF37" s="257"/>
      <c r="AG37" s="257"/>
      <c r="AH37" s="503">
        <v>0</v>
      </c>
      <c r="AI37" s="1034"/>
      <c r="AJ37" s="257"/>
      <c r="AK37" s="257"/>
      <c r="AL37" s="257"/>
      <c r="AM37" s="503">
        <v>0</v>
      </c>
      <c r="AN37" s="1034"/>
      <c r="AO37" s="257"/>
      <c r="AP37" s="257"/>
      <c r="AQ37" s="257"/>
      <c r="AR37" s="503">
        <v>0</v>
      </c>
      <c r="AS37" s="1034"/>
      <c r="AT37" s="257"/>
      <c r="AU37" s="257"/>
      <c r="AV37" s="257"/>
      <c r="AW37" s="503">
        <v>0</v>
      </c>
      <c r="AX37" s="1034"/>
      <c r="AY37" s="257"/>
      <c r="AZ37" s="257"/>
      <c r="BA37" s="257"/>
      <c r="BB37" s="503">
        <v>0</v>
      </c>
      <c r="BC37" s="1034"/>
      <c r="BD37" s="530"/>
      <c r="BE37" s="471"/>
      <c r="BI37" s="495"/>
      <c r="BJ37" s="495"/>
      <c r="BK37" s="495"/>
      <c r="BL37" s="495"/>
      <c r="BM37" s="495"/>
      <c r="BN37" s="495"/>
      <c r="BO37" s="495"/>
      <c r="BP37" s="495"/>
    </row>
    <row r="38" spans="4:68" ht="15" hidden="1" outlineLevel="1" thickBot="1">
      <c r="D38" s="847" t="s">
        <v>1034</v>
      </c>
      <c r="L38" s="257"/>
      <c r="M38" s="811">
        <f>+M37+M36</f>
        <v>0</v>
      </c>
      <c r="N38" s="257"/>
      <c r="O38" s="811">
        <f>+O37+O36</f>
        <v>0</v>
      </c>
      <c r="P38" s="257"/>
      <c r="Q38" s="811">
        <f>+Q37+Q36</f>
        <v>0</v>
      </c>
      <c r="S38" s="257"/>
      <c r="T38" s="811">
        <f>+T37+T36</f>
        <v>0</v>
      </c>
      <c r="U38" s="1034"/>
      <c r="V38" s="530"/>
      <c r="W38" s="530"/>
      <c r="X38" s="257"/>
      <c r="Y38" s="811">
        <f>+Y37+Y36</f>
        <v>0</v>
      </c>
      <c r="Z38" s="257"/>
      <c r="AA38" s="257"/>
      <c r="AB38" s="257"/>
      <c r="AC38" s="811">
        <f>+AC37+AC36</f>
        <v>0</v>
      </c>
      <c r="AD38" s="1034"/>
      <c r="AE38" s="257"/>
      <c r="AF38" s="257"/>
      <c r="AG38" s="257"/>
      <c r="AH38" s="811">
        <f>+AH37+AH36</f>
        <v>0</v>
      </c>
      <c r="AI38" s="1034"/>
      <c r="AJ38" s="257"/>
      <c r="AK38" s="257"/>
      <c r="AL38" s="257"/>
      <c r="AM38" s="811">
        <f>+AM37+AM36</f>
        <v>0</v>
      </c>
      <c r="AN38" s="1034"/>
      <c r="AO38" s="257"/>
      <c r="AP38" s="257"/>
      <c r="AQ38" s="257"/>
      <c r="AR38" s="811">
        <f>+AR37+AR36</f>
        <v>0</v>
      </c>
      <c r="AS38" s="1034"/>
      <c r="AT38" s="257"/>
      <c r="AU38" s="257"/>
      <c r="AV38" s="257"/>
      <c r="AW38" s="811">
        <f>+AW37+AW36</f>
        <v>0</v>
      </c>
      <c r="AX38" s="1034"/>
      <c r="AY38" s="257"/>
      <c r="AZ38" s="257"/>
      <c r="BA38" s="257"/>
      <c r="BB38" s="811">
        <f>+BB37+BB36</f>
        <v>0</v>
      </c>
      <c r="BC38" s="1034"/>
      <c r="BD38" s="530"/>
      <c r="BE38" s="471"/>
      <c r="BI38" s="495"/>
      <c r="BJ38" s="495"/>
      <c r="BK38" s="495"/>
      <c r="BL38" s="495"/>
      <c r="BM38" s="495"/>
      <c r="BN38" s="495"/>
      <c r="BO38" s="495"/>
      <c r="BP38" s="495"/>
    </row>
    <row r="39" spans="4:68" hidden="1" outlineLevel="1">
      <c r="BI39" s="495"/>
      <c r="BJ39" s="495"/>
      <c r="BK39" s="495"/>
      <c r="BL39" s="495"/>
      <c r="BM39" s="495"/>
      <c r="BN39" s="495"/>
      <c r="BO39" s="495"/>
      <c r="BP39" s="495"/>
    </row>
    <row r="40" spans="4:68" hidden="1" outlineLevel="1">
      <c r="BI40" s="495"/>
      <c r="BJ40" s="495"/>
      <c r="BK40" s="495"/>
      <c r="BL40" s="495"/>
      <c r="BM40" s="495"/>
      <c r="BN40" s="495"/>
      <c r="BO40" s="495"/>
      <c r="BP40" s="495"/>
    </row>
    <row r="41" spans="4:68" ht="15.6" collapsed="1">
      <c r="D41" s="813" t="s">
        <v>436</v>
      </c>
      <c r="M41" s="814">
        <f>+M79</f>
        <v>0</v>
      </c>
      <c r="N41" s="813"/>
      <c r="O41" s="814">
        <f>+O79</f>
        <v>0</v>
      </c>
      <c r="P41" s="813"/>
      <c r="Q41" s="814">
        <f>+Q79</f>
        <v>0</v>
      </c>
      <c r="R41" s="813"/>
      <c r="S41" s="919"/>
      <c r="T41" s="814">
        <f>+T79</f>
        <v>155</v>
      </c>
      <c r="U41" s="1035"/>
      <c r="V41" s="954"/>
      <c r="W41" s="954"/>
      <c r="X41" s="813"/>
      <c r="Y41" s="814">
        <f>+Y79</f>
        <v>142</v>
      </c>
      <c r="Z41" s="813"/>
      <c r="AA41" s="813"/>
      <c r="AB41" s="919"/>
      <c r="AC41" s="814">
        <f>+AC79</f>
        <v>209</v>
      </c>
      <c r="AD41" s="1035"/>
      <c r="AE41" s="919"/>
      <c r="AF41" s="919"/>
      <c r="AG41" s="919"/>
      <c r="AH41" s="814">
        <f>+AH79</f>
        <v>254</v>
      </c>
      <c r="AI41" s="1035"/>
      <c r="AJ41" s="919"/>
      <c r="AK41" s="919"/>
      <c r="AL41" s="919"/>
      <c r="AM41" s="814">
        <f>+AM79</f>
        <v>264</v>
      </c>
      <c r="AN41" s="1035"/>
      <c r="AO41" s="919"/>
      <c r="AP41" s="919"/>
      <c r="AQ41" s="919"/>
      <c r="AR41" s="814">
        <f>+AR79</f>
        <v>264</v>
      </c>
      <c r="AS41" s="1035"/>
      <c r="AT41" s="919"/>
      <c r="AU41" s="919"/>
      <c r="AV41" s="919"/>
      <c r="AW41" s="814">
        <f>+AW79</f>
        <v>260</v>
      </c>
      <c r="AX41" s="1035"/>
      <c r="AY41" s="919"/>
      <c r="AZ41" s="919"/>
      <c r="BA41" s="919"/>
      <c r="BB41" s="814">
        <f>+BB79</f>
        <v>325</v>
      </c>
      <c r="BC41" s="1035"/>
      <c r="BD41" s="954"/>
      <c r="BE41" s="919"/>
      <c r="BI41" s="495"/>
      <c r="BJ41" s="495"/>
      <c r="BK41" s="495"/>
      <c r="BL41" s="495"/>
      <c r="BM41" s="495"/>
      <c r="BN41" s="495"/>
      <c r="BO41" s="495"/>
      <c r="BP41" s="495"/>
    </row>
    <row r="42" spans="4:68" ht="15.6">
      <c r="D42" s="604" t="s">
        <v>1084</v>
      </c>
      <c r="M42" s="814"/>
      <c r="N42" s="813"/>
      <c r="O42" s="814"/>
      <c r="P42" s="813"/>
      <c r="Q42" s="814"/>
      <c r="R42" s="813"/>
      <c r="S42" s="919"/>
      <c r="T42" s="814"/>
      <c r="U42" s="1035"/>
      <c r="V42" s="954"/>
      <c r="W42" s="954"/>
      <c r="X42" s="813"/>
      <c r="Y42" s="814"/>
      <c r="Z42" s="813"/>
      <c r="AA42" s="813"/>
      <c r="AB42" s="919"/>
      <c r="AC42" s="814"/>
      <c r="AD42" s="1035"/>
      <c r="AE42" s="919"/>
      <c r="AF42" s="919"/>
      <c r="AG42" s="919"/>
      <c r="AH42" s="814"/>
      <c r="AI42" s="1035"/>
      <c r="AJ42" s="919"/>
      <c r="AK42" s="919"/>
      <c r="AL42" s="919"/>
      <c r="AM42" s="814"/>
      <c r="AN42" s="1035"/>
      <c r="AO42" s="919"/>
      <c r="AP42" s="919"/>
      <c r="AQ42" s="919"/>
      <c r="AR42" s="814"/>
      <c r="AS42" s="1035"/>
      <c r="AT42" s="919"/>
      <c r="AU42" s="919"/>
      <c r="AV42" s="919"/>
      <c r="AW42" s="814"/>
      <c r="AX42" s="1035"/>
      <c r="AY42" s="919"/>
      <c r="AZ42" s="919"/>
      <c r="BA42" s="919"/>
      <c r="BB42" s="814"/>
      <c r="BC42" s="1035"/>
      <c r="BD42" s="954"/>
      <c r="BE42" s="919"/>
      <c r="BI42" s="495"/>
      <c r="BJ42" s="495"/>
      <c r="BK42" s="495"/>
      <c r="BL42" s="495"/>
      <c r="BM42" s="495"/>
      <c r="BN42" s="495"/>
      <c r="BO42" s="495"/>
      <c r="BP42" s="495"/>
    </row>
    <row r="43" spans="4:68" ht="15.6" hidden="1" outlineLevel="1">
      <c r="D43" s="848" t="s">
        <v>1080</v>
      </c>
      <c r="M43" s="814"/>
      <c r="N43" s="813"/>
      <c r="O43" s="814"/>
      <c r="P43" s="813"/>
      <c r="Q43" s="814"/>
      <c r="R43" s="813"/>
      <c r="S43" s="919"/>
      <c r="T43" s="814"/>
      <c r="U43" s="1035"/>
      <c r="V43" s="954"/>
      <c r="W43" s="954"/>
      <c r="X43" s="813"/>
      <c r="Y43" s="814"/>
      <c r="Z43" s="813"/>
      <c r="AA43" s="813"/>
      <c r="AB43" s="919"/>
      <c r="AC43" s="814"/>
      <c r="AD43" s="1035"/>
      <c r="AE43" s="919"/>
      <c r="AF43" s="919"/>
      <c r="AG43" s="919"/>
      <c r="AH43" s="814"/>
      <c r="AI43" s="1035"/>
      <c r="AJ43" s="919"/>
      <c r="AK43" s="919"/>
      <c r="AL43" s="919"/>
      <c r="AM43" s="814"/>
      <c r="AN43" s="1035"/>
      <c r="AO43" s="919"/>
      <c r="AP43" s="919"/>
      <c r="AQ43" s="919"/>
      <c r="AR43" s="814"/>
      <c r="AS43" s="1035"/>
      <c r="AT43" s="919"/>
      <c r="AU43" s="919"/>
      <c r="AV43" s="919"/>
      <c r="AW43" s="814"/>
      <c r="AX43" s="1035"/>
      <c r="AY43" s="919"/>
      <c r="AZ43" s="919"/>
      <c r="BA43" s="919"/>
      <c r="BB43" s="814"/>
      <c r="BC43" s="1035"/>
      <c r="BD43" s="954"/>
      <c r="BE43" s="919"/>
      <c r="BI43" s="495"/>
      <c r="BJ43" s="495"/>
      <c r="BK43" s="495"/>
      <c r="BL43" s="495"/>
      <c r="BM43" s="495"/>
      <c r="BN43" s="495"/>
      <c r="BO43" s="495"/>
      <c r="BP43" s="495"/>
    </row>
    <row r="44" spans="4:68" ht="15.6" hidden="1" outlineLevel="1">
      <c r="D44" s="848" t="s">
        <v>1081</v>
      </c>
      <c r="M44" s="814"/>
      <c r="N44" s="813"/>
      <c r="O44" s="814"/>
      <c r="P44" s="813"/>
      <c r="Q44" s="814"/>
      <c r="R44" s="813"/>
      <c r="S44" s="919"/>
      <c r="T44" s="814"/>
      <c r="U44" s="1035"/>
      <c r="V44" s="954"/>
      <c r="W44" s="954"/>
      <c r="X44" s="813"/>
      <c r="Y44" s="814"/>
      <c r="Z44" s="813"/>
      <c r="AA44" s="813"/>
      <c r="AB44" s="919"/>
      <c r="AC44" s="814"/>
      <c r="AD44" s="1035"/>
      <c r="AE44" s="919"/>
      <c r="AF44" s="919"/>
      <c r="AG44" s="919"/>
      <c r="AH44" s="814"/>
      <c r="AI44" s="1035"/>
      <c r="AJ44" s="919"/>
      <c r="AK44" s="919"/>
      <c r="AL44" s="919"/>
      <c r="AM44" s="814"/>
      <c r="AN44" s="1035"/>
      <c r="AO44" s="919"/>
      <c r="AP44" s="919"/>
      <c r="AQ44" s="919"/>
      <c r="AR44" s="814"/>
      <c r="AS44" s="1035"/>
      <c r="AT44" s="919"/>
      <c r="AU44" s="919"/>
      <c r="AV44" s="919"/>
      <c r="AW44" s="814"/>
      <c r="AX44" s="1035"/>
      <c r="AY44" s="919"/>
      <c r="AZ44" s="919"/>
      <c r="BA44" s="919"/>
      <c r="BB44" s="814"/>
      <c r="BC44" s="1035"/>
      <c r="BD44" s="954"/>
      <c r="BE44" s="919"/>
      <c r="BI44" s="495"/>
      <c r="BJ44" s="495"/>
      <c r="BK44" s="495"/>
      <c r="BL44" s="495"/>
      <c r="BM44" s="495"/>
      <c r="BN44" s="495"/>
      <c r="BO44" s="495"/>
      <c r="BP44" s="495"/>
    </row>
    <row r="45" spans="4:68" ht="15.6" hidden="1" outlineLevel="1">
      <c r="D45" s="848" t="s">
        <v>1082</v>
      </c>
      <c r="M45" s="814"/>
      <c r="N45" s="813"/>
      <c r="O45" s="814"/>
      <c r="P45" s="813"/>
      <c r="Q45" s="814"/>
      <c r="R45" s="813"/>
      <c r="S45" s="919"/>
      <c r="T45" s="814"/>
      <c r="U45" s="1035"/>
      <c r="V45" s="954"/>
      <c r="W45" s="954"/>
      <c r="X45" s="813"/>
      <c r="Y45" s="814"/>
      <c r="Z45" s="813"/>
      <c r="AA45" s="813"/>
      <c r="AB45" s="919"/>
      <c r="AC45" s="814"/>
      <c r="AD45" s="1035"/>
      <c r="AE45" s="919"/>
      <c r="AF45" s="919"/>
      <c r="AG45" s="919"/>
      <c r="AH45" s="814"/>
      <c r="AI45" s="1035"/>
      <c r="AJ45" s="919"/>
      <c r="AK45" s="919"/>
      <c r="AL45" s="919"/>
      <c r="AM45" s="814"/>
      <c r="AN45" s="1035"/>
      <c r="AO45" s="919"/>
      <c r="AP45" s="919"/>
      <c r="AQ45" s="919"/>
      <c r="AR45" s="814"/>
      <c r="AS45" s="1035"/>
      <c r="AT45" s="919"/>
      <c r="AU45" s="919"/>
      <c r="AV45" s="919"/>
      <c r="AW45" s="814"/>
      <c r="AX45" s="1035"/>
      <c r="AY45" s="919"/>
      <c r="AZ45" s="919"/>
      <c r="BA45" s="919"/>
      <c r="BB45" s="814"/>
      <c r="BC45" s="1035"/>
      <c r="BD45" s="954"/>
      <c r="BE45" s="919"/>
      <c r="BI45" s="495"/>
      <c r="BJ45" s="495"/>
      <c r="BK45" s="495"/>
      <c r="BL45" s="495"/>
      <c r="BM45" s="495"/>
      <c r="BN45" s="495"/>
      <c r="BO45" s="495"/>
      <c r="BP45" s="495"/>
    </row>
    <row r="46" spans="4:68" ht="15.6" hidden="1" outlineLevel="1">
      <c r="D46" s="848" t="s">
        <v>1083</v>
      </c>
      <c r="M46" s="814"/>
      <c r="N46" s="813"/>
      <c r="O46" s="814"/>
      <c r="P46" s="813"/>
      <c r="Q46" s="814"/>
      <c r="R46" s="813"/>
      <c r="S46" s="919"/>
      <c r="T46" s="814"/>
      <c r="U46" s="1035"/>
      <c r="V46" s="954"/>
      <c r="W46" s="954"/>
      <c r="X46" s="813"/>
      <c r="Y46" s="814"/>
      <c r="Z46" s="813"/>
      <c r="AA46" s="813"/>
      <c r="AB46" s="919"/>
      <c r="AC46" s="814"/>
      <c r="AD46" s="1035"/>
      <c r="AE46" s="919"/>
      <c r="AF46" s="919"/>
      <c r="AG46" s="919"/>
      <c r="AH46" s="814"/>
      <c r="AI46" s="1035"/>
      <c r="AJ46" s="919"/>
      <c r="AK46" s="919"/>
      <c r="AL46" s="919"/>
      <c r="AM46" s="814"/>
      <c r="AN46" s="1035"/>
      <c r="AO46" s="919"/>
      <c r="AP46" s="919"/>
      <c r="AQ46" s="919"/>
      <c r="AR46" s="814"/>
      <c r="AS46" s="1035"/>
      <c r="AT46" s="919"/>
      <c r="AU46" s="919"/>
      <c r="AV46" s="919"/>
      <c r="AW46" s="814"/>
      <c r="AX46" s="1035"/>
      <c r="AY46" s="919"/>
      <c r="AZ46" s="919"/>
      <c r="BA46" s="919"/>
      <c r="BB46" s="814"/>
      <c r="BC46" s="1035"/>
      <c r="BD46" s="954"/>
      <c r="BE46" s="919"/>
      <c r="BI46" s="495"/>
      <c r="BJ46" s="495"/>
      <c r="BK46" s="495"/>
      <c r="BL46" s="495"/>
      <c r="BM46" s="495"/>
      <c r="BN46" s="495"/>
      <c r="BO46" s="495"/>
      <c r="BP46" s="495"/>
    </row>
    <row r="47" spans="4:68" collapsed="1">
      <c r="D47" s="847" t="s">
        <v>458</v>
      </c>
      <c r="L47" s="257"/>
      <c r="M47" s="257">
        <f>+M281</f>
        <v>0</v>
      </c>
      <c r="N47" s="257"/>
      <c r="O47" s="257">
        <f>+O281</f>
        <v>0</v>
      </c>
      <c r="P47" s="257"/>
      <c r="Q47" s="257">
        <f>+Q281</f>
        <v>0</v>
      </c>
      <c r="S47" s="257"/>
      <c r="T47" s="257">
        <f>+T281</f>
        <v>1727181.5</v>
      </c>
      <c r="U47" s="1036"/>
      <c r="V47" s="257"/>
      <c r="W47" s="257"/>
      <c r="X47" s="257"/>
      <c r="Y47" s="257">
        <f>+Y281</f>
        <v>1818203</v>
      </c>
      <c r="Z47" s="257"/>
      <c r="AA47" s="257"/>
      <c r="AB47" s="257"/>
      <c r="AC47" s="257">
        <f>+AC281</f>
        <v>2476331</v>
      </c>
      <c r="AD47" s="1036"/>
      <c r="AE47" s="257"/>
      <c r="AF47" s="257"/>
      <c r="AG47" s="257"/>
      <c r="AH47" s="257">
        <f>+AH281</f>
        <v>2912463</v>
      </c>
      <c r="AI47" s="1036"/>
      <c r="AJ47" s="257"/>
      <c r="AK47" s="257"/>
      <c r="AL47" s="257"/>
      <c r="AM47" s="257">
        <f>+AM281</f>
        <v>3183895</v>
      </c>
      <c r="AN47" s="1036"/>
      <c r="AO47" s="257"/>
      <c r="AP47" s="257"/>
      <c r="AQ47" s="257"/>
      <c r="AR47" s="257">
        <f>+AR281</f>
        <v>3306042</v>
      </c>
      <c r="AS47" s="1036"/>
      <c r="AT47" s="257"/>
      <c r="AU47" s="257"/>
      <c r="AV47" s="257"/>
      <c r="AW47" s="257">
        <f>+AW281</f>
        <v>3426398</v>
      </c>
      <c r="AX47" s="1036"/>
      <c r="AY47" s="257"/>
      <c r="AZ47" s="257"/>
      <c r="BA47" s="257"/>
      <c r="BB47" s="257">
        <f>+BB281</f>
        <v>3996682</v>
      </c>
      <c r="BC47" s="1036"/>
      <c r="BD47" s="257"/>
      <c r="BE47" s="471"/>
      <c r="BI47" s="495"/>
      <c r="BJ47" s="495"/>
      <c r="BK47" s="495"/>
      <c r="BL47" s="495"/>
      <c r="BM47" s="495"/>
      <c r="BN47" s="495"/>
      <c r="BO47" s="495"/>
      <c r="BP47" s="495"/>
    </row>
    <row r="48" spans="4:68">
      <c r="D48" s="847" t="s">
        <v>459</v>
      </c>
      <c r="L48" s="257"/>
      <c r="M48" s="502">
        <f>ROUND(M233*M18,0)</f>
        <v>0</v>
      </c>
      <c r="N48" s="257"/>
      <c r="O48" s="502">
        <f>ROUND(O233*O18,0)</f>
        <v>0</v>
      </c>
      <c r="P48" s="257"/>
      <c r="Q48" s="502">
        <f>ROUND(Q233*Q18,0)</f>
        <v>0</v>
      </c>
      <c r="S48" s="257"/>
      <c r="T48" s="502">
        <f>ROUND(T233*T18,0)</f>
        <v>0</v>
      </c>
      <c r="U48" s="1037"/>
      <c r="V48" s="502"/>
      <c r="W48" s="502"/>
      <c r="X48" s="257"/>
      <c r="Y48" s="502">
        <f>ROUND(Y233*Y18,0)</f>
        <v>0</v>
      </c>
      <c r="Z48" s="257"/>
      <c r="AA48" s="257"/>
      <c r="AB48" s="257"/>
      <c r="AC48" s="502">
        <f>ROUND(AC233*AC18,0)</f>
        <v>0</v>
      </c>
      <c r="AD48" s="1037"/>
      <c r="AE48" s="257"/>
      <c r="AF48" s="257"/>
      <c r="AG48" s="257"/>
      <c r="AH48" s="502">
        <f>ROUND(AH233*AH18,0)</f>
        <v>0</v>
      </c>
      <c r="AI48" s="1037"/>
      <c r="AJ48" s="257"/>
      <c r="AK48" s="257"/>
      <c r="AL48" s="257"/>
      <c r="AM48" s="502">
        <f>ROUND(AM233*AM18,0)</f>
        <v>0</v>
      </c>
      <c r="AN48" s="1037"/>
      <c r="AO48" s="257"/>
      <c r="AP48" s="257"/>
      <c r="AQ48" s="257"/>
      <c r="AR48" s="502">
        <f>ROUND(AR233*AR18,0)</f>
        <v>0</v>
      </c>
      <c r="AS48" s="1037"/>
      <c r="AT48" s="257"/>
      <c r="AU48" s="257"/>
      <c r="AV48" s="257"/>
      <c r="AW48" s="502">
        <f>ROUND(AW233*AW18,0)</f>
        <v>0</v>
      </c>
      <c r="AX48" s="1037"/>
      <c r="AY48" s="257"/>
      <c r="AZ48" s="257"/>
      <c r="BA48" s="257"/>
      <c r="BB48" s="502">
        <f>ROUND(BB233*BB18,0)</f>
        <v>0</v>
      </c>
      <c r="BC48" s="1037"/>
      <c r="BD48" s="502"/>
      <c r="BE48" s="471"/>
      <c r="BI48" s="495"/>
      <c r="BJ48" s="495"/>
      <c r="BK48" s="495"/>
      <c r="BL48" s="495"/>
      <c r="BM48" s="495"/>
      <c r="BN48" s="495"/>
      <c r="BO48" s="495"/>
      <c r="BP48" s="495"/>
    </row>
    <row r="49" spans="4:68">
      <c r="D49" s="604" t="s">
        <v>1085</v>
      </c>
      <c r="L49" s="257"/>
      <c r="M49" s="503">
        <f>+M48+M47</f>
        <v>0</v>
      </c>
      <c r="N49" s="257"/>
      <c r="O49" s="503">
        <f>+O48+O47</f>
        <v>0</v>
      </c>
      <c r="P49" s="257"/>
      <c r="Q49" s="503">
        <f>+Q48+Q47</f>
        <v>0</v>
      </c>
      <c r="S49" s="257"/>
      <c r="T49" s="503">
        <f>+T48+T47</f>
        <v>1727181.5</v>
      </c>
      <c r="U49" s="1034"/>
      <c r="V49" s="530"/>
      <c r="W49" s="530"/>
      <c r="X49" s="257"/>
      <c r="Y49" s="503">
        <f>+Y48+Y47</f>
        <v>1818203</v>
      </c>
      <c r="Z49" s="257"/>
      <c r="AA49" s="257"/>
      <c r="AB49" s="257"/>
      <c r="AC49" s="503">
        <f>+AC48+AC47</f>
        <v>2476331</v>
      </c>
      <c r="AD49" s="1034"/>
      <c r="AE49" s="257"/>
      <c r="AF49" s="257"/>
      <c r="AG49" s="257"/>
      <c r="AH49" s="503">
        <f>+AH48+AH47</f>
        <v>2912463</v>
      </c>
      <c r="AI49" s="1034"/>
      <c r="AJ49" s="257"/>
      <c r="AK49" s="257"/>
      <c r="AL49" s="257"/>
      <c r="AM49" s="503">
        <f>+AM48+AM47</f>
        <v>3183895</v>
      </c>
      <c r="AN49" s="1034"/>
      <c r="AO49" s="257"/>
      <c r="AP49" s="257"/>
      <c r="AQ49" s="257"/>
      <c r="AR49" s="503">
        <f>+AR48+AR47</f>
        <v>3306042</v>
      </c>
      <c r="AS49" s="1034"/>
      <c r="AT49" s="257"/>
      <c r="AU49" s="257"/>
      <c r="AV49" s="257"/>
      <c r="AW49" s="503">
        <f>+AW48+AW47</f>
        <v>3426398</v>
      </c>
      <c r="AX49" s="1034"/>
      <c r="AY49" s="257"/>
      <c r="AZ49" s="257"/>
      <c r="BA49" s="257"/>
      <c r="BB49" s="503">
        <f>+BB48+BB47</f>
        <v>3996682</v>
      </c>
      <c r="BC49" s="1034"/>
      <c r="BD49" s="530"/>
      <c r="BE49" s="471"/>
      <c r="BI49" s="495"/>
      <c r="BJ49" s="495"/>
      <c r="BK49" s="495"/>
      <c r="BL49" s="495"/>
      <c r="BM49" s="495"/>
      <c r="BN49" s="495"/>
      <c r="BO49" s="495"/>
      <c r="BP49" s="495"/>
    </row>
    <row r="50" spans="4:68">
      <c r="D50" s="604"/>
      <c r="L50" s="256"/>
      <c r="M50" s="257"/>
      <c r="N50" s="256"/>
      <c r="O50" s="257"/>
      <c r="P50" s="256"/>
      <c r="Q50" s="257"/>
      <c r="S50" s="256"/>
      <c r="T50" s="257"/>
      <c r="U50" s="1036"/>
      <c r="V50" s="257"/>
      <c r="W50" s="257"/>
      <c r="X50" s="256"/>
      <c r="Y50" s="257"/>
      <c r="Z50" s="471"/>
      <c r="AA50" s="471"/>
      <c r="AB50" s="256"/>
      <c r="AC50" s="257"/>
      <c r="AD50" s="1036"/>
      <c r="AE50" s="471"/>
      <c r="AF50" s="257"/>
      <c r="AG50" s="256"/>
      <c r="AH50" s="257"/>
      <c r="AI50" s="1036"/>
      <c r="AJ50" s="471"/>
      <c r="AK50" s="471"/>
      <c r="AL50" s="256"/>
      <c r="AM50" s="257"/>
      <c r="AN50" s="1036"/>
      <c r="AO50" s="471"/>
      <c r="AP50" s="471"/>
      <c r="AQ50" s="256"/>
      <c r="AR50" s="257"/>
      <c r="AS50" s="1036"/>
      <c r="AT50" s="471"/>
      <c r="AU50" s="471"/>
      <c r="AV50" s="256"/>
      <c r="AW50" s="257"/>
      <c r="AX50" s="1036"/>
      <c r="AY50" s="471"/>
      <c r="AZ50" s="471"/>
      <c r="BA50" s="256"/>
      <c r="BB50" s="257"/>
      <c r="BC50" s="1036"/>
      <c r="BD50" s="257"/>
      <c r="BE50" s="471"/>
      <c r="BI50" s="495"/>
      <c r="BJ50" s="495"/>
      <c r="BK50" s="495"/>
      <c r="BL50" s="495"/>
      <c r="BM50" s="495"/>
      <c r="BN50" s="495"/>
      <c r="BO50" s="495"/>
      <c r="BP50" s="495"/>
    </row>
    <row r="51" spans="4:68">
      <c r="D51" s="604" t="s">
        <v>437</v>
      </c>
      <c r="L51" s="493"/>
      <c r="M51" s="257">
        <f>+M53-M52</f>
        <v>0</v>
      </c>
      <c r="N51" s="493"/>
      <c r="O51" s="257">
        <f>+O53-O52</f>
        <v>0</v>
      </c>
      <c r="P51" s="493"/>
      <c r="Q51" s="257">
        <f>+Q53-Q52</f>
        <v>0</v>
      </c>
      <c r="S51" s="493"/>
      <c r="T51" s="257">
        <f>+T53-T52</f>
        <v>5000</v>
      </c>
      <c r="U51" s="1036"/>
      <c r="V51" s="257"/>
      <c r="W51" s="257"/>
      <c r="X51" s="493">
        <f>IFERROR(+T51/T53,0)</f>
        <v>1</v>
      </c>
      <c r="Y51" s="257">
        <f>+Y53-Y52</f>
        <v>1524897.44</v>
      </c>
      <c r="Z51" s="493"/>
      <c r="AA51" s="493">
        <f>IFERROR(+Y51/Y53,0)</f>
        <v>0.88349505180526111</v>
      </c>
      <c r="AB51" s="256"/>
      <c r="AC51" s="257">
        <f>+AC53-AC52</f>
        <v>2103825</v>
      </c>
      <c r="AD51" s="1036"/>
      <c r="AE51" s="493"/>
      <c r="AF51" s="493">
        <f>IFERROR(+AC51/AC53,0)</f>
        <v>0.88574049686428513</v>
      </c>
      <c r="AG51" s="256"/>
      <c r="AH51" s="257">
        <f>+AH53-AH52</f>
        <v>2285337.04</v>
      </c>
      <c r="AI51" s="1036"/>
      <c r="AJ51" s="493"/>
      <c r="AK51" s="493">
        <f>IFERROR(+AH51/AH53,0)</f>
        <v>0.86735554219405109</v>
      </c>
      <c r="AL51" s="256"/>
      <c r="AM51" s="257">
        <f>+AM53-AM52</f>
        <v>2423913.2111999998</v>
      </c>
      <c r="AN51" s="1036"/>
      <c r="AO51" s="493"/>
      <c r="AP51" s="493">
        <f>IFERROR(+AM51/AM53,0)</f>
        <v>0.86383831273114864</v>
      </c>
      <c r="AQ51" s="256"/>
      <c r="AR51" s="257">
        <f>+AR53-AR52</f>
        <v>2531858.8275359999</v>
      </c>
      <c r="AS51" s="1036"/>
      <c r="AT51" s="493"/>
      <c r="AU51" s="493">
        <f>IFERROR(+AR51/AR53,0)</f>
        <v>0.86453350036635646</v>
      </c>
      <c r="AV51" s="256"/>
      <c r="AW51" s="257">
        <f>+AW53-AW52</f>
        <v>2644328.5023620804</v>
      </c>
      <c r="AX51" s="1036"/>
      <c r="AY51" s="493"/>
      <c r="AZ51" s="493">
        <f>IFERROR(+AW51/AW53,0)</f>
        <v>0.86543332656995586</v>
      </c>
      <c r="BA51" s="256"/>
      <c r="BB51" s="257">
        <f>+BB53-BB52</f>
        <v>2760422.0474329423</v>
      </c>
      <c r="BC51" s="1036"/>
      <c r="BD51" s="257"/>
      <c r="BE51" s="493">
        <f>IFERROR(+BB51/BB53,0)</f>
        <v>0.85197579000069867</v>
      </c>
      <c r="BI51" s="495"/>
      <c r="BJ51" s="495"/>
      <c r="BK51" s="495"/>
      <c r="BL51" s="495"/>
      <c r="BM51" s="495"/>
      <c r="BN51" s="495"/>
      <c r="BO51" s="495"/>
      <c r="BP51" s="495"/>
    </row>
    <row r="52" spans="4:68">
      <c r="D52" s="604" t="s">
        <v>1198</v>
      </c>
      <c r="L52" s="493"/>
      <c r="M52" s="257">
        <f>+AT55</f>
        <v>0</v>
      </c>
      <c r="N52" s="493"/>
      <c r="O52" s="257">
        <f>+AV55</f>
        <v>0</v>
      </c>
      <c r="P52" s="493"/>
      <c r="Q52" s="257">
        <f>+AY55</f>
        <v>0</v>
      </c>
      <c r="S52" s="493"/>
      <c r="T52" s="257">
        <f>+T403</f>
        <v>0</v>
      </c>
      <c r="U52" s="1036"/>
      <c r="V52" s="257"/>
      <c r="W52" s="257"/>
      <c r="X52" s="493">
        <f>IFERROR(+T52/T53,0)</f>
        <v>0</v>
      </c>
      <c r="Y52" s="257">
        <f>Y233*0.12</f>
        <v>201085.56</v>
      </c>
      <c r="Z52" s="493"/>
      <c r="AA52" s="493">
        <f>IFERROR(+Y52/Y53,0)</f>
        <v>0.11650494819473887</v>
      </c>
      <c r="AB52" s="256"/>
      <c r="AC52" s="257">
        <f>+AC403</f>
        <v>271391</v>
      </c>
      <c r="AD52" s="1036"/>
      <c r="AE52" s="493"/>
      <c r="AF52" s="493">
        <f>IFERROR(+AC52/AC53,0)</f>
        <v>0.11425950313571481</v>
      </c>
      <c r="AG52" s="256"/>
      <c r="AH52" s="257">
        <f>+AH403</f>
        <v>349496</v>
      </c>
      <c r="AI52" s="1036"/>
      <c r="AJ52" s="493"/>
      <c r="AK52" s="493">
        <f>IFERROR(+AH52/AH53,0)</f>
        <v>0.13264445780594888</v>
      </c>
      <c r="AL52" s="256"/>
      <c r="AM52" s="257">
        <f>+AM403</f>
        <v>382067</v>
      </c>
      <c r="AN52" s="1036"/>
      <c r="AO52" s="493"/>
      <c r="AP52" s="493">
        <f>IFERROR(+AM52/AM53,0)</f>
        <v>0.13616168726885142</v>
      </c>
      <c r="AQ52" s="256"/>
      <c r="AR52" s="257">
        <f>+AR403</f>
        <v>396725</v>
      </c>
      <c r="AS52" s="1036"/>
      <c r="AT52" s="493"/>
      <c r="AU52" s="493">
        <f>IFERROR(+AR52/AR53,0)</f>
        <v>0.13546649963364357</v>
      </c>
      <c r="AV52" s="256"/>
      <c r="AW52" s="257">
        <f>+AW403</f>
        <v>411168</v>
      </c>
      <c r="AX52" s="1036"/>
      <c r="AY52" s="493"/>
      <c r="AZ52" s="493">
        <f>IFERROR(+AW52/AW53,0)</f>
        <v>0.13456667343004408</v>
      </c>
      <c r="BA52" s="256"/>
      <c r="BB52" s="257">
        <f>+BB403</f>
        <v>479602</v>
      </c>
      <c r="BC52" s="1036"/>
      <c r="BD52" s="257"/>
      <c r="BE52" s="493">
        <f>IFERROR(+BB52/BB53,0)</f>
        <v>0.1480242099993013</v>
      </c>
      <c r="BI52" s="495"/>
      <c r="BJ52" s="495"/>
      <c r="BK52" s="495"/>
      <c r="BL52" s="495"/>
      <c r="BM52" s="495"/>
      <c r="BN52" s="495"/>
      <c r="BO52" s="495"/>
      <c r="BP52" s="495"/>
    </row>
    <row r="53" spans="4:68">
      <c r="D53" s="604" t="s">
        <v>350</v>
      </c>
      <c r="L53" s="256"/>
      <c r="M53" s="257">
        <f>+M285</f>
        <v>0</v>
      </c>
      <c r="N53" s="256"/>
      <c r="O53" s="257">
        <f>+O285</f>
        <v>0</v>
      </c>
      <c r="P53" s="256"/>
      <c r="Q53" s="257">
        <f>+Q285</f>
        <v>0</v>
      </c>
      <c r="S53" s="256"/>
      <c r="T53" s="257">
        <f>+T285</f>
        <v>5000</v>
      </c>
      <c r="U53" s="1036"/>
      <c r="V53" s="257"/>
      <c r="W53" s="257"/>
      <c r="X53" s="256"/>
      <c r="Y53" s="257">
        <f>+Y285</f>
        <v>1725983</v>
      </c>
      <c r="Z53" s="471"/>
      <c r="AA53" s="471"/>
      <c r="AB53" s="256"/>
      <c r="AC53" s="257">
        <f>+AC285</f>
        <v>2375216</v>
      </c>
      <c r="AD53" s="1036"/>
      <c r="AE53" s="471"/>
      <c r="AF53" s="257"/>
      <c r="AG53" s="256"/>
      <c r="AH53" s="257">
        <f>+AH285</f>
        <v>2634833.04</v>
      </c>
      <c r="AI53" s="1036"/>
      <c r="AJ53" s="471"/>
      <c r="AK53" s="471"/>
      <c r="AL53" s="256"/>
      <c r="AM53" s="257">
        <f>+AM285</f>
        <v>2805980.2111999998</v>
      </c>
      <c r="AN53" s="1036"/>
      <c r="AO53" s="471"/>
      <c r="AP53" s="471"/>
      <c r="AQ53" s="256"/>
      <c r="AR53" s="257">
        <f>+AR285</f>
        <v>2928583.8275359999</v>
      </c>
      <c r="AS53" s="1036"/>
      <c r="AT53" s="471"/>
      <c r="AU53" s="471"/>
      <c r="AV53" s="256"/>
      <c r="AW53" s="257">
        <f>+AW285</f>
        <v>3055496.5023620804</v>
      </c>
      <c r="AX53" s="1036"/>
      <c r="AY53" s="471"/>
      <c r="AZ53" s="471"/>
      <c r="BA53" s="256"/>
      <c r="BB53" s="257">
        <f>+BB285</f>
        <v>3240024.0474329423</v>
      </c>
      <c r="BC53" s="1036"/>
      <c r="BD53" s="257"/>
      <c r="BE53" s="471"/>
      <c r="BI53" s="495"/>
      <c r="BJ53" s="495"/>
      <c r="BK53" s="495"/>
      <c r="BL53" s="495"/>
      <c r="BM53" s="495"/>
      <c r="BN53" s="495"/>
      <c r="BO53" s="495"/>
      <c r="BP53" s="495"/>
    </row>
    <row r="54" spans="4:68">
      <c r="D54" s="604" t="s">
        <v>351</v>
      </c>
      <c r="L54" s="256"/>
      <c r="M54" s="258">
        <f>+M49-M53</f>
        <v>0</v>
      </c>
      <c r="N54" s="256"/>
      <c r="O54" s="258">
        <f>+O49-O53</f>
        <v>0</v>
      </c>
      <c r="P54" s="256"/>
      <c r="Q54" s="258">
        <f>+Q49-Q53</f>
        <v>0</v>
      </c>
      <c r="S54" s="256"/>
      <c r="T54" s="258">
        <f>+T49-T53</f>
        <v>1722181.5</v>
      </c>
      <c r="U54" s="1034"/>
      <c r="V54" s="530"/>
      <c r="W54" s="530"/>
      <c r="X54" s="256"/>
      <c r="Y54" s="258">
        <f>+Y49-Y53</f>
        <v>92220</v>
      </c>
      <c r="Z54" s="471"/>
      <c r="AA54" s="471"/>
      <c r="AB54" s="256"/>
      <c r="AC54" s="258">
        <f>+AC49-AC53</f>
        <v>101115</v>
      </c>
      <c r="AD54" s="1034"/>
      <c r="AE54" s="471"/>
      <c r="AF54" s="257"/>
      <c r="AG54" s="256"/>
      <c r="AH54" s="258">
        <f>+AH49-AH53</f>
        <v>277629.95999999996</v>
      </c>
      <c r="AI54" s="1034"/>
      <c r="AJ54" s="471"/>
      <c r="AK54" s="471"/>
      <c r="AL54" s="256"/>
      <c r="AM54" s="258">
        <f>+AM49-AM53</f>
        <v>377914.78880000021</v>
      </c>
      <c r="AN54" s="1034"/>
      <c r="AO54" s="471"/>
      <c r="AP54" s="471"/>
      <c r="AQ54" s="256"/>
      <c r="AR54" s="258">
        <f>+AR49-AR53</f>
        <v>377458.17246400006</v>
      </c>
      <c r="AS54" s="1034"/>
      <c r="AT54" s="471"/>
      <c r="AU54" s="471"/>
      <c r="AV54" s="256"/>
      <c r="AW54" s="258">
        <f>+AW49-AW53</f>
        <v>370901.49763791962</v>
      </c>
      <c r="AX54" s="1034"/>
      <c r="AY54" s="471"/>
      <c r="AZ54" s="471"/>
      <c r="BA54" s="256"/>
      <c r="BB54" s="258">
        <f>+BB49-BB53</f>
        <v>756657.95256705768</v>
      </c>
      <c r="BC54" s="1034"/>
      <c r="BD54" s="530"/>
      <c r="BE54" s="471"/>
      <c r="BI54" s="495"/>
      <c r="BJ54" s="495"/>
      <c r="BK54" s="495"/>
      <c r="BL54" s="495"/>
      <c r="BM54" s="495"/>
      <c r="BN54" s="495"/>
      <c r="BO54" s="495"/>
      <c r="BP54" s="495"/>
    </row>
    <row r="55" spans="4:68">
      <c r="D55" s="604" t="s">
        <v>425</v>
      </c>
      <c r="L55" s="256"/>
      <c r="M55" s="257">
        <v>0</v>
      </c>
      <c r="N55" s="256"/>
      <c r="O55" s="257">
        <v>0</v>
      </c>
      <c r="P55" s="256"/>
      <c r="Q55" s="257">
        <v>0</v>
      </c>
      <c r="S55" s="256"/>
      <c r="T55" s="257">
        <f>+Q57</f>
        <v>0</v>
      </c>
      <c r="U55" s="1036"/>
      <c r="V55" s="257"/>
      <c r="W55" s="257"/>
      <c r="X55" s="256"/>
      <c r="Y55" s="257">
        <f>+V57</f>
        <v>0</v>
      </c>
      <c r="Z55" s="471"/>
      <c r="AA55" s="471"/>
      <c r="AB55" s="256"/>
      <c r="AC55" s="257">
        <f>+T57</f>
        <v>1722181.5</v>
      </c>
      <c r="AD55" s="1036"/>
      <c r="AE55" s="471"/>
      <c r="AF55" s="257"/>
      <c r="AG55" s="256"/>
      <c r="AH55" s="257">
        <f>+AC57</f>
        <v>1823296.5</v>
      </c>
      <c r="AI55" s="1036"/>
      <c r="AJ55" s="471"/>
      <c r="AK55" s="471"/>
      <c r="AL55" s="256"/>
      <c r="AM55" s="257">
        <f>+AH57</f>
        <v>2100926.46</v>
      </c>
      <c r="AN55" s="1036"/>
      <c r="AO55" s="471"/>
      <c r="AP55" s="471"/>
      <c r="AQ55" s="256"/>
      <c r="AR55" s="257">
        <f>+AM57</f>
        <v>2478841.2488000002</v>
      </c>
      <c r="AS55" s="1036"/>
      <c r="AT55" s="471"/>
      <c r="AU55" s="471"/>
      <c r="AV55" s="256"/>
      <c r="AW55" s="257">
        <f>+AR57</f>
        <v>2856299.4212640002</v>
      </c>
      <c r="AX55" s="1036"/>
      <c r="AY55" s="471"/>
      <c r="AZ55" s="471"/>
      <c r="BA55" s="256"/>
      <c r="BB55" s="257">
        <f>+AW57</f>
        <v>3227200.9189019199</v>
      </c>
      <c r="BC55" s="1036"/>
      <c r="BD55" s="257"/>
      <c r="BE55" s="471"/>
      <c r="BI55" s="495"/>
      <c r="BJ55" s="495"/>
      <c r="BK55" s="495"/>
      <c r="BL55" s="495"/>
      <c r="BM55" s="495"/>
      <c r="BN55" s="495"/>
      <c r="BO55" s="495"/>
      <c r="BP55" s="495"/>
    </row>
    <row r="56" spans="4:68">
      <c r="D56" s="849" t="s">
        <v>426</v>
      </c>
      <c r="L56" s="554"/>
      <c r="M56" s="555">
        <f>+M54</f>
        <v>0</v>
      </c>
      <c r="N56" s="554"/>
      <c r="O56" s="555">
        <f>+O54</f>
        <v>0</v>
      </c>
      <c r="P56" s="554"/>
      <c r="Q56" s="555">
        <f>+Q54</f>
        <v>0</v>
      </c>
      <c r="S56" s="554"/>
      <c r="T56" s="555">
        <f>+T54</f>
        <v>1722181.5</v>
      </c>
      <c r="U56" s="1038"/>
      <c r="V56" s="555"/>
      <c r="W56" s="555"/>
      <c r="X56" s="554"/>
      <c r="Y56" s="555">
        <f>+Y54</f>
        <v>92220</v>
      </c>
      <c r="Z56" s="556"/>
      <c r="AA56" s="556"/>
      <c r="AB56" s="554"/>
      <c r="AC56" s="555">
        <f>+AC54</f>
        <v>101115</v>
      </c>
      <c r="AD56" s="1038"/>
      <c r="AE56" s="556"/>
      <c r="AF56" s="555"/>
      <c r="AG56" s="554"/>
      <c r="AH56" s="555">
        <f>+AH54</f>
        <v>277629.95999999996</v>
      </c>
      <c r="AI56" s="1038"/>
      <c r="AJ56" s="556"/>
      <c r="AK56" s="556"/>
      <c r="AL56" s="554"/>
      <c r="AM56" s="555">
        <f>+AM54</f>
        <v>377914.78880000021</v>
      </c>
      <c r="AN56" s="1038"/>
      <c r="AO56" s="556"/>
      <c r="AP56" s="556"/>
      <c r="AQ56" s="554"/>
      <c r="AR56" s="555">
        <f>+AR54</f>
        <v>377458.17246400006</v>
      </c>
      <c r="AS56" s="1038"/>
      <c r="AT56" s="556"/>
      <c r="AU56" s="556"/>
      <c r="AV56" s="554"/>
      <c r="AW56" s="555">
        <f>+AW54</f>
        <v>370901.49763791962</v>
      </c>
      <c r="AX56" s="1038"/>
      <c r="AY56" s="556"/>
      <c r="AZ56" s="556"/>
      <c r="BA56" s="554"/>
      <c r="BB56" s="555">
        <f>+BB54</f>
        <v>756657.95256705768</v>
      </c>
      <c r="BC56" s="1038"/>
      <c r="BD56" s="555"/>
      <c r="BE56" s="556"/>
      <c r="BI56" s="495"/>
      <c r="BJ56" s="495"/>
      <c r="BK56" s="495"/>
      <c r="BL56" s="495"/>
      <c r="BM56" s="495"/>
      <c r="BN56" s="495"/>
      <c r="BO56" s="495"/>
      <c r="BP56" s="495"/>
    </row>
    <row r="57" spans="4:68">
      <c r="D57" s="604" t="s">
        <v>427</v>
      </c>
      <c r="L57" s="256"/>
      <c r="M57" s="257">
        <f>+M55+M56</f>
        <v>0</v>
      </c>
      <c r="N57" s="256"/>
      <c r="O57" s="257">
        <f>+O55+O56</f>
        <v>0</v>
      </c>
      <c r="P57" s="256"/>
      <c r="Q57" s="257">
        <f>+Q55+Q56</f>
        <v>0</v>
      </c>
      <c r="S57" s="256"/>
      <c r="T57" s="257">
        <f>+T55+T56</f>
        <v>1722181.5</v>
      </c>
      <c r="U57" s="1036"/>
      <c r="V57" s="257"/>
      <c r="W57" s="257"/>
      <c r="X57" s="256"/>
      <c r="Y57" s="257">
        <f>+Y55+Y56</f>
        <v>92220</v>
      </c>
      <c r="Z57" s="471"/>
      <c r="AA57" s="471"/>
      <c r="AB57" s="256"/>
      <c r="AC57" s="257">
        <f>+AC55+AC56</f>
        <v>1823296.5</v>
      </c>
      <c r="AD57" s="1036"/>
      <c r="AE57" s="471"/>
      <c r="AF57" s="257"/>
      <c r="AG57" s="256"/>
      <c r="AH57" s="257">
        <f>+AH55+AH56</f>
        <v>2100926.46</v>
      </c>
      <c r="AI57" s="1036"/>
      <c r="AJ57" s="471"/>
      <c r="AK57" s="471"/>
      <c r="AL57" s="256"/>
      <c r="AM57" s="257">
        <f>+AM55+AM56</f>
        <v>2478841.2488000002</v>
      </c>
      <c r="AN57" s="1036"/>
      <c r="AO57" s="471"/>
      <c r="AP57" s="471"/>
      <c r="AQ57" s="256"/>
      <c r="AR57" s="257">
        <f>+AR55+AR56</f>
        <v>2856299.4212640002</v>
      </c>
      <c r="AS57" s="1036"/>
      <c r="AT57" s="471"/>
      <c r="AU57" s="471"/>
      <c r="AV57" s="256"/>
      <c r="AW57" s="257">
        <f>+AW55+AW56</f>
        <v>3227200.9189019199</v>
      </c>
      <c r="AX57" s="1036"/>
      <c r="AY57" s="471"/>
      <c r="AZ57" s="471"/>
      <c r="BA57" s="256"/>
      <c r="BB57" s="257">
        <f>+BB55+BB56</f>
        <v>3983858.8714689775</v>
      </c>
      <c r="BC57" s="1036"/>
      <c r="BD57" s="257"/>
      <c r="BE57" s="471"/>
      <c r="BI57" s="495"/>
      <c r="BJ57" s="495"/>
      <c r="BK57" s="495"/>
      <c r="BL57" s="495"/>
      <c r="BM57" s="495"/>
      <c r="BN57" s="495"/>
      <c r="BO57" s="495"/>
      <c r="BP57" s="495"/>
    </row>
    <row r="58" spans="4:68">
      <c r="D58" s="604" t="s">
        <v>438</v>
      </c>
      <c r="L58" s="467"/>
      <c r="M58" s="466">
        <f>IFERROR(M57/(M47/365),0)</f>
        <v>0</v>
      </c>
      <c r="N58" s="467"/>
      <c r="O58" s="466">
        <f>IFERROR(O57/(O47/365),0)</f>
        <v>0</v>
      </c>
      <c r="P58" s="467"/>
      <c r="Q58" s="466">
        <f>IFERROR(Q57/(Q47/365),0)</f>
        <v>0</v>
      </c>
      <c r="S58" s="467"/>
      <c r="T58" s="466">
        <f>IFERROR(T57/(T47/365),0)</f>
        <v>363.94336524563283</v>
      </c>
      <c r="U58" s="1039"/>
      <c r="V58" s="466"/>
      <c r="W58" s="466"/>
      <c r="X58" s="467"/>
      <c r="Y58" s="466">
        <f>IFERROR(Y57/(Y47/365),0)</f>
        <v>18.512949324140372</v>
      </c>
      <c r="Z58" s="472"/>
      <c r="AA58" s="472"/>
      <c r="AB58" s="467"/>
      <c r="AC58" s="466">
        <f>IFERROR(AC57/(AC47/365),0)</f>
        <v>268.7456654623312</v>
      </c>
      <c r="AD58" s="1039"/>
      <c r="AE58" s="472"/>
      <c r="AF58" s="466"/>
      <c r="AG58" s="467"/>
      <c r="AH58" s="466">
        <f>IFERROR(AH57/(AH47/365),0)</f>
        <v>263.29541625078156</v>
      </c>
      <c r="AI58" s="1039"/>
      <c r="AJ58" s="472"/>
      <c r="AK58" s="472"/>
      <c r="AL58" s="467"/>
      <c r="AM58" s="466">
        <f>IFERROR(AM57/(AM47/365),0)</f>
        <v>284.17301946578016</v>
      </c>
      <c r="AN58" s="1039"/>
      <c r="AO58" s="472"/>
      <c r="AP58" s="472"/>
      <c r="AQ58" s="467"/>
      <c r="AR58" s="466">
        <f>IFERROR(AR57/(AR47/365),0)</f>
        <v>315.34665583841951</v>
      </c>
      <c r="AS58" s="1039"/>
      <c r="AT58" s="472"/>
      <c r="AU58" s="472"/>
      <c r="AV58" s="467"/>
      <c r="AW58" s="466">
        <f>IFERROR(AW57/(AW47/365),0)</f>
        <v>343.78035925750623</v>
      </c>
      <c r="AX58" s="1039"/>
      <c r="AY58" s="472"/>
      <c r="AZ58" s="472"/>
      <c r="BA58" s="467"/>
      <c r="BB58" s="466">
        <f>IFERROR(BB57/(BB47/365),0)</f>
        <v>363.8289181091157</v>
      </c>
      <c r="BC58" s="1039"/>
      <c r="BD58" s="466"/>
      <c r="BE58" s="472"/>
      <c r="BI58" s="495"/>
      <c r="BJ58" s="495"/>
      <c r="BK58" s="495"/>
      <c r="BL58" s="495"/>
      <c r="BM58" s="495"/>
      <c r="BN58" s="495"/>
      <c r="BO58" s="495"/>
      <c r="BP58" s="495"/>
    </row>
    <row r="59" spans="4:68">
      <c r="D59" s="604" t="s">
        <v>431</v>
      </c>
      <c r="L59" s="467"/>
      <c r="M59" s="466">
        <f>IFERROR((M54+M403)/M403,0)</f>
        <v>0</v>
      </c>
      <c r="N59" s="467"/>
      <c r="O59" s="466">
        <f>IFERROR((O54+O403)/O403,0)</f>
        <v>0</v>
      </c>
      <c r="P59" s="467"/>
      <c r="Q59" s="466">
        <f>IFERROR((Q54+Q403)/Q403,0)</f>
        <v>0</v>
      </c>
      <c r="S59" s="467"/>
      <c r="T59" s="466">
        <f>IFERROR((T54+T52)/T52,0)</f>
        <v>0</v>
      </c>
      <c r="U59" s="1039"/>
      <c r="V59" s="466"/>
      <c r="W59" s="466"/>
      <c r="X59" s="467"/>
      <c r="Y59" s="466">
        <f>IFERROR((Y54+Y52)/Y52,0)</f>
        <v>1.4586107525572696</v>
      </c>
      <c r="Z59" s="472"/>
      <c r="AA59" s="472"/>
      <c r="AB59" s="467"/>
      <c r="AC59" s="466">
        <f>IFERROR((AC54+AC52)/AC52,0)</f>
        <v>1.3725805203562387</v>
      </c>
      <c r="AD59" s="466"/>
      <c r="AE59" s="472"/>
      <c r="AF59" s="466"/>
      <c r="AG59" s="467"/>
      <c r="AH59" s="466">
        <f>IFERROR((AH54+AH52)/AH52,0)</f>
        <v>1.7943723533316547</v>
      </c>
      <c r="AI59" s="1039"/>
      <c r="AJ59" s="472"/>
      <c r="AK59" s="472"/>
      <c r="AL59" s="467"/>
      <c r="AM59" s="466">
        <f>IFERROR((AM54+AM52)/AM52,0)</f>
        <v>1.9891322432976422</v>
      </c>
      <c r="AN59" s="1039"/>
      <c r="AO59" s="472"/>
      <c r="AP59" s="472"/>
      <c r="AQ59" s="467"/>
      <c r="AR59" s="466">
        <f>IFERROR((AR54+AR52)/AR52,0)</f>
        <v>1.9514353077421389</v>
      </c>
      <c r="AS59" s="1039"/>
      <c r="AT59" s="472"/>
      <c r="AU59" s="472"/>
      <c r="AV59" s="467"/>
      <c r="AW59" s="466">
        <f>IFERROR((AW54+AW52)/AW52,0)</f>
        <v>1.9020680053844647</v>
      </c>
      <c r="AX59" s="1039"/>
      <c r="AY59" s="472"/>
      <c r="AZ59" s="472"/>
      <c r="BA59" s="467"/>
      <c r="BB59" s="466">
        <f>IFERROR((BB54+BB52)/BB52,0)</f>
        <v>2.5776788932637014</v>
      </c>
      <c r="BC59" s="1039"/>
      <c r="BD59" s="466"/>
      <c r="BE59" s="472"/>
      <c r="BI59" s="495"/>
      <c r="BJ59" s="495"/>
      <c r="BK59" s="495"/>
      <c r="BL59" s="495"/>
      <c r="BM59" s="495"/>
      <c r="BN59" s="495"/>
      <c r="BO59" s="495"/>
      <c r="BP59" s="495"/>
    </row>
    <row r="60" spans="4:68">
      <c r="D60" s="604"/>
      <c r="L60" s="467"/>
      <c r="M60" s="466"/>
      <c r="N60" s="467"/>
      <c r="O60" s="466"/>
      <c r="P60" s="467"/>
      <c r="Q60" s="466"/>
      <c r="S60" s="467"/>
      <c r="T60" s="466"/>
      <c r="U60" s="1039"/>
      <c r="V60" s="466"/>
      <c r="W60" s="466"/>
      <c r="X60" s="467"/>
      <c r="Y60" s="466"/>
      <c r="Z60" s="472"/>
      <c r="AA60" s="472"/>
      <c r="AB60" s="467"/>
      <c r="AC60" s="466"/>
      <c r="AD60" s="1039"/>
      <c r="AE60" s="472"/>
      <c r="AF60" s="466"/>
      <c r="AG60" s="467"/>
      <c r="AH60" s="466"/>
      <c r="AI60" s="1039"/>
      <c r="AJ60" s="472"/>
      <c r="AK60" s="472"/>
      <c r="AL60" s="467"/>
      <c r="AM60" s="466"/>
      <c r="AN60" s="1039"/>
      <c r="AO60" s="472"/>
      <c r="AP60" s="472"/>
      <c r="AQ60" s="467"/>
      <c r="AR60" s="466"/>
      <c r="AS60" s="1039"/>
      <c r="AT60" s="472"/>
      <c r="AU60" s="472"/>
      <c r="AV60" s="467"/>
      <c r="AW60" s="466"/>
      <c r="AX60" s="1039"/>
      <c r="AY60" s="472"/>
      <c r="AZ60" s="472"/>
      <c r="BA60" s="467"/>
      <c r="BB60" s="466"/>
      <c r="BC60" s="1039"/>
      <c r="BD60" s="466"/>
      <c r="BE60" s="472"/>
      <c r="BI60" s="495"/>
      <c r="BJ60" s="495"/>
      <c r="BK60" s="495"/>
      <c r="BL60" s="495"/>
      <c r="BM60" s="495"/>
      <c r="BN60" s="495"/>
      <c r="BO60" s="495"/>
      <c r="BP60" s="495"/>
    </row>
    <row r="61" spans="4:68" ht="15" thickBot="1">
      <c r="D61" s="605" t="s">
        <v>886</v>
      </c>
      <c r="E61" s="605"/>
      <c r="F61" s="605"/>
      <c r="G61" s="605"/>
      <c r="H61" s="605"/>
      <c r="I61" s="605"/>
      <c r="J61" s="605"/>
      <c r="K61" s="605"/>
      <c r="L61" s="605"/>
      <c r="M61" s="605"/>
      <c r="N61" s="605"/>
      <c r="O61" s="605"/>
      <c r="P61" s="605"/>
      <c r="Q61" s="605"/>
      <c r="R61" s="619"/>
      <c r="S61" s="918"/>
      <c r="T61" s="605"/>
      <c r="U61" s="1033"/>
      <c r="V61" s="918"/>
      <c r="W61" s="918"/>
      <c r="X61" s="605"/>
      <c r="Y61" s="605"/>
      <c r="Z61" s="605"/>
      <c r="AA61" s="605"/>
      <c r="AB61" s="918"/>
      <c r="AC61" s="605"/>
      <c r="AD61" s="1033"/>
      <c r="AE61" s="918"/>
      <c r="AF61" s="918"/>
      <c r="AG61" s="918"/>
      <c r="AH61" s="605"/>
      <c r="AI61" s="1033"/>
      <c r="AJ61" s="918"/>
      <c r="AK61" s="918"/>
      <c r="AL61" s="918"/>
      <c r="AM61" s="605"/>
      <c r="AN61" s="1033"/>
      <c r="AO61" s="918"/>
      <c r="AP61" s="918"/>
      <c r="AQ61" s="918"/>
      <c r="AR61" s="605"/>
      <c r="AS61" s="1033"/>
      <c r="AT61" s="918"/>
      <c r="AU61" s="918"/>
      <c r="AV61" s="918"/>
      <c r="AW61" s="605"/>
      <c r="AX61" s="1033"/>
      <c r="AY61" s="918"/>
      <c r="AZ61" s="918"/>
      <c r="BA61" s="918"/>
      <c r="BB61" s="605"/>
      <c r="BC61" s="1033"/>
      <c r="BD61" s="918"/>
      <c r="BE61" s="918"/>
      <c r="BI61" s="495"/>
      <c r="BJ61" s="495"/>
      <c r="BK61" s="495"/>
      <c r="BL61" s="495"/>
      <c r="BM61" s="495"/>
      <c r="BN61" s="495"/>
      <c r="BO61" s="495"/>
      <c r="BP61" s="495"/>
    </row>
    <row r="62" spans="4:68" ht="18.45" customHeight="1">
      <c r="L62" s="1149" t="str">
        <f>L$2</f>
        <v>Audited
2021-2022</v>
      </c>
      <c r="M62" s="1178"/>
      <c r="N62" s="1149" t="str">
        <f>N$2</f>
        <v>Audited
2022-2023</v>
      </c>
      <c r="O62" s="1178"/>
      <c r="P62" s="1149" t="str">
        <f>P$2</f>
        <v>Audited
2023-2024</v>
      </c>
      <c r="Q62" s="1178"/>
      <c r="R62" s="665"/>
      <c r="S62" s="1149" t="str">
        <f>S$2</f>
        <v>Current Budget
2023-2024</v>
      </c>
      <c r="T62" s="1150"/>
      <c r="U62" s="1150"/>
      <c r="V62" s="1150"/>
      <c r="W62" s="666"/>
      <c r="X62" s="1149" t="str">
        <f>X$2</f>
        <v>Amended Budget
2023-2024</v>
      </c>
      <c r="Y62" s="1150"/>
      <c r="Z62" s="1150"/>
      <c r="AA62" s="1168"/>
      <c r="AB62" s="1149" t="str">
        <f>AB$2</f>
        <v>Budgeted
2024-2025</v>
      </c>
      <c r="AC62" s="1150"/>
      <c r="AD62" s="1150"/>
      <c r="AE62" s="1150"/>
      <c r="AF62" s="1168"/>
      <c r="AG62" s="1149" t="str">
        <f>AG$2</f>
        <v>Projected
2025-2026</v>
      </c>
      <c r="AH62" s="1150"/>
      <c r="AI62" s="1150"/>
      <c r="AJ62" s="1150"/>
      <c r="AK62" s="1168"/>
      <c r="AL62" s="1149" t="str">
        <f>AL$2</f>
        <v>Projected
2026-2027</v>
      </c>
      <c r="AM62" s="1150"/>
      <c r="AN62" s="1150"/>
      <c r="AO62" s="1150"/>
      <c r="AP62" s="1168"/>
      <c r="AQ62" s="1149" t="str">
        <f>AQ$2</f>
        <v>Projected
2027-2028</v>
      </c>
      <c r="AR62" s="1150"/>
      <c r="AS62" s="1150"/>
      <c r="AT62" s="1150"/>
      <c r="AU62" s="1168"/>
      <c r="AV62" s="1149" t="str">
        <f>AV$2</f>
        <v>Projected
2028-2029</v>
      </c>
      <c r="AW62" s="1150"/>
      <c r="AX62" s="1150"/>
      <c r="AY62" s="1150"/>
      <c r="AZ62" s="1168"/>
      <c r="BA62" s="1149" t="str">
        <f>BA$2</f>
        <v>Projected
2029-2030</v>
      </c>
      <c r="BB62" s="1150"/>
      <c r="BC62" s="1150"/>
      <c r="BD62" s="1150"/>
      <c r="BE62" s="1168"/>
      <c r="BI62" s="1161"/>
      <c r="BJ62" s="1161"/>
      <c r="BK62" s="1161"/>
      <c r="BL62" s="1161"/>
      <c r="BM62" s="1161"/>
      <c r="BN62" s="1161"/>
      <c r="BO62" s="1161"/>
      <c r="BP62" s="1161"/>
    </row>
    <row r="63" spans="4:68" ht="16.2" thickBot="1">
      <c r="L63" s="1151"/>
      <c r="M63" s="1179"/>
      <c r="N63" s="1151"/>
      <c r="O63" s="1179"/>
      <c r="P63" s="1151"/>
      <c r="Q63" s="1179"/>
      <c r="R63" s="665"/>
      <c r="S63" s="1151"/>
      <c r="T63" s="1152"/>
      <c r="U63" s="1152"/>
      <c r="V63" s="1152"/>
      <c r="W63" s="667"/>
      <c r="X63" s="1151"/>
      <c r="Y63" s="1152"/>
      <c r="Z63" s="1152"/>
      <c r="AA63" s="1169"/>
      <c r="AB63" s="1151"/>
      <c r="AC63" s="1152"/>
      <c r="AD63" s="1152"/>
      <c r="AE63" s="1152"/>
      <c r="AF63" s="1169"/>
      <c r="AG63" s="1151"/>
      <c r="AH63" s="1152"/>
      <c r="AI63" s="1152"/>
      <c r="AJ63" s="1152"/>
      <c r="AK63" s="1169"/>
      <c r="AL63" s="1151"/>
      <c r="AM63" s="1152"/>
      <c r="AN63" s="1152"/>
      <c r="AO63" s="1152"/>
      <c r="AP63" s="1169"/>
      <c r="AQ63" s="1151"/>
      <c r="AR63" s="1152"/>
      <c r="AS63" s="1152"/>
      <c r="AT63" s="1152"/>
      <c r="AU63" s="1169"/>
      <c r="AV63" s="1151"/>
      <c r="AW63" s="1152"/>
      <c r="AX63" s="1152"/>
      <c r="AY63" s="1152"/>
      <c r="AZ63" s="1169"/>
      <c r="BA63" s="1151"/>
      <c r="BB63" s="1152"/>
      <c r="BC63" s="1152"/>
      <c r="BD63" s="1152"/>
      <c r="BE63" s="1169"/>
      <c r="BI63" s="587"/>
      <c r="BJ63" s="587"/>
      <c r="BK63" s="587"/>
      <c r="BL63" s="587"/>
      <c r="BM63" s="587"/>
      <c r="BN63" s="587"/>
      <c r="BO63" s="587"/>
      <c r="BP63" s="587"/>
    </row>
    <row r="64" spans="4:68">
      <c r="D64" s="462"/>
      <c r="G64" s="259"/>
      <c r="H64" s="259"/>
      <c r="I64" s="259"/>
      <c r="J64" s="259"/>
      <c r="K64" s="259"/>
      <c r="L64" s="259" t="s">
        <v>0</v>
      </c>
      <c r="M64" s="251">
        <v>0</v>
      </c>
      <c r="N64" s="259" t="s">
        <v>0</v>
      </c>
      <c r="O64" s="251">
        <v>0</v>
      </c>
      <c r="P64" s="259" t="s">
        <v>0</v>
      </c>
      <c r="Q64" s="251">
        <v>0</v>
      </c>
      <c r="R64" s="259"/>
      <c r="S64" s="920" t="s">
        <v>0</v>
      </c>
      <c r="T64" s="902">
        <v>0</v>
      </c>
      <c r="W64" s="461"/>
      <c r="X64" s="259" t="s">
        <v>0</v>
      </c>
      <c r="Y64" s="251">
        <v>0</v>
      </c>
      <c r="Z64" s="524"/>
      <c r="AA64" s="524"/>
      <c r="AB64" s="259" t="s">
        <v>0</v>
      </c>
      <c r="AC64" s="902">
        <v>22</v>
      </c>
      <c r="AD64" s="62">
        <v>20</v>
      </c>
      <c r="AE64" s="524"/>
      <c r="AF64" s="524"/>
      <c r="AG64" s="259" t="s">
        <v>0</v>
      </c>
      <c r="AH64" s="902">
        <v>20</v>
      </c>
      <c r="AK64" s="524"/>
      <c r="AL64" s="259" t="s">
        <v>0</v>
      </c>
      <c r="AM64" s="902">
        <v>20</v>
      </c>
      <c r="AO64" s="524"/>
      <c r="AP64" s="524"/>
      <c r="AQ64" s="259" t="s">
        <v>0</v>
      </c>
      <c r="AR64" s="902">
        <v>20</v>
      </c>
      <c r="AT64" s="524"/>
      <c r="AU64" s="524"/>
      <c r="AV64" s="259" t="s">
        <v>0</v>
      </c>
      <c r="AW64" s="902">
        <v>20</v>
      </c>
      <c r="AY64" s="524"/>
      <c r="AZ64" s="524"/>
      <c r="BA64" s="259" t="s">
        <v>0</v>
      </c>
      <c r="BB64" s="902">
        <v>25</v>
      </c>
      <c r="BD64" s="461"/>
      <c r="BE64" s="524"/>
      <c r="BI64" s="495"/>
      <c r="BJ64" s="495"/>
      <c r="BK64" s="495"/>
      <c r="BL64" s="495"/>
      <c r="BM64" s="495"/>
      <c r="BN64" s="495"/>
      <c r="BO64" s="495"/>
      <c r="BP64" s="495"/>
    </row>
    <row r="65" spans="4:68" ht="15" customHeight="1">
      <c r="D65" s="463"/>
      <c r="G65" s="188"/>
      <c r="H65" s="188"/>
      <c r="I65" s="188"/>
      <c r="J65" s="188"/>
      <c r="K65" s="188"/>
      <c r="L65" s="188">
        <v>1</v>
      </c>
      <c r="M65" s="251">
        <v>0</v>
      </c>
      <c r="N65" s="188">
        <v>1</v>
      </c>
      <c r="O65" s="251">
        <v>0</v>
      </c>
      <c r="P65" s="188">
        <v>1</v>
      </c>
      <c r="Q65" s="251">
        <v>0</v>
      </c>
      <c r="R65" s="188"/>
      <c r="S65" s="188">
        <v>1</v>
      </c>
      <c r="T65" s="251">
        <v>0</v>
      </c>
      <c r="W65" s="461"/>
      <c r="X65" s="188">
        <v>1</v>
      </c>
      <c r="Y65" s="251">
        <v>0</v>
      </c>
      <c r="Z65" s="524"/>
      <c r="AA65" s="524"/>
      <c r="AB65" s="188">
        <v>1</v>
      </c>
      <c r="AC65" s="251">
        <v>10</v>
      </c>
      <c r="AD65" s="62">
        <v>16</v>
      </c>
      <c r="AE65" s="524"/>
      <c r="AF65" s="524"/>
      <c r="AG65" s="188">
        <v>1</v>
      </c>
      <c r="AH65" s="251">
        <v>22</v>
      </c>
      <c r="AK65" s="524"/>
      <c r="AL65" s="188">
        <v>1</v>
      </c>
      <c r="AM65" s="251">
        <v>20</v>
      </c>
      <c r="AO65" s="524"/>
      <c r="AP65" s="524"/>
      <c r="AQ65" s="188">
        <v>1</v>
      </c>
      <c r="AR65" s="251">
        <v>20</v>
      </c>
      <c r="AT65" s="524"/>
      <c r="AU65" s="524"/>
      <c r="AV65" s="188">
        <v>1</v>
      </c>
      <c r="AW65" s="251">
        <v>20</v>
      </c>
      <c r="AY65" s="524"/>
      <c r="AZ65" s="524"/>
      <c r="BA65" s="188">
        <v>1</v>
      </c>
      <c r="BB65" s="251">
        <v>25</v>
      </c>
      <c r="BD65" s="461"/>
      <c r="BE65" s="524"/>
      <c r="BI65" s="495"/>
      <c r="BJ65" s="495"/>
      <c r="BK65" s="495"/>
      <c r="BL65" s="495"/>
      <c r="BM65" s="495"/>
      <c r="BN65" s="495"/>
      <c r="BO65" s="495"/>
      <c r="BP65" s="495"/>
    </row>
    <row r="66" spans="4:68">
      <c r="G66" s="188"/>
      <c r="H66" s="188"/>
      <c r="I66" s="188"/>
      <c r="J66" s="188"/>
      <c r="K66" s="188"/>
      <c r="L66" s="188">
        <v>2</v>
      </c>
      <c r="M66" s="251">
        <v>0</v>
      </c>
      <c r="N66" s="188">
        <v>2</v>
      </c>
      <c r="O66" s="251">
        <v>0</v>
      </c>
      <c r="P66" s="188">
        <v>2</v>
      </c>
      <c r="Q66" s="251">
        <v>0</v>
      </c>
      <c r="R66" s="188"/>
      <c r="S66" s="188">
        <v>2</v>
      </c>
      <c r="T66" s="251">
        <v>0</v>
      </c>
      <c r="W66" s="461"/>
      <c r="X66" s="188">
        <v>2</v>
      </c>
      <c r="Y66" s="251">
        <v>0</v>
      </c>
      <c r="Z66" s="524"/>
      <c r="AA66" s="524"/>
      <c r="AB66" s="188">
        <v>2</v>
      </c>
      <c r="AC66" s="251">
        <v>6</v>
      </c>
      <c r="AD66" s="62">
        <v>0</v>
      </c>
      <c r="AE66" s="524"/>
      <c r="AF66" s="524"/>
      <c r="AG66" s="188">
        <v>2</v>
      </c>
      <c r="AH66" s="251">
        <v>15</v>
      </c>
      <c r="AK66" s="524"/>
      <c r="AL66" s="188">
        <v>2</v>
      </c>
      <c r="AM66" s="251">
        <v>22</v>
      </c>
      <c r="AO66" s="524"/>
      <c r="AP66" s="524"/>
      <c r="AQ66" s="188">
        <v>2</v>
      </c>
      <c r="AR66" s="251">
        <v>20</v>
      </c>
      <c r="AT66" s="524"/>
      <c r="AU66" s="524"/>
      <c r="AV66" s="188">
        <v>2</v>
      </c>
      <c r="AW66" s="251">
        <v>20</v>
      </c>
      <c r="AY66" s="524"/>
      <c r="AZ66" s="524"/>
      <c r="BA66" s="188">
        <v>2</v>
      </c>
      <c r="BB66" s="251">
        <v>25</v>
      </c>
      <c r="BD66" s="461"/>
      <c r="BE66" s="524"/>
      <c r="BI66" s="495"/>
      <c r="BJ66" s="495"/>
      <c r="BK66" s="495"/>
      <c r="BL66" s="495"/>
      <c r="BM66" s="495"/>
      <c r="BN66" s="495"/>
      <c r="BO66" s="495"/>
      <c r="BP66" s="495"/>
    </row>
    <row r="67" spans="4:68">
      <c r="G67" s="188"/>
      <c r="H67" s="188"/>
      <c r="I67" s="188"/>
      <c r="J67" s="188"/>
      <c r="K67" s="188"/>
      <c r="L67" s="188">
        <v>3</v>
      </c>
      <c r="M67" s="251">
        <v>0</v>
      </c>
      <c r="N67" s="188">
        <v>3</v>
      </c>
      <c r="O67" s="251">
        <v>0</v>
      </c>
      <c r="P67" s="188">
        <v>3</v>
      </c>
      <c r="Q67" s="251">
        <v>0</v>
      </c>
      <c r="R67" s="188"/>
      <c r="S67" s="188">
        <v>3</v>
      </c>
      <c r="T67" s="251">
        <v>0</v>
      </c>
      <c r="W67" s="461"/>
      <c r="X67" s="188">
        <v>3</v>
      </c>
      <c r="Y67" s="251">
        <v>0</v>
      </c>
      <c r="Z67" s="524"/>
      <c r="AA67" s="524"/>
      <c r="AB67" s="188">
        <v>3</v>
      </c>
      <c r="AC67" s="251">
        <v>0</v>
      </c>
      <c r="AD67" s="62">
        <v>0</v>
      </c>
      <c r="AE67" s="524"/>
      <c r="AF67" s="524"/>
      <c r="AG67" s="188">
        <v>3</v>
      </c>
      <c r="AH67" s="251">
        <v>10</v>
      </c>
      <c r="AK67" s="524"/>
      <c r="AL67" s="188">
        <v>3</v>
      </c>
      <c r="AM67" s="251">
        <v>15</v>
      </c>
      <c r="AO67" s="524"/>
      <c r="AP67" s="524"/>
      <c r="AQ67" s="188">
        <v>3</v>
      </c>
      <c r="AR67" s="251">
        <v>22</v>
      </c>
      <c r="AT67" s="524"/>
      <c r="AU67" s="524"/>
      <c r="AV67" s="188">
        <v>3</v>
      </c>
      <c r="AW67" s="251">
        <v>20</v>
      </c>
      <c r="AY67" s="524"/>
      <c r="AZ67" s="524"/>
      <c r="BA67" s="188">
        <v>3</v>
      </c>
      <c r="BB67" s="251">
        <v>25</v>
      </c>
      <c r="BD67" s="461"/>
      <c r="BE67" s="524"/>
      <c r="BI67" s="495"/>
      <c r="BJ67" s="495"/>
      <c r="BK67" s="495"/>
      <c r="BL67" s="495"/>
      <c r="BM67" s="495"/>
      <c r="BN67" s="495"/>
      <c r="BO67" s="495"/>
      <c r="BP67" s="495"/>
    </row>
    <row r="68" spans="4:68">
      <c r="G68" s="188"/>
      <c r="H68" s="188"/>
      <c r="I68" s="188"/>
      <c r="J68" s="188"/>
      <c r="K68" s="188"/>
      <c r="L68" s="188">
        <v>4</v>
      </c>
      <c r="M68" s="251">
        <v>25</v>
      </c>
      <c r="N68" s="188">
        <v>4</v>
      </c>
      <c r="O68" s="251">
        <v>20</v>
      </c>
      <c r="P68" s="188">
        <v>4</v>
      </c>
      <c r="Q68" s="251">
        <v>16</v>
      </c>
      <c r="R68" s="188"/>
      <c r="S68" s="188">
        <v>4</v>
      </c>
      <c r="T68" s="251">
        <v>25</v>
      </c>
      <c r="W68" s="461"/>
      <c r="X68" s="188">
        <v>4</v>
      </c>
      <c r="Y68" s="251">
        <v>16</v>
      </c>
      <c r="Z68" s="524"/>
      <c r="AA68" s="524"/>
      <c r="AB68" s="188">
        <v>4</v>
      </c>
      <c r="AC68" s="251">
        <v>22</v>
      </c>
      <c r="AD68" s="62">
        <v>18</v>
      </c>
      <c r="AE68" s="524"/>
      <c r="AF68" s="524"/>
      <c r="AG68" s="188">
        <v>4</v>
      </c>
      <c r="AH68" s="251">
        <v>15</v>
      </c>
      <c r="AK68" s="524"/>
      <c r="AL68" s="188">
        <v>4</v>
      </c>
      <c r="AM68" s="251">
        <v>10</v>
      </c>
      <c r="AO68" s="524"/>
      <c r="AP68" s="524"/>
      <c r="AQ68" s="188">
        <v>4</v>
      </c>
      <c r="AR68" s="251">
        <v>15</v>
      </c>
      <c r="AT68" s="524"/>
      <c r="AU68" s="524"/>
      <c r="AV68" s="188">
        <v>4</v>
      </c>
      <c r="AW68" s="251">
        <v>22</v>
      </c>
      <c r="AY68" s="524"/>
      <c r="AZ68" s="524"/>
      <c r="BA68" s="188">
        <v>4</v>
      </c>
      <c r="BB68" s="251">
        <v>25</v>
      </c>
      <c r="BD68" s="461"/>
      <c r="BE68" s="524"/>
      <c r="BI68" s="495"/>
      <c r="BJ68" s="495"/>
      <c r="BK68" s="495"/>
      <c r="BL68" s="495"/>
      <c r="BM68" s="495"/>
      <c r="BN68" s="495"/>
      <c r="BO68" s="495"/>
      <c r="BP68" s="495"/>
    </row>
    <row r="69" spans="4:68">
      <c r="G69" s="188"/>
      <c r="H69" s="188"/>
      <c r="I69" s="188"/>
      <c r="J69" s="188"/>
      <c r="K69" s="188"/>
      <c r="L69" s="188">
        <v>5</v>
      </c>
      <c r="M69" s="251">
        <v>22</v>
      </c>
      <c r="N69" s="188">
        <v>5</v>
      </c>
      <c r="O69" s="251">
        <v>25</v>
      </c>
      <c r="P69" s="188">
        <v>5</v>
      </c>
      <c r="Q69" s="251">
        <v>25</v>
      </c>
      <c r="R69" s="188"/>
      <c r="S69" s="188">
        <v>5</v>
      </c>
      <c r="T69" s="251">
        <v>26</v>
      </c>
      <c r="W69" s="461"/>
      <c r="X69" s="188">
        <v>5</v>
      </c>
      <c r="Y69" s="251">
        <v>25</v>
      </c>
      <c r="Z69" s="524"/>
      <c r="AA69" s="524"/>
      <c r="AB69" s="188">
        <v>5</v>
      </c>
      <c r="AC69" s="251">
        <v>20</v>
      </c>
      <c r="AD69" s="62">
        <v>20</v>
      </c>
      <c r="AE69" s="524"/>
      <c r="AF69" s="524"/>
      <c r="AG69" s="188">
        <v>5</v>
      </c>
      <c r="AH69" s="251">
        <v>22</v>
      </c>
      <c r="AK69" s="524"/>
      <c r="AL69" s="188">
        <v>5</v>
      </c>
      <c r="AM69" s="251">
        <v>15</v>
      </c>
      <c r="AO69" s="524"/>
      <c r="AP69" s="524"/>
      <c r="AQ69" s="188">
        <v>5</v>
      </c>
      <c r="AR69" s="251">
        <v>10</v>
      </c>
      <c r="AT69" s="524"/>
      <c r="AU69" s="524"/>
      <c r="AV69" s="188">
        <v>5</v>
      </c>
      <c r="AW69" s="251">
        <v>15</v>
      </c>
      <c r="AY69" s="524"/>
      <c r="AZ69" s="524"/>
      <c r="BA69" s="188">
        <v>5</v>
      </c>
      <c r="BB69" s="251">
        <v>25</v>
      </c>
      <c r="BD69" s="461"/>
      <c r="BE69" s="524"/>
      <c r="BI69" s="495"/>
      <c r="BJ69" s="495"/>
      <c r="BK69" s="495"/>
      <c r="BL69" s="495"/>
      <c r="BM69" s="495"/>
      <c r="BN69" s="495"/>
      <c r="BO69" s="495"/>
      <c r="BP69" s="495"/>
    </row>
    <row r="70" spans="4:68">
      <c r="G70" s="188"/>
      <c r="H70" s="188"/>
      <c r="I70" s="188"/>
      <c r="J70" s="188"/>
      <c r="K70" s="188"/>
      <c r="L70" s="188">
        <v>6</v>
      </c>
      <c r="M70" s="251">
        <v>25</v>
      </c>
      <c r="N70" s="188">
        <v>6</v>
      </c>
      <c r="O70" s="251">
        <v>20</v>
      </c>
      <c r="P70" s="188">
        <v>6</v>
      </c>
      <c r="Q70" s="251">
        <v>19</v>
      </c>
      <c r="R70" s="188"/>
      <c r="S70" s="188">
        <v>6</v>
      </c>
      <c r="T70" s="251">
        <v>26</v>
      </c>
      <c r="W70" s="461"/>
      <c r="X70" s="188">
        <v>6</v>
      </c>
      <c r="Y70" s="251">
        <v>19</v>
      </c>
      <c r="Z70" s="524"/>
      <c r="AA70" s="524"/>
      <c r="AB70" s="188">
        <v>6</v>
      </c>
      <c r="AC70" s="251">
        <v>27</v>
      </c>
      <c r="AD70" s="62">
        <v>25</v>
      </c>
      <c r="AE70" s="524"/>
      <c r="AF70" s="524"/>
      <c r="AG70" s="188">
        <v>6</v>
      </c>
      <c r="AH70" s="251">
        <v>20</v>
      </c>
      <c r="AK70" s="524"/>
      <c r="AL70" s="188">
        <v>6</v>
      </c>
      <c r="AM70" s="251">
        <v>22</v>
      </c>
      <c r="AO70" s="524"/>
      <c r="AP70" s="524"/>
      <c r="AQ70" s="188">
        <v>6</v>
      </c>
      <c r="AR70" s="251">
        <v>15</v>
      </c>
      <c r="AT70" s="524"/>
      <c r="AU70" s="524"/>
      <c r="AV70" s="188">
        <v>6</v>
      </c>
      <c r="AW70" s="251">
        <v>10</v>
      </c>
      <c r="AY70" s="524"/>
      <c r="AZ70" s="524"/>
      <c r="BA70" s="188">
        <v>6</v>
      </c>
      <c r="BB70" s="251">
        <v>25</v>
      </c>
      <c r="BD70" s="461"/>
      <c r="BE70" s="524"/>
      <c r="BI70" s="495"/>
      <c r="BJ70" s="495"/>
      <c r="BK70" s="495"/>
      <c r="BL70" s="495"/>
      <c r="BM70" s="495"/>
      <c r="BN70" s="495"/>
      <c r="BO70" s="495"/>
      <c r="BP70" s="495"/>
    </row>
    <row r="71" spans="4:68">
      <c r="G71" s="188"/>
      <c r="H71" s="188"/>
      <c r="I71" s="188"/>
      <c r="J71" s="188"/>
      <c r="K71" s="188"/>
      <c r="L71" s="188">
        <v>7</v>
      </c>
      <c r="M71" s="251">
        <v>25</v>
      </c>
      <c r="N71" s="188">
        <v>7</v>
      </c>
      <c r="O71" s="251">
        <v>24</v>
      </c>
      <c r="P71" s="188">
        <v>7</v>
      </c>
      <c r="Q71" s="251">
        <v>21</v>
      </c>
      <c r="R71" s="188"/>
      <c r="S71" s="188">
        <v>7</v>
      </c>
      <c r="T71" s="251">
        <v>27</v>
      </c>
      <c r="W71" s="461"/>
      <c r="X71" s="188">
        <v>7</v>
      </c>
      <c r="Y71" s="251">
        <v>21</v>
      </c>
      <c r="Z71" s="524"/>
      <c r="AA71" s="524"/>
      <c r="AB71" s="188">
        <v>7</v>
      </c>
      <c r="AC71" s="251">
        <v>25</v>
      </c>
      <c r="AD71" s="62">
        <v>20</v>
      </c>
      <c r="AE71" s="524"/>
      <c r="AF71" s="524"/>
      <c r="AG71" s="188">
        <v>7</v>
      </c>
      <c r="AH71" s="251">
        <v>27</v>
      </c>
      <c r="AK71" s="524"/>
      <c r="AL71" s="188">
        <v>7</v>
      </c>
      <c r="AM71" s="251">
        <v>20</v>
      </c>
      <c r="AO71" s="524"/>
      <c r="AP71" s="524"/>
      <c r="AQ71" s="188">
        <v>7</v>
      </c>
      <c r="AR71" s="251">
        <v>22</v>
      </c>
      <c r="AT71" s="524"/>
      <c r="AU71" s="524"/>
      <c r="AV71" s="188">
        <v>7</v>
      </c>
      <c r="AW71" s="251">
        <v>15</v>
      </c>
      <c r="AY71" s="524"/>
      <c r="AZ71" s="524"/>
      <c r="BA71" s="188">
        <v>7</v>
      </c>
      <c r="BB71" s="251">
        <v>25</v>
      </c>
      <c r="BD71" s="461"/>
      <c r="BE71" s="524"/>
      <c r="BI71" s="495"/>
      <c r="BJ71" s="495"/>
      <c r="BK71" s="495"/>
      <c r="BL71" s="495"/>
      <c r="BM71" s="495"/>
      <c r="BN71" s="495"/>
      <c r="BO71" s="495"/>
      <c r="BP71" s="495"/>
    </row>
    <row r="72" spans="4:68">
      <c r="G72" s="188"/>
      <c r="H72" s="188"/>
      <c r="I72" s="188"/>
      <c r="J72" s="188"/>
      <c r="K72" s="188"/>
      <c r="L72" s="188">
        <v>8</v>
      </c>
      <c r="M72" s="251">
        <v>23</v>
      </c>
      <c r="N72" s="188">
        <v>8</v>
      </c>
      <c r="O72" s="251">
        <v>30</v>
      </c>
      <c r="P72" s="188">
        <v>8</v>
      </c>
      <c r="Q72" s="251">
        <v>27</v>
      </c>
      <c r="R72" s="188"/>
      <c r="S72" s="188">
        <v>8</v>
      </c>
      <c r="T72" s="251">
        <v>27</v>
      </c>
      <c r="W72" s="461"/>
      <c r="X72" s="188">
        <v>8</v>
      </c>
      <c r="Y72" s="251">
        <v>27</v>
      </c>
      <c r="Z72" s="524"/>
      <c r="AA72" s="524"/>
      <c r="AB72" s="188">
        <v>8</v>
      </c>
      <c r="AC72" s="251">
        <v>24</v>
      </c>
      <c r="AD72" s="62">
        <v>20</v>
      </c>
      <c r="AE72" s="524"/>
      <c r="AF72" s="524"/>
      <c r="AG72" s="188">
        <v>8</v>
      </c>
      <c r="AH72" s="251">
        <v>25</v>
      </c>
      <c r="AK72" s="524"/>
      <c r="AL72" s="188">
        <v>8</v>
      </c>
      <c r="AM72" s="251">
        <v>27</v>
      </c>
      <c r="AO72" s="524"/>
      <c r="AP72" s="524"/>
      <c r="AQ72" s="188">
        <v>8</v>
      </c>
      <c r="AR72" s="251">
        <v>20</v>
      </c>
      <c r="AT72" s="524"/>
      <c r="AU72" s="524"/>
      <c r="AV72" s="188">
        <v>8</v>
      </c>
      <c r="AW72" s="251">
        <v>22</v>
      </c>
      <c r="AY72" s="524"/>
      <c r="AZ72" s="524"/>
      <c r="BA72" s="188">
        <v>8</v>
      </c>
      <c r="BB72" s="251">
        <v>25</v>
      </c>
      <c r="BD72" s="461"/>
      <c r="BE72" s="524"/>
      <c r="BI72" s="495"/>
      <c r="BJ72" s="495"/>
      <c r="BK72" s="495"/>
      <c r="BL72" s="495"/>
      <c r="BM72" s="495"/>
      <c r="BN72" s="495"/>
      <c r="BO72" s="495"/>
      <c r="BP72" s="495"/>
    </row>
    <row r="73" spans="4:68" ht="15" customHeight="1">
      <c r="G73" s="188"/>
      <c r="H73" s="188"/>
      <c r="I73" s="188"/>
      <c r="J73" s="188"/>
      <c r="K73" s="188"/>
      <c r="L73" s="188">
        <v>9</v>
      </c>
      <c r="M73" s="251">
        <v>0</v>
      </c>
      <c r="N73" s="188">
        <v>9</v>
      </c>
      <c r="O73" s="251">
        <v>15</v>
      </c>
      <c r="P73" s="188">
        <v>9</v>
      </c>
      <c r="Q73" s="251">
        <v>21</v>
      </c>
      <c r="R73" s="188"/>
      <c r="S73" s="188">
        <v>9</v>
      </c>
      <c r="T73" s="251">
        <v>14</v>
      </c>
      <c r="W73" s="461"/>
      <c r="X73" s="188">
        <v>9</v>
      </c>
      <c r="Y73" s="251">
        <v>21</v>
      </c>
      <c r="Z73" s="524"/>
      <c r="AA73" s="524"/>
      <c r="AB73" s="188">
        <v>9</v>
      </c>
      <c r="AC73" s="251">
        <v>24</v>
      </c>
      <c r="AD73" s="62">
        <v>25</v>
      </c>
      <c r="AE73" s="524"/>
      <c r="AF73" s="524"/>
      <c r="AG73" s="188">
        <v>9</v>
      </c>
      <c r="AH73" s="251">
        <v>24</v>
      </c>
      <c r="AK73" s="524"/>
      <c r="AL73" s="188">
        <v>9</v>
      </c>
      <c r="AM73" s="251">
        <v>25</v>
      </c>
      <c r="AO73" s="524"/>
      <c r="AP73" s="524"/>
      <c r="AQ73" s="188">
        <v>9</v>
      </c>
      <c r="AR73" s="251">
        <v>27</v>
      </c>
      <c r="AT73" s="524"/>
      <c r="AU73" s="524"/>
      <c r="AV73" s="188">
        <v>9</v>
      </c>
      <c r="AW73" s="251">
        <v>20</v>
      </c>
      <c r="AY73" s="524"/>
      <c r="AZ73" s="524"/>
      <c r="BA73" s="188">
        <v>9</v>
      </c>
      <c r="BB73" s="251">
        <v>25</v>
      </c>
      <c r="BD73" s="461"/>
      <c r="BE73" s="524"/>
      <c r="BI73" s="495"/>
      <c r="BJ73" s="495"/>
      <c r="BK73" s="495"/>
      <c r="BL73" s="495"/>
      <c r="BM73" s="495"/>
      <c r="BN73" s="495"/>
      <c r="BO73" s="495"/>
      <c r="BP73" s="495"/>
    </row>
    <row r="74" spans="4:68" ht="15" customHeight="1">
      <c r="D74" s="250"/>
      <c r="G74" s="188"/>
      <c r="H74" s="188"/>
      <c r="I74" s="188"/>
      <c r="J74" s="188"/>
      <c r="K74" s="188"/>
      <c r="L74" s="188">
        <v>10</v>
      </c>
      <c r="M74" s="251">
        <v>0</v>
      </c>
      <c r="N74" s="188">
        <v>10</v>
      </c>
      <c r="O74" s="251">
        <v>0</v>
      </c>
      <c r="P74" s="188">
        <v>10</v>
      </c>
      <c r="Q74" s="251">
        <v>11</v>
      </c>
      <c r="R74" s="188"/>
      <c r="S74" s="188">
        <v>10</v>
      </c>
      <c r="T74" s="251">
        <v>10</v>
      </c>
      <c r="W74" s="461"/>
      <c r="X74" s="188">
        <v>10</v>
      </c>
      <c r="Y74" s="251">
        <v>13</v>
      </c>
      <c r="Z74" s="524"/>
      <c r="AA74" s="524"/>
      <c r="AB74" s="188">
        <v>10</v>
      </c>
      <c r="AC74" s="251">
        <v>20</v>
      </c>
      <c r="AD74" s="62">
        <v>20</v>
      </c>
      <c r="AE74" s="524"/>
      <c r="AF74" s="524"/>
      <c r="AG74" s="188">
        <v>10</v>
      </c>
      <c r="AH74" s="251">
        <v>24</v>
      </c>
      <c r="AK74" s="524"/>
      <c r="AL74" s="188">
        <v>10</v>
      </c>
      <c r="AM74" s="251">
        <v>24</v>
      </c>
      <c r="AO74" s="524"/>
      <c r="AP74" s="524"/>
      <c r="AQ74" s="188">
        <v>10</v>
      </c>
      <c r="AR74" s="251">
        <v>25</v>
      </c>
      <c r="AT74" s="524"/>
      <c r="AU74" s="524"/>
      <c r="AV74" s="188">
        <v>10</v>
      </c>
      <c r="AW74" s="251">
        <v>27</v>
      </c>
      <c r="AY74" s="524"/>
      <c r="AZ74" s="524"/>
      <c r="BA74" s="188">
        <v>10</v>
      </c>
      <c r="BB74" s="251">
        <v>25</v>
      </c>
      <c r="BD74" s="461"/>
      <c r="BE74" s="524"/>
      <c r="BI74" s="495"/>
      <c r="BJ74" s="495"/>
      <c r="BK74" s="495"/>
      <c r="BL74" s="495"/>
      <c r="BM74" s="495"/>
      <c r="BN74" s="495"/>
      <c r="BO74" s="495"/>
      <c r="BP74" s="495"/>
    </row>
    <row r="75" spans="4:68" ht="15" customHeight="1">
      <c r="D75" s="250"/>
      <c r="G75" s="188"/>
      <c r="H75" s="188"/>
      <c r="I75" s="188"/>
      <c r="J75" s="188"/>
      <c r="K75" s="188"/>
      <c r="L75" s="188">
        <v>11</v>
      </c>
      <c r="M75" s="251">
        <v>0</v>
      </c>
      <c r="N75" s="188">
        <v>11</v>
      </c>
      <c r="O75" s="251">
        <v>0</v>
      </c>
      <c r="P75" s="188">
        <v>11</v>
      </c>
      <c r="Q75" s="251">
        <v>0</v>
      </c>
      <c r="R75" s="188"/>
      <c r="S75" s="188">
        <v>11</v>
      </c>
      <c r="T75" s="251">
        <v>0</v>
      </c>
      <c r="W75" s="461"/>
      <c r="X75" s="188">
        <v>11</v>
      </c>
      <c r="Y75" s="251">
        <v>0</v>
      </c>
      <c r="Z75" s="524"/>
      <c r="AA75" s="524"/>
      <c r="AB75" s="188">
        <v>11</v>
      </c>
      <c r="AC75" s="251">
        <v>9</v>
      </c>
      <c r="AD75" s="62">
        <v>12</v>
      </c>
      <c r="AE75" s="524"/>
      <c r="AF75" s="524"/>
      <c r="AG75" s="188">
        <v>11</v>
      </c>
      <c r="AH75" s="251">
        <v>20</v>
      </c>
      <c r="AK75" s="524"/>
      <c r="AL75" s="188">
        <v>11</v>
      </c>
      <c r="AM75" s="251">
        <v>24</v>
      </c>
      <c r="AO75" s="524"/>
      <c r="AP75" s="524"/>
      <c r="AQ75" s="188">
        <v>11</v>
      </c>
      <c r="AR75" s="251">
        <v>24</v>
      </c>
      <c r="AT75" s="524"/>
      <c r="AU75" s="524"/>
      <c r="AV75" s="188">
        <v>11</v>
      </c>
      <c r="AW75" s="251">
        <v>25</v>
      </c>
      <c r="AY75" s="524"/>
      <c r="AZ75" s="524"/>
      <c r="BA75" s="188">
        <v>11</v>
      </c>
      <c r="BB75" s="251">
        <v>25</v>
      </c>
      <c r="BD75" s="461"/>
      <c r="BE75" s="524"/>
      <c r="BI75" s="495"/>
      <c r="BJ75" s="495"/>
      <c r="BK75" s="495"/>
      <c r="BL75" s="495"/>
      <c r="BM75" s="495"/>
      <c r="BN75" s="495"/>
      <c r="BO75" s="495"/>
      <c r="BP75" s="495"/>
    </row>
    <row r="76" spans="4:68" ht="15" customHeight="1">
      <c r="D76" s="250"/>
      <c r="G76" s="188"/>
      <c r="H76" s="188"/>
      <c r="I76" s="188"/>
      <c r="J76" s="188"/>
      <c r="K76" s="188"/>
      <c r="L76" s="188">
        <v>12</v>
      </c>
      <c r="M76" s="903">
        <v>0</v>
      </c>
      <c r="N76" s="188">
        <v>12</v>
      </c>
      <c r="O76" s="903">
        <v>0</v>
      </c>
      <c r="P76" s="188">
        <v>12</v>
      </c>
      <c r="Q76" s="903">
        <v>0</v>
      </c>
      <c r="R76" s="188"/>
      <c r="S76" s="188">
        <v>12</v>
      </c>
      <c r="T76" s="251">
        <v>0</v>
      </c>
      <c r="W76" s="461"/>
      <c r="X76" s="188">
        <v>12</v>
      </c>
      <c r="Y76" s="903">
        <v>0</v>
      </c>
      <c r="Z76" s="523"/>
      <c r="AA76" s="523"/>
      <c r="AB76" s="188">
        <v>12</v>
      </c>
      <c r="AC76" s="251">
        <v>0</v>
      </c>
      <c r="AD76" s="62">
        <v>0</v>
      </c>
      <c r="AE76" s="523"/>
      <c r="AF76" s="523"/>
      <c r="AG76" s="188">
        <v>12</v>
      </c>
      <c r="AH76" s="251">
        <v>10</v>
      </c>
      <c r="AK76" s="524"/>
      <c r="AL76" s="188">
        <v>12</v>
      </c>
      <c r="AM76" s="251">
        <v>20</v>
      </c>
      <c r="AO76" s="523"/>
      <c r="AP76" s="524"/>
      <c r="AQ76" s="188">
        <v>12</v>
      </c>
      <c r="AR76" s="251">
        <v>24</v>
      </c>
      <c r="AT76" s="523"/>
      <c r="AU76" s="524"/>
      <c r="AV76" s="188">
        <v>12</v>
      </c>
      <c r="AW76" s="251">
        <v>24</v>
      </c>
      <c r="AY76" s="523"/>
      <c r="AZ76" s="524"/>
      <c r="BA76" s="188">
        <v>12</v>
      </c>
      <c r="BB76" s="251">
        <v>25</v>
      </c>
      <c r="BD76" s="461"/>
      <c r="BE76" s="524"/>
      <c r="BI76" s="495"/>
      <c r="BJ76" s="495"/>
      <c r="BK76" s="495"/>
      <c r="BL76" s="495"/>
      <c r="BM76" s="495"/>
      <c r="BN76" s="495"/>
      <c r="BO76" s="495"/>
      <c r="BP76" s="495"/>
    </row>
    <row r="77" spans="4:68">
      <c r="D77" s="250" t="s">
        <v>303</v>
      </c>
      <c r="E77" s="550"/>
      <c r="F77" s="550"/>
      <c r="G77" s="550"/>
      <c r="H77" s="550"/>
      <c r="I77" s="550"/>
      <c r="J77" s="550"/>
      <c r="K77" s="550"/>
      <c r="L77" s="551"/>
      <c r="M77" s="550">
        <f>SUM(M64:M76)</f>
        <v>120</v>
      </c>
      <c r="N77" s="551"/>
      <c r="O77" s="550">
        <f>SUM(O64:O76)</f>
        <v>134</v>
      </c>
      <c r="P77" s="551"/>
      <c r="Q77" s="550">
        <f>SUM(Q64:Q76)</f>
        <v>140</v>
      </c>
      <c r="R77" s="550"/>
      <c r="S77" s="921"/>
      <c r="T77" s="550">
        <f>SUM(T64:T76)</f>
        <v>155</v>
      </c>
      <c r="U77" s="550"/>
      <c r="V77" s="955"/>
      <c r="W77" s="955"/>
      <c r="X77" s="551"/>
      <c r="Y77" s="550">
        <f>SUM(Y64:Y76)</f>
        <v>142</v>
      </c>
      <c r="Z77" s="552"/>
      <c r="AA77" s="552"/>
      <c r="AB77" s="921"/>
      <c r="AC77" s="550">
        <f>SUM(AC64:AC76)</f>
        <v>209</v>
      </c>
      <c r="AD77" s="550"/>
      <c r="AE77" s="552"/>
      <c r="AF77" s="552"/>
      <c r="AG77" s="921"/>
      <c r="AH77" s="550">
        <f>SUM(AH64:AH76)</f>
        <v>254</v>
      </c>
      <c r="AI77" s="550"/>
      <c r="AJ77" s="552"/>
      <c r="AK77" s="1001"/>
      <c r="AL77" s="921"/>
      <c r="AM77" s="550">
        <f>SUM(AM64:AM76)</f>
        <v>264</v>
      </c>
      <c r="AN77" s="550"/>
      <c r="AO77" s="552"/>
      <c r="AP77" s="1001"/>
      <c r="AQ77" s="921"/>
      <c r="AR77" s="550">
        <f>SUM(AR64:AR76)</f>
        <v>264</v>
      </c>
      <c r="AS77" s="550"/>
      <c r="AT77" s="552"/>
      <c r="AU77" s="1001"/>
      <c r="AV77" s="921"/>
      <c r="AW77" s="550">
        <f>SUM(AW64:AW76)</f>
        <v>260</v>
      </c>
      <c r="AX77" s="550"/>
      <c r="AY77" s="552"/>
      <c r="AZ77" s="1001"/>
      <c r="BA77" s="921"/>
      <c r="BB77" s="550">
        <f>SUM(BB64:BB76)</f>
        <v>325</v>
      </c>
      <c r="BC77" s="550"/>
      <c r="BD77" s="955"/>
      <c r="BE77" s="1019"/>
      <c r="BI77" s="495"/>
      <c r="BJ77" s="495"/>
      <c r="BK77" s="495"/>
      <c r="BL77" s="495"/>
      <c r="BM77" s="495"/>
      <c r="BN77" s="495"/>
      <c r="BO77" s="495"/>
      <c r="BP77" s="495"/>
    </row>
    <row r="78" spans="4:68">
      <c r="D78" s="250" t="s">
        <v>456</v>
      </c>
      <c r="E78" s="550"/>
      <c r="F78" s="550"/>
      <c r="G78" s="550"/>
      <c r="H78" s="550"/>
      <c r="I78" s="550"/>
      <c r="J78" s="550"/>
      <c r="K78" s="550"/>
      <c r="L78" s="550"/>
      <c r="M78" s="550"/>
      <c r="N78" s="550"/>
      <c r="O78" s="553">
        <f>1+(O77-M77)/M77</f>
        <v>1.1166666666666667</v>
      </c>
      <c r="P78" s="550"/>
      <c r="Q78" s="553">
        <f>1+(Q77-O77)/O77</f>
        <v>1.044776119402985</v>
      </c>
      <c r="R78" s="550"/>
      <c r="S78" s="921"/>
      <c r="T78" s="553">
        <f>1+(T77-O77)/O77</f>
        <v>1.1567164179104479</v>
      </c>
      <c r="U78" s="550"/>
      <c r="V78" s="955"/>
      <c r="W78" s="955"/>
      <c r="X78" s="551"/>
      <c r="Y78" s="553">
        <f>1+(Y79-O77)/O77</f>
        <v>1.0597014925373134</v>
      </c>
      <c r="Z78" s="552"/>
      <c r="AA78" s="552"/>
      <c r="AB78" s="921"/>
      <c r="AC78" s="553">
        <f>1+(AC77-T77)/T77</f>
        <v>1.3483870967741935</v>
      </c>
      <c r="AD78" s="550"/>
      <c r="AE78" s="552"/>
      <c r="AF78" s="552"/>
      <c r="AG78" s="921"/>
      <c r="AH78" s="553">
        <f>1+(AH77-AC77)/AC77</f>
        <v>1.2153110047846889</v>
      </c>
      <c r="AI78" s="550"/>
      <c r="AJ78" s="552"/>
      <c r="AK78" s="1002"/>
      <c r="AL78" s="1003"/>
      <c r="AM78" s="553">
        <f>1+(AM77-AH77)/AH77</f>
        <v>1.0393700787401574</v>
      </c>
      <c r="AN78" s="550"/>
      <c r="AO78" s="552"/>
      <c r="AP78" s="1002"/>
      <c r="AQ78" s="1003"/>
      <c r="AR78" s="553">
        <f>1+(AR77-AM77)/AM77</f>
        <v>1</v>
      </c>
      <c r="AS78" s="550"/>
      <c r="AT78" s="552"/>
      <c r="AU78" s="1002"/>
      <c r="AV78" s="1003"/>
      <c r="AW78" s="553">
        <f>1+(AW77-AR77)/AR77</f>
        <v>0.98484848484848486</v>
      </c>
      <c r="AX78" s="550"/>
      <c r="AY78" s="552"/>
      <c r="AZ78" s="1002"/>
      <c r="BA78" s="1003"/>
      <c r="BB78" s="553">
        <f>1+(BB77-AW77)/AW77</f>
        <v>1.25</v>
      </c>
      <c r="BC78" s="550"/>
      <c r="BD78" s="1002"/>
      <c r="BE78" s="1007"/>
      <c r="BI78" s="495"/>
      <c r="BJ78" s="495"/>
      <c r="BK78" s="495"/>
      <c r="BL78" s="495"/>
      <c r="BM78" s="495"/>
      <c r="BN78" s="495"/>
      <c r="BO78" s="495"/>
      <c r="BP78" s="495"/>
    </row>
    <row r="79" spans="4:68">
      <c r="D79" s="626" t="s">
        <v>894</v>
      </c>
      <c r="E79" s="627"/>
      <c r="F79" s="628">
        <v>0</v>
      </c>
      <c r="G79" s="628"/>
      <c r="H79" s="628"/>
      <c r="I79" s="628"/>
      <c r="J79" s="628"/>
      <c r="K79" s="628"/>
      <c r="L79" s="628"/>
      <c r="M79" s="628"/>
      <c r="N79" s="628"/>
      <c r="O79" s="628"/>
      <c r="P79" s="628"/>
      <c r="Q79" s="628"/>
      <c r="R79" s="628"/>
      <c r="S79" s="922"/>
      <c r="T79" s="628">
        <f>+'Input (1)'!$C$4+'Input (1)'!$C$7+'Input (1)'!$C$8+'Input (1)'!$C$10</f>
        <v>155</v>
      </c>
      <c r="U79" s="628"/>
      <c r="V79" s="956"/>
      <c r="W79" s="956"/>
      <c r="X79" s="627"/>
      <c r="Y79" s="628">
        <f>+'Input (2)'!$C$4+'Input (2)'!$C$7+'Input (2)'!$C$8+'Input (2)'!$C$10</f>
        <v>142</v>
      </c>
      <c r="Z79" s="628"/>
      <c r="AA79" s="628"/>
      <c r="AB79" s="922"/>
      <c r="AC79" s="628">
        <f>+'Input (3)'!$C$4+'Input (3)'!$C$7+'Input (3)'!$C$8+'Input (3)'!$C$10</f>
        <v>209</v>
      </c>
      <c r="AD79" s="628"/>
      <c r="AE79" s="956"/>
      <c r="AF79" s="956"/>
      <c r="AG79" s="922"/>
      <c r="AH79" s="628">
        <f>+'Input (4)'!$C$4+'Input (4)'!$C$7+'Input (4)'!$C$8+'Input (4)'!$C$10</f>
        <v>254</v>
      </c>
      <c r="AI79" s="628"/>
      <c r="AJ79" s="956"/>
      <c r="AK79" s="986"/>
      <c r="AL79" s="922"/>
      <c r="AM79" s="628">
        <f>+'Input (5)'!$C$4+'Input (5)'!$C$7+'Input (5)'!$C$8+'Input (5)'!$C$10</f>
        <v>264</v>
      </c>
      <c r="AN79" s="628"/>
      <c r="AO79" s="956"/>
      <c r="AP79" s="986"/>
      <c r="AQ79" s="922"/>
      <c r="AR79" s="628">
        <f>+'Input (6)'!$C$4+'Input (6)'!$C$7+'Input (6)'!$C$8+'Input (6)'!$C$10</f>
        <v>264</v>
      </c>
      <c r="AS79" s="628"/>
      <c r="AT79" s="956"/>
      <c r="AU79" s="986"/>
      <c r="AV79" s="922"/>
      <c r="AW79" s="628">
        <f>+'Input (7)'!$C$4+'Input (7)'!$C$7+'Input (7)'!$C$8+'Input (7)'!$C$10</f>
        <v>260</v>
      </c>
      <c r="AX79" s="628"/>
      <c r="AY79" s="956"/>
      <c r="AZ79" s="986"/>
      <c r="BA79" s="922"/>
      <c r="BB79" s="628">
        <f>+'Input (8)'!$C$4+'Input (8)'!$C$7+'Input (8)'!$C$8+'Input (8)'!$C$10</f>
        <v>325</v>
      </c>
      <c r="BC79" s="628"/>
      <c r="BD79" s="968"/>
      <c r="BE79" s="991"/>
      <c r="BI79" s="495"/>
      <c r="BJ79" s="495"/>
      <c r="BK79" s="495"/>
      <c r="BL79" s="495"/>
      <c r="BM79" s="495"/>
      <c r="BN79" s="495"/>
      <c r="BO79" s="495"/>
      <c r="BP79" s="495"/>
    </row>
    <row r="80" spans="4:68">
      <c r="D80" s="626" t="s">
        <v>895</v>
      </c>
      <c r="E80" s="630"/>
      <c r="F80" s="628">
        <v>0</v>
      </c>
      <c r="G80" s="628"/>
      <c r="H80" s="628"/>
      <c r="I80" s="628"/>
      <c r="J80" s="628"/>
      <c r="K80" s="628"/>
      <c r="L80" s="628"/>
      <c r="M80" s="628"/>
      <c r="N80" s="628"/>
      <c r="O80" s="628"/>
      <c r="P80" s="628"/>
      <c r="Q80" s="628"/>
      <c r="R80" s="628"/>
      <c r="S80" s="630"/>
      <c r="T80" s="628">
        <f>+'Input (1)'!$E$4+'Input (1)'!$E$7+'Input (1)'!$E$8+'Input (1)'!$E$10</f>
        <v>147.25</v>
      </c>
      <c r="U80" s="628"/>
      <c r="V80" s="956"/>
      <c r="W80" s="956"/>
      <c r="X80" s="630"/>
      <c r="Y80" s="628">
        <f>+'Input (2)'!$E$4+'Input (2)'!$E$7+'Input (2)'!$E$8+'Input (2)'!$E$10</f>
        <v>134.89999999999998</v>
      </c>
      <c r="Z80" s="629"/>
      <c r="AA80" s="629"/>
      <c r="AB80" s="630"/>
      <c r="AC80" s="628">
        <f>+'Input (3)'!$E$4+'Input (3)'!$E$7+'Input (3)'!$E$8+'Input (3)'!$E$10</f>
        <v>196.45999999999998</v>
      </c>
      <c r="AD80" s="628"/>
      <c r="AE80" s="986"/>
      <c r="AF80" s="956"/>
      <c r="AG80" s="630"/>
      <c r="AH80" s="628">
        <f>+'Input (4)'!$E$4+'Input (4)'!$E$7+'Input (4)'!$E$8+'Input (4)'!$E$10</f>
        <v>241.3</v>
      </c>
      <c r="AI80" s="628"/>
      <c r="AJ80" s="986"/>
      <c r="AK80" s="986"/>
      <c r="AL80" s="630"/>
      <c r="AM80" s="628">
        <f>+'Input (5)'!$E$4+'Input (5)'!$E$7+'Input (5)'!$E$8+'Input (5)'!$E$10</f>
        <v>250.8</v>
      </c>
      <c r="AN80" s="628"/>
      <c r="AO80" s="986"/>
      <c r="AP80" s="986"/>
      <c r="AQ80" s="630"/>
      <c r="AR80" s="628">
        <f>+'Input (6)'!$E$4+'Input (6)'!$E$7+'Input (6)'!$E$8+'Input (6)'!$E$10</f>
        <v>250.8</v>
      </c>
      <c r="AS80" s="628"/>
      <c r="AT80" s="986"/>
      <c r="AU80" s="986"/>
      <c r="AV80" s="630"/>
      <c r="AW80" s="628">
        <f>+'Input (7)'!$E$4+'Input (7)'!$E$7+'Input (7)'!$E$8+'Input (7)'!$E$10</f>
        <v>247</v>
      </c>
      <c r="AX80" s="628"/>
      <c r="AY80" s="986"/>
      <c r="AZ80" s="986"/>
      <c r="BA80" s="630"/>
      <c r="BB80" s="628">
        <f>+'Input (8)'!$E$4+'Input (8)'!$E$7+'Input (8)'!$E$8+'Input (8)'!$E$10</f>
        <v>308.75</v>
      </c>
      <c r="BC80" s="628"/>
      <c r="BD80" s="968"/>
      <c r="BE80" s="991"/>
      <c r="BI80" s="495"/>
      <c r="BJ80" s="495"/>
      <c r="BK80" s="495"/>
      <c r="BL80" s="495"/>
      <c r="BM80" s="495"/>
      <c r="BN80" s="495"/>
      <c r="BO80" s="495"/>
      <c r="BP80" s="495"/>
    </row>
    <row r="81" spans="4:68" ht="15" thickBot="1">
      <c r="D81" s="626" t="s">
        <v>113</v>
      </c>
      <c r="E81" s="630"/>
      <c r="F81" s="631"/>
      <c r="G81" s="631"/>
      <c r="H81" s="631"/>
      <c r="I81" s="631"/>
      <c r="J81" s="631"/>
      <c r="K81" s="631"/>
      <c r="L81" s="631"/>
      <c r="M81" s="631"/>
      <c r="N81" s="631"/>
      <c r="O81" s="631"/>
      <c r="P81" s="631"/>
      <c r="Q81" s="631"/>
      <c r="R81" s="631"/>
      <c r="S81" s="630"/>
      <c r="T81" s="631">
        <f>+T79*T8-T80</f>
        <v>0</v>
      </c>
      <c r="U81" s="628"/>
      <c r="V81" s="957"/>
      <c r="W81" s="957"/>
      <c r="X81" s="630"/>
      <c r="Y81" s="631">
        <f>+Y79*Y8-Y80</f>
        <v>0</v>
      </c>
      <c r="Z81" s="629"/>
      <c r="AA81" s="629"/>
      <c r="AB81" s="630"/>
      <c r="AC81" s="631">
        <f>+AC79*AC8-AC80</f>
        <v>0</v>
      </c>
      <c r="AD81" s="628"/>
      <c r="AE81" s="986"/>
      <c r="AF81" s="957"/>
      <c r="AG81" s="630"/>
      <c r="AH81" s="631">
        <f>+AH79*AH8-AH80</f>
        <v>0</v>
      </c>
      <c r="AI81" s="628"/>
      <c r="AJ81" s="986"/>
      <c r="AK81" s="986"/>
      <c r="AL81" s="630"/>
      <c r="AM81" s="631">
        <f>+AM79*AM8-AM80</f>
        <v>0</v>
      </c>
      <c r="AN81" s="628"/>
      <c r="AO81" s="986"/>
      <c r="AP81" s="986"/>
      <c r="AQ81" s="630"/>
      <c r="AR81" s="631">
        <f>+AR79*AR8-AR80</f>
        <v>0</v>
      </c>
      <c r="AS81" s="628"/>
      <c r="AT81" s="986"/>
      <c r="AU81" s="986"/>
      <c r="AV81" s="630"/>
      <c r="AW81" s="631">
        <f>+AW79*AW8-AW80</f>
        <v>0</v>
      </c>
      <c r="AX81" s="628"/>
      <c r="AY81" s="986"/>
      <c r="AZ81" s="986"/>
      <c r="BA81" s="630"/>
      <c r="BB81" s="631">
        <f>+BB79*BB8-BB80</f>
        <v>0</v>
      </c>
      <c r="BC81" s="628"/>
      <c r="BD81" s="1009"/>
      <c r="BE81" s="991"/>
      <c r="BI81" s="495"/>
      <c r="BJ81" s="495"/>
      <c r="BK81" s="495"/>
      <c r="BL81" s="495"/>
      <c r="BM81" s="495"/>
      <c r="BN81" s="495"/>
      <c r="BO81" s="495"/>
      <c r="BP81" s="495"/>
    </row>
    <row r="82" spans="4:68" ht="15" thickBot="1">
      <c r="D82" s="635" t="s">
        <v>897</v>
      </c>
      <c r="E82" s="636"/>
      <c r="F82" s="636"/>
      <c r="G82" s="636"/>
      <c r="H82" s="636"/>
      <c r="I82" s="636"/>
      <c r="J82" s="636"/>
      <c r="K82" s="636"/>
      <c r="L82" s="636"/>
      <c r="M82" s="636"/>
      <c r="N82" s="636"/>
      <c r="O82" s="636"/>
      <c r="P82" s="636"/>
      <c r="Q82" s="636"/>
      <c r="R82" s="636"/>
      <c r="S82" s="908"/>
      <c r="T82" s="636"/>
      <c r="U82" s="1027"/>
      <c r="V82" s="908"/>
      <c r="W82" s="908"/>
      <c r="X82" s="636"/>
      <c r="Y82" s="636"/>
      <c r="Z82" s="636"/>
      <c r="AA82" s="636"/>
      <c r="AB82" s="908"/>
      <c r="AC82" s="636"/>
      <c r="AD82" s="1027"/>
      <c r="AE82" s="908"/>
      <c r="AF82" s="908"/>
      <c r="AG82" s="908"/>
      <c r="AH82" s="636"/>
      <c r="AI82" s="1027"/>
      <c r="AJ82" s="908"/>
      <c r="AK82" s="908"/>
      <c r="AL82" s="908"/>
      <c r="AM82" s="636"/>
      <c r="AN82" s="1027"/>
      <c r="AO82" s="908"/>
      <c r="AP82" s="908"/>
      <c r="AQ82" s="908"/>
      <c r="AR82" s="636"/>
      <c r="AS82" s="1027"/>
      <c r="AT82" s="908"/>
      <c r="AU82" s="908"/>
      <c r="AV82" s="908"/>
      <c r="AW82" s="636"/>
      <c r="AX82" s="1027"/>
      <c r="AY82" s="908"/>
      <c r="AZ82" s="908"/>
      <c r="BA82" s="908"/>
      <c r="BB82" s="636"/>
      <c r="BC82" s="1027"/>
      <c r="BD82" s="908"/>
      <c r="BE82" s="1014"/>
      <c r="BI82" s="495"/>
      <c r="BJ82" s="495"/>
      <c r="BK82" s="495"/>
      <c r="BL82" s="495"/>
      <c r="BM82" s="495"/>
      <c r="BN82" s="495"/>
      <c r="BO82" s="495"/>
      <c r="BP82" s="495"/>
    </row>
    <row r="83" spans="4:68" outlineLevel="1">
      <c r="D83" s="632" t="s">
        <v>898</v>
      </c>
      <c r="E83" s="632"/>
      <c r="F83" s="632"/>
      <c r="G83" s="632"/>
      <c r="H83" s="632"/>
      <c r="I83" s="632"/>
      <c r="J83" s="632"/>
      <c r="K83" s="632"/>
      <c r="L83" s="632"/>
      <c r="M83" s="632"/>
      <c r="N83" s="632"/>
      <c r="O83" s="632"/>
      <c r="P83" s="632"/>
      <c r="Q83" s="632"/>
      <c r="R83" s="632"/>
      <c r="S83" s="905"/>
      <c r="T83" s="632"/>
      <c r="U83" s="1040"/>
      <c r="V83" s="905"/>
      <c r="W83" s="905"/>
      <c r="X83" s="632"/>
      <c r="Y83" s="632"/>
      <c r="Z83" s="632"/>
      <c r="AA83" s="632"/>
      <c r="AB83" s="905"/>
      <c r="AC83" s="632"/>
      <c r="AD83" s="1040"/>
      <c r="AE83" s="905"/>
      <c r="AF83" s="905"/>
      <c r="AG83" s="905"/>
      <c r="AH83" s="632"/>
      <c r="AI83" s="1040"/>
      <c r="AJ83" s="905"/>
      <c r="AK83" s="905"/>
      <c r="AL83" s="905"/>
      <c r="AM83" s="632"/>
      <c r="AN83" s="1040"/>
      <c r="AO83" s="905"/>
      <c r="AP83" s="905"/>
      <c r="AQ83" s="905"/>
      <c r="AR83" s="632"/>
      <c r="AS83" s="1040"/>
      <c r="AT83" s="905"/>
      <c r="AU83" s="905"/>
      <c r="AV83" s="905"/>
      <c r="AW83" s="632"/>
      <c r="AX83" s="1040"/>
      <c r="AY83" s="905"/>
      <c r="AZ83" s="905"/>
      <c r="BA83" s="905"/>
      <c r="BB83" s="632"/>
      <c r="BC83" s="1040"/>
      <c r="BD83" s="905"/>
      <c r="BE83" s="905"/>
      <c r="BI83" s="495"/>
      <c r="BJ83" s="495"/>
      <c r="BK83" s="495"/>
      <c r="BL83" s="495"/>
      <c r="BM83" s="495"/>
      <c r="BN83" s="495"/>
      <c r="BO83" s="495"/>
      <c r="BP83" s="495"/>
    </row>
    <row r="84" spans="4:68" ht="14.55" customHeight="1" outlineLevel="1">
      <c r="D84" s="1187"/>
      <c r="E84" s="1185" t="s">
        <v>1319</v>
      </c>
      <c r="F84" s="1186" t="s">
        <v>899</v>
      </c>
      <c r="G84" s="1188" t="s">
        <v>903</v>
      </c>
      <c r="H84" s="1188"/>
      <c r="I84" s="1188"/>
      <c r="J84" s="1188"/>
      <c r="K84" s="1188"/>
      <c r="L84" s="1188"/>
      <c r="M84" s="531"/>
      <c r="N84" s="531"/>
      <c r="O84" s="531"/>
      <c r="P84" s="531"/>
      <c r="Q84" s="531"/>
      <c r="R84" s="531"/>
      <c r="S84" s="1158" t="str">
        <f>S$62</f>
        <v>Current Budget
2023-2024</v>
      </c>
      <c r="T84" s="1158"/>
      <c r="U84" s="1041"/>
      <c r="V84" s="531"/>
      <c r="W84" s="531"/>
      <c r="X84" s="1158" t="str">
        <f>X$62</f>
        <v>Amended Budget
2023-2024</v>
      </c>
      <c r="Y84" s="1158"/>
      <c r="Z84" s="565"/>
      <c r="AA84" s="565"/>
      <c r="AB84" s="1158" t="str">
        <f>AB$62</f>
        <v>Budgeted
2024-2025</v>
      </c>
      <c r="AC84" s="1158"/>
      <c r="AD84" s="1041"/>
      <c r="AE84" s="565"/>
      <c r="AF84" s="531"/>
      <c r="AG84" s="1158" t="str">
        <f>AG$62</f>
        <v>Projected
2025-2026</v>
      </c>
      <c r="AH84" s="1158"/>
      <c r="AI84" s="1041"/>
      <c r="AJ84" s="565"/>
      <c r="AK84" s="565"/>
      <c r="AL84" s="1158" t="str">
        <f>AL$62</f>
        <v>Projected
2026-2027</v>
      </c>
      <c r="AM84" s="1158"/>
      <c r="AN84" s="1041"/>
      <c r="AO84" s="565"/>
      <c r="AP84" s="565"/>
      <c r="AQ84" s="1158" t="str">
        <f>AQ$62</f>
        <v>Projected
2027-2028</v>
      </c>
      <c r="AR84" s="1158"/>
      <c r="AS84" s="1041"/>
      <c r="AT84" s="565"/>
      <c r="AU84" s="565"/>
      <c r="AV84" s="1158" t="str">
        <f>AV$62</f>
        <v>Projected
2028-2029</v>
      </c>
      <c r="AW84" s="1158"/>
      <c r="AX84" s="1041"/>
      <c r="AY84" s="565"/>
      <c r="AZ84" s="565"/>
      <c r="BA84" s="1158" t="str">
        <f>BA$62</f>
        <v>Projected
2029-2030</v>
      </c>
      <c r="BB84" s="1158"/>
      <c r="BC84" s="1041"/>
      <c r="BD84" s="531"/>
      <c r="BE84" s="565"/>
      <c r="BI84" s="495"/>
      <c r="BJ84" s="495"/>
      <c r="BK84" s="495"/>
      <c r="BL84" s="495"/>
      <c r="BM84" s="495"/>
      <c r="BN84" s="495"/>
      <c r="BO84" s="495"/>
      <c r="BP84" s="495"/>
    </row>
    <row r="85" spans="4:68" outlineLevel="1">
      <c r="D85" s="1187"/>
      <c r="E85" s="1185"/>
      <c r="F85" s="1186"/>
      <c r="G85" s="1188"/>
      <c r="H85" s="1188"/>
      <c r="I85" s="1188"/>
      <c r="J85" s="1188"/>
      <c r="K85" s="1188"/>
      <c r="L85" s="1188"/>
      <c r="M85" s="531"/>
      <c r="N85" s="531"/>
      <c r="O85" s="531"/>
      <c r="P85" s="531"/>
      <c r="Q85" s="531"/>
      <c r="R85" s="531"/>
      <c r="S85" s="1158"/>
      <c r="T85" s="1158"/>
      <c r="U85" s="1041"/>
      <c r="V85" s="531"/>
      <c r="W85" s="531"/>
      <c r="X85" s="1158"/>
      <c r="Y85" s="1158"/>
      <c r="Z85" s="565"/>
      <c r="AA85" s="565"/>
      <c r="AB85" s="1158"/>
      <c r="AC85" s="1158"/>
      <c r="AD85" s="1041"/>
      <c r="AE85" s="565"/>
      <c r="AF85" s="531"/>
      <c r="AG85" s="1158"/>
      <c r="AH85" s="1158"/>
      <c r="AI85" s="1041"/>
      <c r="AJ85" s="565"/>
      <c r="AK85" s="565"/>
      <c r="AL85" s="1158"/>
      <c r="AM85" s="1158"/>
      <c r="AN85" s="1041"/>
      <c r="AO85" s="565"/>
      <c r="AP85" s="565"/>
      <c r="AQ85" s="1158"/>
      <c r="AR85" s="1158"/>
      <c r="AS85" s="1041"/>
      <c r="AT85" s="565"/>
      <c r="AU85" s="565"/>
      <c r="AV85" s="1158"/>
      <c r="AW85" s="1158"/>
      <c r="AX85" s="1041"/>
      <c r="AY85" s="565"/>
      <c r="AZ85" s="565"/>
      <c r="BA85" s="1158"/>
      <c r="BB85" s="1158"/>
      <c r="BC85" s="1041"/>
      <c r="BD85" s="531"/>
      <c r="BE85" s="565"/>
      <c r="BI85" s="495"/>
      <c r="BJ85" s="495"/>
      <c r="BK85" s="495"/>
      <c r="BL85" s="495"/>
      <c r="BM85" s="495"/>
      <c r="BN85" s="495"/>
      <c r="BO85" s="495"/>
      <c r="BP85" s="495"/>
    </row>
    <row r="86" spans="4:68" outlineLevel="1">
      <c r="D86" s="564" t="s">
        <v>870</v>
      </c>
      <c r="E86" s="564" t="s">
        <v>900</v>
      </c>
      <c r="F86" s="564" t="s">
        <v>901</v>
      </c>
      <c r="S86" s="567" t="s">
        <v>168</v>
      </c>
      <c r="T86" s="568" t="s">
        <v>269</v>
      </c>
      <c r="U86" s="1042"/>
      <c r="X86" s="567" t="s">
        <v>168</v>
      </c>
      <c r="Y86" s="568" t="s">
        <v>269</v>
      </c>
      <c r="AB86" s="567" t="s">
        <v>168</v>
      </c>
      <c r="AC86" s="568" t="s">
        <v>269</v>
      </c>
      <c r="AD86" s="1042"/>
      <c r="AG86" s="567" t="s">
        <v>168</v>
      </c>
      <c r="AH86" s="568" t="s">
        <v>269</v>
      </c>
      <c r="AI86" s="1042"/>
      <c r="AL86" s="567" t="s">
        <v>168</v>
      </c>
      <c r="AM86" s="568" t="s">
        <v>269</v>
      </c>
      <c r="AN86" s="1042"/>
      <c r="AQ86" s="567" t="s">
        <v>168</v>
      </c>
      <c r="AR86" s="568" t="s">
        <v>269</v>
      </c>
      <c r="AS86" s="1042"/>
      <c r="AV86" s="567" t="s">
        <v>168</v>
      </c>
      <c r="AW86" s="568" t="s">
        <v>269</v>
      </c>
      <c r="AX86" s="1042"/>
      <c r="BA86" s="567" t="s">
        <v>168</v>
      </c>
      <c r="BB86" s="568" t="s">
        <v>269</v>
      </c>
      <c r="BC86" s="1042"/>
      <c r="BF86" s="1137" t="s">
        <v>1419</v>
      </c>
      <c r="BG86" s="1137" t="s">
        <v>1229</v>
      </c>
      <c r="BH86" s="1137" t="s">
        <v>1420</v>
      </c>
      <c r="BI86" s="495" t="s">
        <v>411</v>
      </c>
      <c r="BJ86" s="495"/>
      <c r="BK86" s="495"/>
      <c r="BL86" s="495"/>
      <c r="BM86" s="495"/>
      <c r="BN86" s="495"/>
      <c r="BO86" s="495"/>
      <c r="BP86" s="495"/>
    </row>
    <row r="87" spans="4:68" outlineLevel="1">
      <c r="D87" s="545" t="s">
        <v>1336</v>
      </c>
      <c r="E87" s="634">
        <v>2</v>
      </c>
      <c r="F87" s="1145" t="s">
        <v>338</v>
      </c>
      <c r="S87" s="923">
        <v>1</v>
      </c>
      <c r="T87" s="526">
        <v>88000</v>
      </c>
      <c r="U87" s="1043"/>
      <c r="X87" s="545">
        <f t="shared" ref="X87" si="0">+S87</f>
        <v>1</v>
      </c>
      <c r="Y87" s="526">
        <v>100000</v>
      </c>
      <c r="AB87" s="923">
        <f t="shared" ref="AB87" si="1">+X87</f>
        <v>1</v>
      </c>
      <c r="AC87" s="526">
        <v>105000</v>
      </c>
      <c r="AD87" s="1043"/>
      <c r="AG87" s="923">
        <v>1</v>
      </c>
      <c r="AH87" s="526">
        <f>ROUND(AC87*(1+AH$9),0)</f>
        <v>108150</v>
      </c>
      <c r="AI87" s="1043"/>
      <c r="AL87" s="923">
        <v>1</v>
      </c>
      <c r="AM87" s="526">
        <f>ROUND(AH87*(1+AM$9),0)</f>
        <v>111395</v>
      </c>
      <c r="AN87" s="1043"/>
      <c r="AQ87" s="923">
        <v>1</v>
      </c>
      <c r="AR87" s="526">
        <f>ROUND(AM87*(1+AR$9),0)</f>
        <v>114737</v>
      </c>
      <c r="AS87" s="1043"/>
      <c r="AV87" s="923">
        <v>1</v>
      </c>
      <c r="AW87" s="526">
        <f>ROUND(AR87*(1+AW$9),0)</f>
        <v>118179</v>
      </c>
      <c r="AX87" s="1043"/>
      <c r="BA87" s="923">
        <v>1</v>
      </c>
      <c r="BB87" s="526">
        <f>ROUND(AW87*(1+BB$9),0)</f>
        <v>121724</v>
      </c>
      <c r="BC87" s="1043"/>
      <c r="BF87" s="1124">
        <v>100000</v>
      </c>
      <c r="BG87" s="1138">
        <f t="shared" ref="BG87" si="2">AC87-BF87</f>
        <v>5000</v>
      </c>
      <c r="BH87" s="1140">
        <f>BG87/BF87</f>
        <v>0.05</v>
      </c>
      <c r="BI87" s="494" t="s">
        <v>220</v>
      </c>
      <c r="BJ87" s="495"/>
      <c r="BK87" s="495"/>
      <c r="BL87" s="495"/>
      <c r="BM87" s="495"/>
      <c r="BN87" s="495"/>
      <c r="BO87" s="495"/>
      <c r="BP87" s="495"/>
    </row>
    <row r="88" spans="4:68" hidden="1" outlineLevel="1">
      <c r="D88" s="545" t="s">
        <v>1439</v>
      </c>
      <c r="E88" s="634"/>
      <c r="F88" s="1145"/>
      <c r="S88" s="923"/>
      <c r="T88" s="526"/>
      <c r="U88" s="1043"/>
      <c r="X88" s="545">
        <v>1</v>
      </c>
      <c r="Y88" s="526">
        <v>46346</v>
      </c>
      <c r="AB88" s="923"/>
      <c r="AC88" s="526"/>
      <c r="AD88" s="1043"/>
      <c r="AG88" s="923"/>
      <c r="AH88" s="526"/>
      <c r="AI88" s="1043"/>
      <c r="AL88" s="923"/>
      <c r="AM88" s="526"/>
      <c r="AN88" s="1043"/>
      <c r="AQ88" s="923"/>
      <c r="AR88" s="526"/>
      <c r="AS88" s="1043"/>
      <c r="AV88" s="923"/>
      <c r="AW88" s="526"/>
      <c r="AX88" s="1043"/>
      <c r="BA88" s="923"/>
      <c r="BB88" s="526"/>
      <c r="BC88" s="1043"/>
      <c r="BF88" s="1124"/>
      <c r="BG88" s="1138"/>
      <c r="BH88" s="1140"/>
      <c r="BI88" s="494"/>
      <c r="BJ88" s="495"/>
      <c r="BK88" s="495"/>
      <c r="BL88" s="495"/>
      <c r="BM88" s="495"/>
      <c r="BN88" s="495"/>
      <c r="BO88" s="495"/>
      <c r="BP88" s="495"/>
    </row>
    <row r="89" spans="4:68" outlineLevel="1">
      <c r="D89" s="545" t="s">
        <v>1330</v>
      </c>
      <c r="E89" s="634">
        <v>-1</v>
      </c>
      <c r="F89" s="1145" t="s">
        <v>338</v>
      </c>
      <c r="S89" s="923">
        <v>1</v>
      </c>
      <c r="T89" s="526"/>
      <c r="U89" s="1043"/>
      <c r="X89" s="545"/>
      <c r="Y89" s="526"/>
      <c r="AB89" s="923">
        <v>1</v>
      </c>
      <c r="AC89" s="526">
        <v>80000</v>
      </c>
      <c r="AD89" s="1043"/>
      <c r="AG89" s="923">
        <v>1</v>
      </c>
      <c r="AH89" s="526">
        <f>ROUND(AC89*(1+AH$9),0)</f>
        <v>82400</v>
      </c>
      <c r="AI89" s="1043"/>
      <c r="AL89" s="923">
        <v>1</v>
      </c>
      <c r="AM89" s="526">
        <f>ROUND(AH89*(1+AM$9),0)</f>
        <v>84872</v>
      </c>
      <c r="AN89" s="1043"/>
      <c r="AQ89" s="923">
        <v>1</v>
      </c>
      <c r="AR89" s="526">
        <f>ROUND(AM89*(1+AR$9),0)</f>
        <v>87418</v>
      </c>
      <c r="AS89" s="1043"/>
      <c r="AV89" s="923">
        <v>1</v>
      </c>
      <c r="AW89" s="526">
        <f>ROUND(AR89*(1+AW$9),0)</f>
        <v>90041</v>
      </c>
      <c r="AX89" s="1043"/>
      <c r="BA89" s="923">
        <v>1</v>
      </c>
      <c r="BB89" s="526">
        <f>ROUND(AW89*(1+BB$9),0)</f>
        <v>92742</v>
      </c>
      <c r="BC89" s="1043"/>
      <c r="BF89" s="1124"/>
      <c r="BG89" s="1138"/>
      <c r="BH89" s="1140"/>
      <c r="BI89" s="494"/>
      <c r="BJ89" s="495"/>
      <c r="BK89" s="495"/>
      <c r="BL89" s="495"/>
      <c r="BM89" s="495"/>
      <c r="BN89" s="495"/>
      <c r="BO89" s="495"/>
      <c r="BP89" s="495"/>
    </row>
    <row r="90" spans="4:68" ht="15" outlineLevel="1" thickBot="1">
      <c r="D90" s="501" t="s">
        <v>912</v>
      </c>
      <c r="E90" s="499"/>
      <c r="F90" s="500"/>
      <c r="G90" s="500"/>
      <c r="H90" s="500"/>
      <c r="I90" s="500"/>
      <c r="J90" s="500"/>
      <c r="K90" s="500"/>
      <c r="L90" s="500"/>
      <c r="M90" s="500"/>
      <c r="N90" s="500"/>
      <c r="O90" s="500"/>
      <c r="P90" s="500"/>
      <c r="Q90" s="500"/>
      <c r="R90" s="500"/>
      <c r="S90" s="525">
        <f>SUM(S87:S87)</f>
        <v>1</v>
      </c>
      <c r="T90" s="527">
        <f>SUM(T87:T87)</f>
        <v>88000</v>
      </c>
      <c r="U90" s="1044"/>
      <c r="V90" s="958"/>
      <c r="W90" s="982"/>
      <c r="X90" s="525">
        <f>SUM(X87:X89)</f>
        <v>2</v>
      </c>
      <c r="Y90" s="527">
        <f>SUM(Y87:Y88)</f>
        <v>146346</v>
      </c>
      <c r="Z90" s="528"/>
      <c r="AA90" s="528"/>
      <c r="AB90" s="525">
        <f>SUM(AB87:AB89)</f>
        <v>2</v>
      </c>
      <c r="AC90" s="527">
        <f>SUM(AC87:AC89)</f>
        <v>185000</v>
      </c>
      <c r="AD90" s="1044"/>
      <c r="AE90" s="958"/>
      <c r="AF90" s="958"/>
      <c r="AG90" s="525">
        <f>SUM(AG87:AG87)</f>
        <v>1</v>
      </c>
      <c r="AH90" s="527">
        <f>SUM(AH87:AH89)</f>
        <v>190550</v>
      </c>
      <c r="AI90" s="1044"/>
      <c r="AJ90" s="958"/>
      <c r="AK90" s="529"/>
      <c r="AL90" s="525">
        <f>SUM(AL87:AL87)</f>
        <v>1</v>
      </c>
      <c r="AM90" s="527">
        <f>SUM(AM87:AM89)</f>
        <v>196267</v>
      </c>
      <c r="AN90" s="1044"/>
      <c r="AO90" s="958"/>
      <c r="AP90" s="529"/>
      <c r="AQ90" s="525">
        <f>SUM(AQ87:AQ87)</f>
        <v>1</v>
      </c>
      <c r="AR90" s="527">
        <f>SUM(AR87:AR89)</f>
        <v>202155</v>
      </c>
      <c r="AS90" s="1044"/>
      <c r="AT90" s="958"/>
      <c r="AU90" s="1005"/>
      <c r="AV90" s="525">
        <f>SUM(AV87:AV87)</f>
        <v>1</v>
      </c>
      <c r="AW90" s="527">
        <f>SUM(AW87:AW89)</f>
        <v>208220</v>
      </c>
      <c r="AX90" s="1044"/>
      <c r="AY90" s="958"/>
      <c r="AZ90" s="529"/>
      <c r="BA90" s="525">
        <f>SUM(BA87:BA87)</f>
        <v>1</v>
      </c>
      <c r="BB90" s="527">
        <f>SUM(BB87:BB89)</f>
        <v>214466</v>
      </c>
      <c r="BC90" s="1044"/>
      <c r="BD90" s="1005"/>
      <c r="BE90" s="982"/>
      <c r="BG90" s="1141"/>
      <c r="BH90" s="1141"/>
      <c r="BI90" s="494" t="s">
        <v>338</v>
      </c>
      <c r="BJ90" s="495"/>
      <c r="BK90" s="495"/>
      <c r="BL90" s="495"/>
      <c r="BM90" s="495"/>
      <c r="BN90" s="495"/>
      <c r="BO90" s="495"/>
      <c r="BP90" s="495"/>
    </row>
    <row r="91" spans="4:68" outlineLevel="1">
      <c r="BG91" s="1139"/>
      <c r="BH91" s="1139"/>
      <c r="BI91" s="495"/>
      <c r="BJ91" s="495"/>
      <c r="BK91" s="495"/>
      <c r="BL91" s="495"/>
      <c r="BM91" s="495"/>
      <c r="BN91" s="495"/>
      <c r="BO91" s="495"/>
      <c r="BP91" s="495"/>
    </row>
    <row r="92" spans="4:68" ht="28.8" outlineLevel="1">
      <c r="D92" s="632" t="s">
        <v>904</v>
      </c>
      <c r="E92" s="632"/>
      <c r="F92" s="632"/>
      <c r="G92" s="632"/>
      <c r="H92" s="632"/>
      <c r="I92" s="632"/>
      <c r="J92" s="632"/>
      <c r="K92" s="632"/>
      <c r="L92" s="632"/>
      <c r="M92" s="632"/>
      <c r="N92" s="632"/>
      <c r="O92" s="632"/>
      <c r="P92" s="632"/>
      <c r="Q92" s="632"/>
      <c r="R92" s="632"/>
      <c r="S92" s="905"/>
      <c r="T92" s="906" t="s">
        <v>1302</v>
      </c>
      <c r="U92" s="1045" t="s">
        <v>1301</v>
      </c>
      <c r="V92" s="905">
        <v>2</v>
      </c>
      <c r="W92" s="905"/>
      <c r="X92" s="632"/>
      <c r="Y92" s="632"/>
      <c r="Z92" s="632"/>
      <c r="AA92" s="632"/>
      <c r="AB92" s="905"/>
      <c r="AC92" s="906" t="s">
        <v>1302</v>
      </c>
      <c r="AD92" s="1045" t="s">
        <v>1301</v>
      </c>
      <c r="AE92" s="905">
        <v>3</v>
      </c>
      <c r="AF92" s="905"/>
      <c r="AG92" s="905"/>
      <c r="AH92" s="906" t="s">
        <v>1302</v>
      </c>
      <c r="AI92" s="1045" t="s">
        <v>1301</v>
      </c>
      <c r="AJ92" s="905">
        <v>4</v>
      </c>
      <c r="AK92" s="905"/>
      <c r="AL92" s="905"/>
      <c r="AM92" s="906" t="s">
        <v>1302</v>
      </c>
      <c r="AN92" s="1045" t="s">
        <v>1301</v>
      </c>
      <c r="AO92" s="905">
        <v>5</v>
      </c>
      <c r="AP92" s="905"/>
      <c r="AQ92" s="905"/>
      <c r="AR92" s="906" t="s">
        <v>1302</v>
      </c>
      <c r="AS92" s="1045" t="s">
        <v>1301</v>
      </c>
      <c r="AT92" s="905">
        <v>6</v>
      </c>
      <c r="AU92" s="905"/>
      <c r="AV92" s="905"/>
      <c r="AW92" s="906" t="s">
        <v>1302</v>
      </c>
      <c r="AX92" s="1045" t="s">
        <v>1301</v>
      </c>
      <c r="AY92" s="905">
        <v>7</v>
      </c>
      <c r="AZ92" s="905"/>
      <c r="BA92" s="905"/>
      <c r="BB92" s="906" t="s">
        <v>1302</v>
      </c>
      <c r="BC92" s="1045" t="s">
        <v>1301</v>
      </c>
      <c r="BD92" s="905">
        <v>8</v>
      </c>
      <c r="BE92" s="905"/>
      <c r="BI92" s="495"/>
      <c r="BJ92" s="495"/>
      <c r="BK92" s="495"/>
      <c r="BL92" s="495"/>
      <c r="BM92" s="495"/>
      <c r="BN92" s="495"/>
      <c r="BO92" s="495"/>
      <c r="BP92" s="495"/>
    </row>
    <row r="93" spans="4:68" ht="15" outlineLevel="1" thickBot="1">
      <c r="D93" s="547" t="s">
        <v>865</v>
      </c>
      <c r="E93" s="548" t="s">
        <v>866</v>
      </c>
      <c r="F93" s="548" t="s">
        <v>867</v>
      </c>
      <c r="G93" s="548" t="s">
        <v>477</v>
      </c>
      <c r="H93" s="549" t="s">
        <v>478</v>
      </c>
      <c r="I93" s="624" t="s">
        <v>222</v>
      </c>
      <c r="J93" s="548" t="s">
        <v>215</v>
      </c>
      <c r="K93" s="548" t="s">
        <v>893</v>
      </c>
      <c r="L93" s="548"/>
      <c r="M93" s="548"/>
      <c r="N93" s="548"/>
      <c r="O93" s="548"/>
      <c r="P93" s="548"/>
      <c r="Q93" s="548"/>
      <c r="R93" s="548"/>
      <c r="S93" s="558" t="s">
        <v>168</v>
      </c>
      <c r="T93" s="558" t="s">
        <v>474</v>
      </c>
      <c r="U93" s="907" t="s">
        <v>1300</v>
      </c>
      <c r="V93" s="558" t="s">
        <v>475</v>
      </c>
      <c r="W93" s="558" t="s">
        <v>476</v>
      </c>
      <c r="X93" s="557" t="s">
        <v>168</v>
      </c>
      <c r="Y93" s="558" t="s">
        <v>474</v>
      </c>
      <c r="Z93" s="557" t="s">
        <v>475</v>
      </c>
      <c r="AA93" s="559" t="s">
        <v>476</v>
      </c>
      <c r="AB93" s="558" t="s">
        <v>168</v>
      </c>
      <c r="AC93" s="558" t="s">
        <v>474</v>
      </c>
      <c r="AD93" s="907" t="s">
        <v>1300</v>
      </c>
      <c r="AE93" s="558" t="s">
        <v>475</v>
      </c>
      <c r="AF93" s="558" t="s">
        <v>476</v>
      </c>
      <c r="AG93" s="558" t="s">
        <v>168</v>
      </c>
      <c r="AH93" s="558" t="s">
        <v>474</v>
      </c>
      <c r="AI93" s="558"/>
      <c r="AJ93" s="558" t="s">
        <v>475</v>
      </c>
      <c r="AK93" s="558" t="s">
        <v>476</v>
      </c>
      <c r="AL93" s="558" t="s">
        <v>168</v>
      </c>
      <c r="AM93" s="558" t="s">
        <v>474</v>
      </c>
      <c r="AN93" s="558"/>
      <c r="AO93" s="558" t="s">
        <v>475</v>
      </c>
      <c r="AP93" s="558" t="s">
        <v>476</v>
      </c>
      <c r="AQ93" s="558" t="s">
        <v>168</v>
      </c>
      <c r="AR93" s="558" t="s">
        <v>474</v>
      </c>
      <c r="AS93" s="558"/>
      <c r="AT93" s="558" t="s">
        <v>475</v>
      </c>
      <c r="AU93" s="558" t="s">
        <v>476</v>
      </c>
      <c r="AV93" s="558" t="s">
        <v>168</v>
      </c>
      <c r="AW93" s="558" t="s">
        <v>474</v>
      </c>
      <c r="AX93" s="558"/>
      <c r="AY93" s="558" t="s">
        <v>475</v>
      </c>
      <c r="AZ93" s="558" t="s">
        <v>476</v>
      </c>
      <c r="BA93" s="558" t="s">
        <v>168</v>
      </c>
      <c r="BB93" s="558" t="s">
        <v>474</v>
      </c>
      <c r="BC93" s="558"/>
      <c r="BD93" s="558" t="s">
        <v>475</v>
      </c>
      <c r="BE93" s="558" t="s">
        <v>476</v>
      </c>
      <c r="BF93" s="1137" t="s">
        <v>1419</v>
      </c>
      <c r="BG93" s="1137" t="s">
        <v>1229</v>
      </c>
      <c r="BH93" s="1137" t="s">
        <v>1420</v>
      </c>
      <c r="BI93" s="495"/>
      <c r="BJ93" s="495"/>
      <c r="BK93" s="495"/>
      <c r="BL93" s="495"/>
      <c r="BM93" s="495"/>
      <c r="BN93" s="495"/>
      <c r="BO93" s="495"/>
      <c r="BP93" s="495"/>
    </row>
    <row r="94" spans="4:68" outlineLevel="1">
      <c r="D94" s="543" t="s">
        <v>1324</v>
      </c>
      <c r="E94" s="544" t="s">
        <v>868</v>
      </c>
      <c r="F94" s="545" t="s">
        <v>472</v>
      </c>
      <c r="G94" s="545" t="s">
        <v>480</v>
      </c>
      <c r="H94" s="545" t="s">
        <v>480</v>
      </c>
      <c r="I94" s="545" t="s">
        <v>480</v>
      </c>
      <c r="J94" s="545" t="s">
        <v>479</v>
      </c>
      <c r="K94" s="545" t="s">
        <v>479</v>
      </c>
      <c r="S94" s="923">
        <v>1</v>
      </c>
      <c r="T94" s="526">
        <v>0</v>
      </c>
      <c r="U94" s="1046">
        <f>ROUND(S94*IF(LEFT(W94,1)="R",VLOOKUP(W94,$BI$168:$BP$180,V$92,FALSE),VLOOKUP(W94,$BI$168:$BP$180,V$92,FALSE)+IF($I94="Yes",2000,IF(J94="Yes",3500,0))+IF(K94="Yes",3000,0)),0)</f>
        <v>66972</v>
      </c>
      <c r="V94" s="923">
        <v>100</v>
      </c>
      <c r="W94" s="923" t="s">
        <v>443</v>
      </c>
      <c r="X94" s="545">
        <v>0</v>
      </c>
      <c r="Y94" s="526">
        <v>0</v>
      </c>
      <c r="Z94" s="545">
        <v>100</v>
      </c>
      <c r="AA94" s="545" t="str">
        <f>W94</f>
        <v>AP4</v>
      </c>
      <c r="AB94" s="923">
        <f>+S94</f>
        <v>1</v>
      </c>
      <c r="AC94" s="526">
        <f>AD94</f>
        <v>71359</v>
      </c>
      <c r="AD94" s="1046">
        <f>ROUND(AB94*IF(LEFT(AF94,1)="R",VLOOKUP(AF94,$BI$168:$BP$180,AE$92,FALSE),VLOOKUP(AF94,$BI$168:$BP$180,AE$92,FALSE)+IF($I94="Yes",2000,IF(J94="Yes",3500,0))+IF(K94="Yes",3000,0)),0)</f>
        <v>71359</v>
      </c>
      <c r="AE94" s="923">
        <f>+V94</f>
        <v>100</v>
      </c>
      <c r="AF94" s="923" t="str">
        <f>IF(LEFT(AA94,LEN(AA94)-1)&amp;1+RIGHT(AA94,1)="R4","P1",IF(LEFT(AA94,LEN(AA94)-1)&amp;1+RIGHT(AA94,1)="P6","AP1",IF(LEFT(AA94,LEN(AA94)-1)&amp;1+RIGHT(AA94,1)="AP6","AP5",LEFT(AA94,LEN(AA94)-1)&amp;1+RIGHT(AA94,1))))</f>
        <v>AP5</v>
      </c>
      <c r="AG94" s="923">
        <f>+AB94</f>
        <v>1</v>
      </c>
      <c r="AH94" s="526">
        <f>+AI94</f>
        <v>73249</v>
      </c>
      <c r="AI94" s="1046">
        <f t="shared" ref="AI94:AI112" si="3">ROUND(AG94*IF(LEFT(AK94,1)="R",VLOOKUP(AK94,$BI$168:$BP$180,AJ$92,FALSE),VLOOKUP(AK94,$BI$168:$BP$180,AJ$92,FALSE)+IF($I94="Yes",2000,IF(X94="Yes",3500,0))+IF(Y94="Yes",3000,0)),0)</f>
        <v>73249</v>
      </c>
      <c r="AJ94" s="923">
        <f>+Z94</f>
        <v>100</v>
      </c>
      <c r="AK94" s="923" t="str">
        <f t="shared" ref="AK94:AK112" si="4">IF(LEFT(AF94,LEN(AF94)-1)&amp;1+RIGHT(AF94,1)="R4","P1",IF(LEFT(AF94,LEN(AF94)-1)&amp;1+RIGHT(AF94,1)="P6","AP1",IF(LEFT(AF94,LEN(AF94)-1)&amp;1+RIGHT(AF94,1)="AP6","AP5",LEFT(AF94,LEN(AF94)-1)&amp;1+RIGHT(AF94,1))))</f>
        <v>AP5</v>
      </c>
      <c r="AL94" s="923">
        <f>+AG94</f>
        <v>1</v>
      </c>
      <c r="AM94" s="526">
        <f>+AN94</f>
        <v>75386</v>
      </c>
      <c r="AN94" s="1046">
        <f t="shared" ref="AN94:AN112" si="5">ROUND(AL94*IF(LEFT(AP94,1)="R",VLOOKUP(AP94,$BI$168:$BP$180,AO$92,FALSE),VLOOKUP(AP94,$BI$168:$BP$180,AO$92,FALSE)+IF($I94="Yes",2000,IF(AC94="Yes",3500,0))+IF(AD94="Yes",3000,0)),0)</f>
        <v>75386</v>
      </c>
      <c r="AO94" s="923">
        <f>+AE94</f>
        <v>100</v>
      </c>
      <c r="AP94" s="923" t="str">
        <f t="shared" ref="AP94:AP112" si="6">IF(LEFT(AK94,LEN(AK94)-1)&amp;1+RIGHT(AK94,1)="R4","P1",IF(LEFT(AK94,LEN(AK94)-1)&amp;1+RIGHT(AK94,1)="P6","AP1",IF(LEFT(AK94,LEN(AK94)-1)&amp;1+RIGHT(AK94,1)="AP6","AP5",LEFT(AK94,LEN(AK94)-1)&amp;1+RIGHT(AK94,1))))</f>
        <v>AP5</v>
      </c>
      <c r="AQ94" s="923">
        <f>+AL94</f>
        <v>1</v>
      </c>
      <c r="AR94" s="526">
        <f>+AS94</f>
        <v>77588</v>
      </c>
      <c r="AS94" s="1046">
        <f t="shared" ref="AS94:AS112" si="7">ROUND(AQ94*IF(LEFT(AU94,1)="R",VLOOKUP(AU94,$BI$168:$BP$180,AT$92,FALSE),VLOOKUP(AU94,$BI$168:$BP$180,AT$92,FALSE)+IF($I94="Yes",2000,IF(AH94="Yes",3500,0))+IF(AI94="Yes",3000,0)),0)</f>
        <v>77588</v>
      </c>
      <c r="AT94" s="923">
        <f>+AJ94</f>
        <v>100</v>
      </c>
      <c r="AU94" s="923" t="str">
        <f t="shared" ref="AU94:AU112" si="8">IF(LEFT(AP94,LEN(AP94)-1)&amp;1+RIGHT(AP94,1)="R4","P1",IF(LEFT(AP94,LEN(AP94)-1)&amp;1+RIGHT(AP94,1)="P6","AP1",IF(LEFT(AP94,LEN(AP94)-1)&amp;1+RIGHT(AP94,1)="AP6","AP5",LEFT(AP94,LEN(AP94)-1)&amp;1+RIGHT(AP94,1))))</f>
        <v>AP5</v>
      </c>
      <c r="AV94" s="923">
        <f>+AQ94</f>
        <v>1</v>
      </c>
      <c r="AW94" s="526">
        <f>+AX94</f>
        <v>79856</v>
      </c>
      <c r="AX94" s="1046">
        <f t="shared" ref="AX94:AX112" si="9">ROUND(AV94*IF(LEFT(AZ94,1)="R",VLOOKUP(AZ94,$BI$168:$BP$180,AY$92,FALSE),VLOOKUP(AZ94,$BI$168:$BP$180,AY$92,FALSE)+IF($I94="Yes",2000,IF(AM94="Yes",3500,0))+IF(AN94="Yes",3000,0)),0)</f>
        <v>79856</v>
      </c>
      <c r="AY94" s="923">
        <f>+AO94</f>
        <v>100</v>
      </c>
      <c r="AZ94" s="923" t="str">
        <f t="shared" ref="AZ94:AZ112" si="10">IF(LEFT(AU94,LEN(AU94)-1)&amp;1+RIGHT(AU94,1)="R4","P1",IF(LEFT(AU94,LEN(AU94)-1)&amp;1+RIGHT(AU94,1)="P6","AP1",IF(LEFT(AU94,LEN(AU94)-1)&amp;1+RIGHT(AU94,1)="AP6","AP5",LEFT(AU94,LEN(AU94)-1)&amp;1+RIGHT(AU94,1))))</f>
        <v>AP5</v>
      </c>
      <c r="BA94" s="923">
        <f>+AQ94</f>
        <v>1</v>
      </c>
      <c r="BB94" s="526">
        <f>+BC94</f>
        <v>82192</v>
      </c>
      <c r="BC94" s="1046">
        <f t="shared" ref="BC94:BC112" si="11">ROUND(BA94*IF(LEFT(BE94,1)="R",VLOOKUP(BE94,$BI$168:$BP$180,BD$92,FALSE),VLOOKUP(BE94,$BI$168:$BP$180,BD$92,FALSE)+IF($I94="Yes",2000,IF(AR94="Yes",3500,0))+IF(AS94="Yes",3000,0)),0)</f>
        <v>82192</v>
      </c>
      <c r="BD94" s="923">
        <f>+AT94</f>
        <v>100</v>
      </c>
      <c r="BE94" s="923" t="str">
        <f t="shared" ref="BE94:BE112" si="12">IF(LEFT(AZ94,LEN(AZ94)-1)&amp;1+RIGHT(AZ94,1)="R4","P1",IF(LEFT(AZ94,LEN(AZ94)-1)&amp;1+RIGHT(AZ94,1)="P6","AP1",IF(LEFT(AZ94,LEN(AZ94)-1)&amp;1+RIGHT(AZ94,1)="AP6","AP5",LEFT(AZ94,LEN(AZ94)-1)&amp;1+RIGHT(AZ94,1))))</f>
        <v>AP5</v>
      </c>
      <c r="BF94" s="1124" t="s">
        <v>127</v>
      </c>
      <c r="BG94" s="1138" t="s">
        <v>127</v>
      </c>
      <c r="BH94" s="1139"/>
      <c r="BI94" s="495"/>
      <c r="BJ94" s="495"/>
      <c r="BK94" s="495"/>
      <c r="BL94" s="495"/>
      <c r="BM94" s="495"/>
      <c r="BN94" s="495"/>
      <c r="BO94" s="495"/>
      <c r="BP94" s="495"/>
    </row>
    <row r="95" spans="4:68" outlineLevel="1">
      <c r="D95" s="543" t="s">
        <v>1325</v>
      </c>
      <c r="E95" s="544" t="s">
        <v>869</v>
      </c>
      <c r="F95" s="545" t="s">
        <v>472</v>
      </c>
      <c r="G95" s="545" t="s">
        <v>480</v>
      </c>
      <c r="H95" s="545" t="s">
        <v>480</v>
      </c>
      <c r="I95" s="545" t="s">
        <v>479</v>
      </c>
      <c r="J95" s="545" t="s">
        <v>480</v>
      </c>
      <c r="K95" s="545" t="s">
        <v>479</v>
      </c>
      <c r="S95" s="923">
        <v>1</v>
      </c>
      <c r="T95" s="526">
        <v>0</v>
      </c>
      <c r="U95" s="1046">
        <f>ROUND(S95*IF(LEFT(W95,1)="R",VLOOKUP(W95,$BI$168:$BP$180,V$92,FALSE),VLOOKUP(W95,$BI$168:$BP$180,V$92,FALSE)+IF($I95="Yes",2000,IF(J95="Yes",3500,0))+IF(K95="Yes",3000,0)),0)</f>
        <v>60978</v>
      </c>
      <c r="V95" s="923">
        <v>100</v>
      </c>
      <c r="W95" s="923" t="s">
        <v>250</v>
      </c>
      <c r="X95" s="545">
        <v>0</v>
      </c>
      <c r="Y95" s="526">
        <v>0</v>
      </c>
      <c r="Z95" s="545">
        <v>100</v>
      </c>
      <c r="AA95" s="545" t="str">
        <f t="shared" ref="AA95:AA112" si="13">W95</f>
        <v>P5</v>
      </c>
      <c r="AB95" s="923">
        <f t="shared" ref="AB95:AB110" si="14">+S95</f>
        <v>1</v>
      </c>
      <c r="AC95" s="526">
        <f t="shared" ref="AC95:AC112" si="15">AD95</f>
        <v>64859</v>
      </c>
      <c r="AD95" s="1046">
        <f>ROUND(AB95*IF(LEFT(AF95,1)="R",VLOOKUP(AF95,$BI$168:$BP$180,AE$92,FALSE),VLOOKUP(AF95,$BI$168:$BP$180,AE$92,FALSE)+IF($I95="Yes",2000,IF(J95="Yes",3500,0))+IF(K95="Yes",3000,0)),0)</f>
        <v>64859</v>
      </c>
      <c r="AE95" s="923">
        <f t="shared" ref="AE95:AE111" si="16">+V95</f>
        <v>100</v>
      </c>
      <c r="AF95" s="923" t="s">
        <v>440</v>
      </c>
      <c r="AG95" s="923">
        <f t="shared" ref="AG95:AG112" si="17">+AB95</f>
        <v>1</v>
      </c>
      <c r="AH95" s="526">
        <f t="shared" ref="AH95:AH112" si="18">+AI95</f>
        <v>65069</v>
      </c>
      <c r="AI95" s="1046">
        <f t="shared" si="3"/>
        <v>65069</v>
      </c>
      <c r="AJ95" s="923">
        <f t="shared" ref="AJ95:AJ112" si="19">+Z95</f>
        <v>100</v>
      </c>
      <c r="AK95" s="923" t="str">
        <f t="shared" si="4"/>
        <v>AP2</v>
      </c>
      <c r="AL95" s="923">
        <f t="shared" ref="AL95:AL112" si="20">+AG95</f>
        <v>1</v>
      </c>
      <c r="AM95" s="526">
        <f t="shared" ref="AM95:AM112" si="21">+AN95</f>
        <v>69143</v>
      </c>
      <c r="AN95" s="1046">
        <f t="shared" si="5"/>
        <v>69143</v>
      </c>
      <c r="AO95" s="923">
        <f t="shared" ref="AO95:AO112" si="22">+AE95</f>
        <v>100</v>
      </c>
      <c r="AP95" s="923" t="str">
        <f t="shared" si="6"/>
        <v>AP3</v>
      </c>
      <c r="AQ95" s="923">
        <f t="shared" ref="AQ95:AQ112" si="23">+AL95</f>
        <v>1</v>
      </c>
      <c r="AR95" s="526">
        <f t="shared" ref="AR95:AR112" si="24">+AS95</f>
        <v>73403</v>
      </c>
      <c r="AS95" s="1046">
        <f t="shared" si="7"/>
        <v>73403</v>
      </c>
      <c r="AT95" s="923">
        <f t="shared" ref="AT95:AT112" si="25">+AJ95</f>
        <v>100</v>
      </c>
      <c r="AU95" s="923" t="str">
        <f t="shared" si="8"/>
        <v>AP4</v>
      </c>
      <c r="AV95" s="923">
        <f t="shared" ref="AV95:AV112" si="26">+AQ95</f>
        <v>1</v>
      </c>
      <c r="AW95" s="526">
        <f t="shared" ref="AW95:AW112" si="27">+AX95</f>
        <v>77856</v>
      </c>
      <c r="AX95" s="1046">
        <f t="shared" si="9"/>
        <v>77856</v>
      </c>
      <c r="AY95" s="923">
        <f t="shared" ref="AY95:AY112" si="28">+AO95</f>
        <v>100</v>
      </c>
      <c r="AZ95" s="923" t="str">
        <f t="shared" si="10"/>
        <v>AP5</v>
      </c>
      <c r="BA95" s="923">
        <f t="shared" ref="BA95:BA112" si="29">+AQ95</f>
        <v>1</v>
      </c>
      <c r="BB95" s="526">
        <f t="shared" ref="BB95:BB112" si="30">+BC95</f>
        <v>80192</v>
      </c>
      <c r="BC95" s="1046">
        <f t="shared" si="11"/>
        <v>80192</v>
      </c>
      <c r="BD95" s="923">
        <f t="shared" ref="BD95:BD112" si="31">+AT95</f>
        <v>100</v>
      </c>
      <c r="BE95" s="923" t="str">
        <f t="shared" si="12"/>
        <v>AP5</v>
      </c>
      <c r="BF95" s="1124" t="s">
        <v>127</v>
      </c>
      <c r="BG95" s="1138" t="s">
        <v>127</v>
      </c>
      <c r="BH95" s="1139"/>
      <c r="BI95" s="495"/>
      <c r="BJ95" s="495"/>
      <c r="BK95" s="495"/>
      <c r="BL95" s="495"/>
      <c r="BM95" s="495"/>
      <c r="BN95" s="495"/>
      <c r="BO95" s="495"/>
      <c r="BP95" s="495"/>
    </row>
    <row r="96" spans="4:68" outlineLevel="1">
      <c r="D96" s="543" t="s">
        <v>1491</v>
      </c>
      <c r="E96" s="544" t="s">
        <v>1489</v>
      </c>
      <c r="F96" s="545" t="s">
        <v>472</v>
      </c>
      <c r="G96" s="545" t="s">
        <v>480</v>
      </c>
      <c r="H96" s="545" t="s">
        <v>480</v>
      </c>
      <c r="I96" s="545" t="s">
        <v>479</v>
      </c>
      <c r="J96" s="545" t="s">
        <v>479</v>
      </c>
      <c r="K96" s="545" t="s">
        <v>479</v>
      </c>
      <c r="S96" s="923"/>
      <c r="T96" s="526"/>
      <c r="U96" s="1046"/>
      <c r="V96" s="923"/>
      <c r="W96" s="923"/>
      <c r="X96" s="545"/>
      <c r="Y96" s="526"/>
      <c r="Z96" s="545"/>
      <c r="AA96" s="545"/>
      <c r="AB96" s="923"/>
      <c r="AC96" s="526"/>
      <c r="AD96" s="1046"/>
      <c r="AE96" s="923"/>
      <c r="AF96" s="923" t="s">
        <v>246</v>
      </c>
      <c r="AG96" s="923">
        <v>1</v>
      </c>
      <c r="AH96" s="526">
        <f>+AI96</f>
        <v>53997</v>
      </c>
      <c r="AI96" s="1046">
        <f t="shared" si="3"/>
        <v>53997</v>
      </c>
      <c r="AJ96" s="923">
        <v>100</v>
      </c>
      <c r="AK96" s="923" t="str">
        <f t="shared" si="4"/>
        <v>P2</v>
      </c>
      <c r="AL96" s="923">
        <v>1</v>
      </c>
      <c r="AM96" s="526">
        <f t="shared" si="21"/>
        <v>57473</v>
      </c>
      <c r="AN96" s="1046">
        <f t="shared" si="5"/>
        <v>57473</v>
      </c>
      <c r="AO96" s="923">
        <v>100</v>
      </c>
      <c r="AP96" s="923" t="str">
        <f t="shared" si="6"/>
        <v>P3</v>
      </c>
      <c r="AQ96" s="923">
        <v>1</v>
      </c>
      <c r="AR96" s="526">
        <f t="shared" si="24"/>
        <v>61110</v>
      </c>
      <c r="AS96" s="1046">
        <f t="shared" si="7"/>
        <v>61110</v>
      </c>
      <c r="AT96" s="923">
        <v>100</v>
      </c>
      <c r="AU96" s="923" t="str">
        <f t="shared" si="8"/>
        <v>P4</v>
      </c>
      <c r="AV96" s="923">
        <v>1</v>
      </c>
      <c r="AW96" s="526">
        <f t="shared" si="27"/>
        <v>64913</v>
      </c>
      <c r="AX96" s="1046">
        <f t="shared" si="9"/>
        <v>64913</v>
      </c>
      <c r="AY96" s="923">
        <v>100</v>
      </c>
      <c r="AZ96" s="923" t="str">
        <f t="shared" si="10"/>
        <v>P5</v>
      </c>
      <c r="BA96" s="923">
        <v>1</v>
      </c>
      <c r="BB96" s="526">
        <f t="shared" si="30"/>
        <v>70917</v>
      </c>
      <c r="BC96" s="1046">
        <f t="shared" si="11"/>
        <v>70917</v>
      </c>
      <c r="BD96" s="923">
        <v>100</v>
      </c>
      <c r="BE96" s="923" t="str">
        <f t="shared" si="12"/>
        <v>AP1</v>
      </c>
      <c r="BF96" s="1124"/>
      <c r="BG96" s="1138"/>
      <c r="BH96" s="1139"/>
      <c r="BI96" s="495"/>
      <c r="BJ96" s="495"/>
      <c r="BK96" s="495"/>
      <c r="BL96" s="495"/>
      <c r="BM96" s="495"/>
      <c r="BN96" s="495"/>
      <c r="BO96" s="495"/>
      <c r="BP96" s="495"/>
    </row>
    <row r="97" spans="4:68" outlineLevel="1">
      <c r="D97" s="543" t="s">
        <v>1491</v>
      </c>
      <c r="E97" s="544" t="s">
        <v>1490</v>
      </c>
      <c r="F97" s="545" t="s">
        <v>472</v>
      </c>
      <c r="G97" s="545" t="s">
        <v>480</v>
      </c>
      <c r="H97" s="545" t="s">
        <v>480</v>
      </c>
      <c r="I97" s="545" t="s">
        <v>479</v>
      </c>
      <c r="J97" s="545" t="s">
        <v>479</v>
      </c>
      <c r="K97" s="545" t="s">
        <v>479</v>
      </c>
      <c r="S97" s="923"/>
      <c r="T97" s="526"/>
      <c r="U97" s="1046"/>
      <c r="V97" s="923"/>
      <c r="W97" s="923"/>
      <c r="X97" s="545"/>
      <c r="Y97" s="526"/>
      <c r="Z97" s="545"/>
      <c r="AA97" s="545"/>
      <c r="AB97" s="923"/>
      <c r="AC97" s="526"/>
      <c r="AD97" s="1046"/>
      <c r="AE97" s="923"/>
      <c r="AF97" s="923" t="s">
        <v>246</v>
      </c>
      <c r="AG97" s="923">
        <v>1</v>
      </c>
      <c r="AH97" s="526">
        <f>+AI97</f>
        <v>53997</v>
      </c>
      <c r="AI97" s="1046">
        <f t="shared" si="3"/>
        <v>53997</v>
      </c>
      <c r="AJ97" s="923">
        <v>100</v>
      </c>
      <c r="AK97" s="923" t="str">
        <f t="shared" si="4"/>
        <v>P2</v>
      </c>
      <c r="AL97" s="923">
        <v>1</v>
      </c>
      <c r="AM97" s="526">
        <f t="shared" si="21"/>
        <v>57473</v>
      </c>
      <c r="AN97" s="1046">
        <f t="shared" si="5"/>
        <v>57473</v>
      </c>
      <c r="AO97" s="923">
        <v>100</v>
      </c>
      <c r="AP97" s="923" t="str">
        <f t="shared" si="6"/>
        <v>P3</v>
      </c>
      <c r="AQ97" s="923">
        <v>1</v>
      </c>
      <c r="AR97" s="526">
        <f t="shared" si="24"/>
        <v>61110</v>
      </c>
      <c r="AS97" s="1046">
        <f t="shared" si="7"/>
        <v>61110</v>
      </c>
      <c r="AT97" s="923">
        <v>100</v>
      </c>
      <c r="AU97" s="923" t="str">
        <f t="shared" si="8"/>
        <v>P4</v>
      </c>
      <c r="AV97" s="923">
        <v>1</v>
      </c>
      <c r="AW97" s="526">
        <f t="shared" si="27"/>
        <v>64913</v>
      </c>
      <c r="AX97" s="1046">
        <f t="shared" si="9"/>
        <v>64913</v>
      </c>
      <c r="AY97" s="923">
        <v>100</v>
      </c>
      <c r="AZ97" s="923" t="str">
        <f t="shared" si="10"/>
        <v>P5</v>
      </c>
      <c r="BA97" s="923">
        <v>1</v>
      </c>
      <c r="BB97" s="526">
        <f t="shared" si="30"/>
        <v>70917</v>
      </c>
      <c r="BC97" s="1046">
        <f t="shared" si="11"/>
        <v>70917</v>
      </c>
      <c r="BD97" s="923">
        <v>100</v>
      </c>
      <c r="BE97" s="923" t="str">
        <f t="shared" si="12"/>
        <v>AP1</v>
      </c>
      <c r="BF97" s="1124"/>
      <c r="BG97" s="1138"/>
      <c r="BH97" s="1139"/>
      <c r="BI97" s="495"/>
      <c r="BJ97" s="495"/>
      <c r="BK97" s="495"/>
      <c r="BL97" s="495"/>
      <c r="BM97" s="495"/>
      <c r="BN97" s="495"/>
      <c r="BO97" s="495"/>
      <c r="BP97" s="495"/>
    </row>
    <row r="98" spans="4:68" outlineLevel="1">
      <c r="D98" s="543" t="s">
        <v>1329</v>
      </c>
      <c r="E98" s="546" t="s">
        <v>1326</v>
      </c>
      <c r="F98" s="545" t="s">
        <v>472</v>
      </c>
      <c r="G98" s="545" t="s">
        <v>480</v>
      </c>
      <c r="H98" s="545" t="s">
        <v>480</v>
      </c>
      <c r="I98" s="545" t="s">
        <v>480</v>
      </c>
      <c r="J98" s="545" t="s">
        <v>479</v>
      </c>
      <c r="K98" s="545" t="s">
        <v>479</v>
      </c>
      <c r="S98" s="923">
        <v>1</v>
      </c>
      <c r="T98" s="526">
        <v>63746</v>
      </c>
      <c r="U98" s="1046">
        <f t="shared" ref="U98:U112" si="32">ROUND(S98*IF(LEFT(W98,1)="R",VLOOKUP(W98,$BI$168:$BP$180,V$92,FALSE),VLOOKUP(W98,$BI$168:$BP$180,V$92,FALSE)+IF($I98="Yes",2000,IF(J98="Yes",3500,0))+IF(K98="Yes",3000,0)),0)</f>
        <v>64064</v>
      </c>
      <c r="V98" s="923">
        <v>100</v>
      </c>
      <c r="W98" s="923" t="s">
        <v>441</v>
      </c>
      <c r="X98" s="545">
        <v>1</v>
      </c>
      <c r="Y98" s="526">
        <v>63746</v>
      </c>
      <c r="Z98" s="545">
        <v>100</v>
      </c>
      <c r="AA98" s="545" t="s">
        <v>442</v>
      </c>
      <c r="AB98" s="923">
        <f t="shared" si="14"/>
        <v>1</v>
      </c>
      <c r="AC98" s="526">
        <f t="shared" si="15"/>
        <v>69359</v>
      </c>
      <c r="AD98" s="1046">
        <f t="shared" ref="AD98:AD112" si="33">ROUND(AB98*IF(LEFT(AF98,1)="R",VLOOKUP(AF98,$BI$168:$BP$180,AE$92,FALSE),VLOOKUP(AF98,$BI$168:$BP$180,AE$92,FALSE)+IF($I98="Yes",2000,IF(J98="Yes",3500,0))+IF(K98="Yes",3000,0)),0)</f>
        <v>69359</v>
      </c>
      <c r="AE98" s="923">
        <f t="shared" si="16"/>
        <v>100</v>
      </c>
      <c r="AF98" s="923" t="str">
        <f t="shared" ref="AF98:AF112" si="34">IF(LEFT(AA98,LEN(AA98)-1)&amp;1+RIGHT(AA98,1)="R4","P1",IF(LEFT(AA98,LEN(AA98)-1)&amp;1+RIGHT(AA98,1)="P6","AP1",IF(LEFT(AA98,LEN(AA98)-1)&amp;1+RIGHT(AA98,1)="AP6","AP5",LEFT(AA98,LEN(AA98)-1)&amp;1+RIGHT(AA98,1))))</f>
        <v>AP4</v>
      </c>
      <c r="AG98" s="923">
        <f t="shared" si="17"/>
        <v>1</v>
      </c>
      <c r="AH98" s="526">
        <f t="shared" si="18"/>
        <v>73249</v>
      </c>
      <c r="AI98" s="1046">
        <f t="shared" si="3"/>
        <v>73249</v>
      </c>
      <c r="AJ98" s="923">
        <f t="shared" si="19"/>
        <v>100</v>
      </c>
      <c r="AK98" s="923" t="str">
        <f t="shared" si="4"/>
        <v>AP5</v>
      </c>
      <c r="AL98" s="923">
        <f t="shared" si="20"/>
        <v>1</v>
      </c>
      <c r="AM98" s="526">
        <f t="shared" si="21"/>
        <v>75386</v>
      </c>
      <c r="AN98" s="1046">
        <f t="shared" si="5"/>
        <v>75386</v>
      </c>
      <c r="AO98" s="923">
        <f t="shared" si="22"/>
        <v>100</v>
      </c>
      <c r="AP98" s="923" t="str">
        <f t="shared" si="6"/>
        <v>AP5</v>
      </c>
      <c r="AQ98" s="923">
        <f t="shared" si="23"/>
        <v>1</v>
      </c>
      <c r="AR98" s="526">
        <f t="shared" si="24"/>
        <v>77588</v>
      </c>
      <c r="AS98" s="1046">
        <f t="shared" si="7"/>
        <v>77588</v>
      </c>
      <c r="AT98" s="923">
        <f t="shared" si="25"/>
        <v>100</v>
      </c>
      <c r="AU98" s="923" t="str">
        <f t="shared" si="8"/>
        <v>AP5</v>
      </c>
      <c r="AV98" s="923">
        <f t="shared" si="26"/>
        <v>1</v>
      </c>
      <c r="AW98" s="526">
        <f t="shared" si="27"/>
        <v>79856</v>
      </c>
      <c r="AX98" s="1046">
        <f t="shared" si="9"/>
        <v>79856</v>
      </c>
      <c r="AY98" s="923">
        <f t="shared" si="28"/>
        <v>100</v>
      </c>
      <c r="AZ98" s="923" t="str">
        <f t="shared" si="10"/>
        <v>AP5</v>
      </c>
      <c r="BA98" s="923">
        <f t="shared" si="29"/>
        <v>1</v>
      </c>
      <c r="BB98" s="526">
        <f t="shared" si="30"/>
        <v>82192</v>
      </c>
      <c r="BC98" s="1046">
        <f t="shared" si="11"/>
        <v>82192</v>
      </c>
      <c r="BD98" s="923">
        <f t="shared" si="31"/>
        <v>100</v>
      </c>
      <c r="BE98" s="923" t="str">
        <f t="shared" si="12"/>
        <v>AP5</v>
      </c>
      <c r="BF98" s="1124">
        <v>63746</v>
      </c>
      <c r="BG98" s="1138">
        <f t="shared" ref="BG98:BG111" si="35">AC98-BF98</f>
        <v>5613</v>
      </c>
      <c r="BH98" s="1140">
        <f>BG98/BF98</f>
        <v>8.8052583691525743E-2</v>
      </c>
      <c r="BI98" s="495"/>
      <c r="BJ98" s="495"/>
      <c r="BK98" s="495"/>
      <c r="BL98" s="495"/>
      <c r="BM98" s="495"/>
      <c r="BN98" s="495"/>
      <c r="BO98" s="495"/>
      <c r="BP98" s="495"/>
    </row>
    <row r="99" spans="4:68" outlineLevel="1">
      <c r="D99" s="543" t="s">
        <v>1331</v>
      </c>
      <c r="E99" s="546" t="s">
        <v>1328</v>
      </c>
      <c r="F99" s="545" t="s">
        <v>472</v>
      </c>
      <c r="G99" s="545" t="s">
        <v>479</v>
      </c>
      <c r="H99" s="545" t="s">
        <v>479</v>
      </c>
      <c r="I99" s="545" t="s">
        <v>479</v>
      </c>
      <c r="J99" s="545" t="s">
        <v>479</v>
      </c>
      <c r="K99" s="545" t="s">
        <v>479</v>
      </c>
      <c r="S99" s="923">
        <v>0.5</v>
      </c>
      <c r="T99" s="526">
        <v>15498</v>
      </c>
      <c r="U99" s="1046">
        <f t="shared" si="32"/>
        <v>26066</v>
      </c>
      <c r="V99" s="923">
        <v>100</v>
      </c>
      <c r="W99" s="923" t="s">
        <v>247</v>
      </c>
      <c r="X99" s="545">
        <v>0.3</v>
      </c>
      <c r="Y99" s="526">
        <v>15498</v>
      </c>
      <c r="Z99" s="545">
        <v>100</v>
      </c>
      <c r="AA99" s="545" t="str">
        <f t="shared" si="13"/>
        <v>P2</v>
      </c>
      <c r="AB99" s="923">
        <v>0.3</v>
      </c>
      <c r="AC99" s="526">
        <f t="shared" si="15"/>
        <v>16308</v>
      </c>
      <c r="AD99" s="1046">
        <f t="shared" si="33"/>
        <v>16308</v>
      </c>
      <c r="AE99" s="923">
        <f t="shared" si="16"/>
        <v>100</v>
      </c>
      <c r="AF99" s="923" t="str">
        <f t="shared" si="34"/>
        <v>P3</v>
      </c>
      <c r="AG99" s="923">
        <f t="shared" si="17"/>
        <v>0.3</v>
      </c>
      <c r="AH99" s="526">
        <f t="shared" si="18"/>
        <v>17281</v>
      </c>
      <c r="AI99" s="1046">
        <f t="shared" si="3"/>
        <v>17281</v>
      </c>
      <c r="AJ99" s="923">
        <f t="shared" si="19"/>
        <v>100</v>
      </c>
      <c r="AK99" s="923" t="str">
        <f t="shared" si="4"/>
        <v>P4</v>
      </c>
      <c r="AL99" s="923">
        <f t="shared" si="20"/>
        <v>0.3</v>
      </c>
      <c r="AM99" s="526">
        <f t="shared" si="21"/>
        <v>18356</v>
      </c>
      <c r="AN99" s="1046">
        <f t="shared" si="5"/>
        <v>18356</v>
      </c>
      <c r="AO99" s="923">
        <f t="shared" si="22"/>
        <v>100</v>
      </c>
      <c r="AP99" s="923" t="str">
        <f t="shared" si="6"/>
        <v>P5</v>
      </c>
      <c r="AQ99" s="923">
        <f t="shared" si="23"/>
        <v>0.3</v>
      </c>
      <c r="AR99" s="526">
        <f t="shared" si="24"/>
        <v>20054</v>
      </c>
      <c r="AS99" s="1046">
        <f t="shared" si="7"/>
        <v>20054</v>
      </c>
      <c r="AT99" s="923">
        <f t="shared" si="25"/>
        <v>100</v>
      </c>
      <c r="AU99" s="923" t="str">
        <f t="shared" si="8"/>
        <v>AP1</v>
      </c>
      <c r="AV99" s="923">
        <f t="shared" si="26"/>
        <v>0.3</v>
      </c>
      <c r="AW99" s="526">
        <f t="shared" si="27"/>
        <v>21331</v>
      </c>
      <c r="AX99" s="1046">
        <f t="shared" si="9"/>
        <v>21331</v>
      </c>
      <c r="AY99" s="923">
        <f t="shared" si="28"/>
        <v>100</v>
      </c>
      <c r="AZ99" s="923" t="str">
        <f t="shared" si="10"/>
        <v>AP2</v>
      </c>
      <c r="BA99" s="923">
        <f t="shared" si="29"/>
        <v>0.3</v>
      </c>
      <c r="BB99" s="526">
        <f t="shared" si="30"/>
        <v>22667</v>
      </c>
      <c r="BC99" s="1046">
        <f t="shared" si="11"/>
        <v>22667</v>
      </c>
      <c r="BD99" s="923">
        <f t="shared" si="31"/>
        <v>100</v>
      </c>
      <c r="BE99" s="923" t="str">
        <f t="shared" si="12"/>
        <v>AP3</v>
      </c>
      <c r="BF99" s="1124">
        <v>15498</v>
      </c>
      <c r="BG99" s="1138">
        <f t="shared" si="35"/>
        <v>810</v>
      </c>
      <c r="BH99" s="1140">
        <f>BG99/BF99</f>
        <v>5.2264808362369339E-2</v>
      </c>
      <c r="BI99" s="495"/>
      <c r="BJ99" s="495"/>
      <c r="BK99" s="495"/>
      <c r="BL99" s="495"/>
      <c r="BM99" s="495"/>
      <c r="BN99" s="495"/>
      <c r="BO99" s="495"/>
      <c r="BP99" s="495"/>
    </row>
    <row r="100" spans="4:68" outlineLevel="1">
      <c r="D100" s="543" t="s">
        <v>1396</v>
      </c>
      <c r="E100" s="546" t="s">
        <v>1327</v>
      </c>
      <c r="F100" s="545" t="s">
        <v>472</v>
      </c>
      <c r="G100" s="545" t="s">
        <v>480</v>
      </c>
      <c r="H100" s="545" t="s">
        <v>480</v>
      </c>
      <c r="I100" s="545" t="s">
        <v>479</v>
      </c>
      <c r="J100" s="545" t="s">
        <v>480</v>
      </c>
      <c r="K100" s="545" t="s">
        <v>479</v>
      </c>
      <c r="S100" s="923">
        <v>1</v>
      </c>
      <c r="T100" s="526">
        <v>61837</v>
      </c>
      <c r="U100" s="1046">
        <f t="shared" si="32"/>
        <v>68472</v>
      </c>
      <c r="V100" s="923">
        <v>100</v>
      </c>
      <c r="W100" s="923" t="s">
        <v>443</v>
      </c>
      <c r="X100" s="545">
        <v>0</v>
      </c>
      <c r="Y100" s="526">
        <v>0</v>
      </c>
      <c r="Z100" s="545">
        <v>100</v>
      </c>
      <c r="AA100" s="545" t="str">
        <f t="shared" si="13"/>
        <v>AP4</v>
      </c>
      <c r="AB100" s="923">
        <f t="shared" si="14"/>
        <v>1</v>
      </c>
      <c r="AC100" s="526">
        <f t="shared" si="15"/>
        <v>72859</v>
      </c>
      <c r="AD100" s="1046">
        <f t="shared" si="33"/>
        <v>72859</v>
      </c>
      <c r="AE100" s="923">
        <f t="shared" si="16"/>
        <v>100</v>
      </c>
      <c r="AF100" s="923" t="str">
        <f t="shared" si="34"/>
        <v>AP5</v>
      </c>
      <c r="AG100" s="923">
        <f t="shared" si="17"/>
        <v>1</v>
      </c>
      <c r="AH100" s="526">
        <f t="shared" si="18"/>
        <v>71249</v>
      </c>
      <c r="AI100" s="1046">
        <f t="shared" si="3"/>
        <v>71249</v>
      </c>
      <c r="AJ100" s="923">
        <f t="shared" si="19"/>
        <v>100</v>
      </c>
      <c r="AK100" s="923" t="str">
        <f t="shared" si="4"/>
        <v>AP5</v>
      </c>
      <c r="AL100" s="923">
        <f t="shared" si="20"/>
        <v>1</v>
      </c>
      <c r="AM100" s="526">
        <f t="shared" si="21"/>
        <v>73386</v>
      </c>
      <c r="AN100" s="1046">
        <f t="shared" si="5"/>
        <v>73386</v>
      </c>
      <c r="AO100" s="923">
        <f t="shared" si="22"/>
        <v>100</v>
      </c>
      <c r="AP100" s="923" t="str">
        <f t="shared" si="6"/>
        <v>AP5</v>
      </c>
      <c r="AQ100" s="923">
        <f t="shared" si="23"/>
        <v>1</v>
      </c>
      <c r="AR100" s="526">
        <f t="shared" si="24"/>
        <v>75588</v>
      </c>
      <c r="AS100" s="1046">
        <f t="shared" si="7"/>
        <v>75588</v>
      </c>
      <c r="AT100" s="923">
        <f t="shared" si="25"/>
        <v>100</v>
      </c>
      <c r="AU100" s="923" t="str">
        <f t="shared" si="8"/>
        <v>AP5</v>
      </c>
      <c r="AV100" s="923">
        <f t="shared" si="26"/>
        <v>1</v>
      </c>
      <c r="AW100" s="526">
        <f t="shared" si="27"/>
        <v>77856</v>
      </c>
      <c r="AX100" s="1046">
        <f t="shared" si="9"/>
        <v>77856</v>
      </c>
      <c r="AY100" s="923">
        <f t="shared" si="28"/>
        <v>100</v>
      </c>
      <c r="AZ100" s="923" t="str">
        <f t="shared" si="10"/>
        <v>AP5</v>
      </c>
      <c r="BA100" s="923">
        <f t="shared" si="29"/>
        <v>1</v>
      </c>
      <c r="BB100" s="526">
        <f t="shared" si="30"/>
        <v>80192</v>
      </c>
      <c r="BC100" s="1046">
        <f t="shared" si="11"/>
        <v>80192</v>
      </c>
      <c r="BD100" s="923">
        <f t="shared" si="31"/>
        <v>100</v>
      </c>
      <c r="BE100" s="923" t="str">
        <f t="shared" si="12"/>
        <v>AP5</v>
      </c>
      <c r="BF100" s="1124" t="s">
        <v>127</v>
      </c>
      <c r="BG100" s="1138" t="s">
        <v>127</v>
      </c>
      <c r="BH100" s="1139"/>
      <c r="BI100" s="495"/>
      <c r="BJ100" s="495"/>
      <c r="BK100" s="495"/>
      <c r="BL100" s="495"/>
      <c r="BM100" s="495"/>
      <c r="BN100" s="495"/>
      <c r="BO100" s="495"/>
      <c r="BP100" s="495"/>
    </row>
    <row r="101" spans="4:68" outlineLevel="1">
      <c r="D101" s="543" t="s">
        <v>1332</v>
      </c>
      <c r="E101" s="546" t="s">
        <v>1333</v>
      </c>
      <c r="F101" s="545" t="s">
        <v>472</v>
      </c>
      <c r="G101" s="545" t="s">
        <v>480</v>
      </c>
      <c r="H101" s="545" t="s">
        <v>480</v>
      </c>
      <c r="I101" s="545" t="s">
        <v>479</v>
      </c>
      <c r="J101" s="545" t="s">
        <v>479</v>
      </c>
      <c r="K101" s="545" t="s">
        <v>479</v>
      </c>
      <c r="S101" s="923">
        <v>1</v>
      </c>
      <c r="T101" s="526">
        <v>47845</v>
      </c>
      <c r="U101" s="1046">
        <f t="shared" si="32"/>
        <v>48347</v>
      </c>
      <c r="V101" s="923">
        <v>100</v>
      </c>
      <c r="W101" s="923" t="s">
        <v>460</v>
      </c>
      <c r="X101" s="545">
        <v>1</v>
      </c>
      <c r="Y101" s="526">
        <v>47845</v>
      </c>
      <c r="Z101" s="545">
        <v>100</v>
      </c>
      <c r="AA101" s="545" t="str">
        <f t="shared" si="13"/>
        <v>R2</v>
      </c>
      <c r="AB101" s="923">
        <f t="shared" si="14"/>
        <v>1</v>
      </c>
      <c r="AC101" s="526">
        <f t="shared" si="15"/>
        <v>49859</v>
      </c>
      <c r="AD101" s="1046">
        <f t="shared" si="33"/>
        <v>49859</v>
      </c>
      <c r="AE101" s="923">
        <f t="shared" si="16"/>
        <v>100</v>
      </c>
      <c r="AF101" s="923" t="str">
        <f t="shared" si="34"/>
        <v>R3</v>
      </c>
      <c r="AG101" s="923">
        <f t="shared" si="17"/>
        <v>1</v>
      </c>
      <c r="AH101" s="526">
        <f t="shared" si="18"/>
        <v>52194</v>
      </c>
      <c r="AI101" s="1046">
        <f t="shared" si="3"/>
        <v>52194</v>
      </c>
      <c r="AJ101" s="923">
        <f t="shared" si="19"/>
        <v>100</v>
      </c>
      <c r="AK101" s="923" t="str">
        <f t="shared" si="4"/>
        <v>P1</v>
      </c>
      <c r="AL101" s="923">
        <f t="shared" si="20"/>
        <v>1</v>
      </c>
      <c r="AM101" s="526">
        <f t="shared" si="21"/>
        <v>55617</v>
      </c>
      <c r="AN101" s="1046">
        <f t="shared" si="5"/>
        <v>55617</v>
      </c>
      <c r="AO101" s="923">
        <f t="shared" si="22"/>
        <v>100</v>
      </c>
      <c r="AP101" s="923" t="str">
        <f t="shared" si="6"/>
        <v>P2</v>
      </c>
      <c r="AQ101" s="923">
        <f t="shared" si="23"/>
        <v>1</v>
      </c>
      <c r="AR101" s="526">
        <f t="shared" si="24"/>
        <v>59197</v>
      </c>
      <c r="AS101" s="1046">
        <f t="shared" si="7"/>
        <v>59197</v>
      </c>
      <c r="AT101" s="923">
        <f t="shared" si="25"/>
        <v>100</v>
      </c>
      <c r="AU101" s="923" t="str">
        <f t="shared" si="8"/>
        <v>P3</v>
      </c>
      <c r="AV101" s="923">
        <f t="shared" si="26"/>
        <v>1</v>
      </c>
      <c r="AW101" s="526">
        <f t="shared" si="27"/>
        <v>62943</v>
      </c>
      <c r="AX101" s="1046">
        <f t="shared" si="9"/>
        <v>62943</v>
      </c>
      <c r="AY101" s="923">
        <f t="shared" si="28"/>
        <v>100</v>
      </c>
      <c r="AZ101" s="923" t="str">
        <f t="shared" si="10"/>
        <v>P4</v>
      </c>
      <c r="BA101" s="923">
        <f t="shared" si="29"/>
        <v>1</v>
      </c>
      <c r="BB101" s="526">
        <f t="shared" si="30"/>
        <v>66860</v>
      </c>
      <c r="BC101" s="1046">
        <f t="shared" si="11"/>
        <v>66860</v>
      </c>
      <c r="BD101" s="923">
        <f t="shared" si="31"/>
        <v>100</v>
      </c>
      <c r="BE101" s="923" t="str">
        <f t="shared" si="12"/>
        <v>P5</v>
      </c>
      <c r="BF101" s="1124">
        <v>47845</v>
      </c>
      <c r="BG101" s="1138">
        <f t="shared" si="35"/>
        <v>2014</v>
      </c>
      <c r="BH101" s="1140">
        <f t="shared" ref="BH101:BH104" si="36">BG101/BF101</f>
        <v>4.2094262723377573E-2</v>
      </c>
      <c r="BI101" s="495"/>
      <c r="BJ101" s="495"/>
      <c r="BK101" s="495"/>
      <c r="BL101" s="495"/>
      <c r="BM101" s="495"/>
      <c r="BN101" s="495"/>
      <c r="BO101" s="495"/>
      <c r="BP101" s="495"/>
    </row>
    <row r="102" spans="4:68" outlineLevel="1">
      <c r="D102" s="543" t="s">
        <v>1334</v>
      </c>
      <c r="E102" s="546" t="s">
        <v>1335</v>
      </c>
      <c r="F102" s="545" t="s">
        <v>472</v>
      </c>
      <c r="G102" s="545" t="s">
        <v>480</v>
      </c>
      <c r="H102" s="545" t="s">
        <v>480</v>
      </c>
      <c r="I102" s="545" t="s">
        <v>479</v>
      </c>
      <c r="J102" s="545" t="s">
        <v>479</v>
      </c>
      <c r="K102" s="545" t="s">
        <v>479</v>
      </c>
      <c r="S102" s="923">
        <v>1</v>
      </c>
      <c r="T102" s="526">
        <v>49847</v>
      </c>
      <c r="U102" s="1046">
        <f t="shared" si="32"/>
        <v>50349</v>
      </c>
      <c r="V102" s="923">
        <v>100</v>
      </c>
      <c r="W102" s="923" t="s">
        <v>246</v>
      </c>
      <c r="X102" s="545">
        <v>1</v>
      </c>
      <c r="Y102" s="526">
        <v>49847</v>
      </c>
      <c r="Z102" s="545">
        <v>100</v>
      </c>
      <c r="AA102" s="545" t="str">
        <f t="shared" si="13"/>
        <v>P1</v>
      </c>
      <c r="AB102" s="923">
        <f t="shared" si="14"/>
        <v>1</v>
      </c>
      <c r="AC102" s="526">
        <f t="shared" si="15"/>
        <v>52609</v>
      </c>
      <c r="AD102" s="1046">
        <f t="shared" si="33"/>
        <v>52609</v>
      </c>
      <c r="AE102" s="923">
        <f t="shared" si="16"/>
        <v>100</v>
      </c>
      <c r="AF102" s="923" t="str">
        <f t="shared" si="34"/>
        <v>P2</v>
      </c>
      <c r="AG102" s="923">
        <f t="shared" si="17"/>
        <v>1</v>
      </c>
      <c r="AH102" s="526">
        <f t="shared" si="18"/>
        <v>55799</v>
      </c>
      <c r="AI102" s="1046">
        <f t="shared" si="3"/>
        <v>55799</v>
      </c>
      <c r="AJ102" s="923">
        <f t="shared" si="19"/>
        <v>100</v>
      </c>
      <c r="AK102" s="923" t="str">
        <f t="shared" si="4"/>
        <v>P3</v>
      </c>
      <c r="AL102" s="923">
        <f t="shared" si="20"/>
        <v>1</v>
      </c>
      <c r="AM102" s="526">
        <f t="shared" si="21"/>
        <v>59330</v>
      </c>
      <c r="AN102" s="1046">
        <f t="shared" si="5"/>
        <v>59330</v>
      </c>
      <c r="AO102" s="923">
        <f t="shared" si="22"/>
        <v>100</v>
      </c>
      <c r="AP102" s="923" t="str">
        <f t="shared" si="6"/>
        <v>P4</v>
      </c>
      <c r="AQ102" s="923">
        <f t="shared" si="23"/>
        <v>1</v>
      </c>
      <c r="AR102" s="526">
        <f t="shared" si="24"/>
        <v>63022</v>
      </c>
      <c r="AS102" s="1046">
        <f t="shared" si="7"/>
        <v>63022</v>
      </c>
      <c r="AT102" s="923">
        <f t="shared" si="25"/>
        <v>100</v>
      </c>
      <c r="AU102" s="923" t="str">
        <f t="shared" si="8"/>
        <v>P5</v>
      </c>
      <c r="AV102" s="923">
        <f t="shared" si="26"/>
        <v>1</v>
      </c>
      <c r="AW102" s="526">
        <f t="shared" si="27"/>
        <v>68851</v>
      </c>
      <c r="AX102" s="1046">
        <f t="shared" si="9"/>
        <v>68851</v>
      </c>
      <c r="AY102" s="923">
        <f t="shared" si="28"/>
        <v>100</v>
      </c>
      <c r="AZ102" s="923" t="str">
        <f t="shared" si="10"/>
        <v>AP1</v>
      </c>
      <c r="BA102" s="923">
        <f t="shared" si="29"/>
        <v>1</v>
      </c>
      <c r="BB102" s="526">
        <f t="shared" si="30"/>
        <v>73236</v>
      </c>
      <c r="BC102" s="1046">
        <f t="shared" si="11"/>
        <v>73236</v>
      </c>
      <c r="BD102" s="923">
        <f t="shared" si="31"/>
        <v>100</v>
      </c>
      <c r="BE102" s="923" t="str">
        <f t="shared" si="12"/>
        <v>AP2</v>
      </c>
      <c r="BF102" s="1124">
        <v>49847</v>
      </c>
      <c r="BG102" s="1138">
        <f t="shared" si="35"/>
        <v>2762</v>
      </c>
      <c r="BH102" s="1140">
        <f t="shared" si="36"/>
        <v>5.540955323289265E-2</v>
      </c>
      <c r="BI102" s="495"/>
      <c r="BJ102" s="495"/>
      <c r="BK102" s="495"/>
      <c r="BL102" s="495"/>
      <c r="BM102" s="495"/>
      <c r="BN102" s="495"/>
      <c r="BO102" s="495"/>
      <c r="BP102" s="495"/>
    </row>
    <row r="103" spans="4:68" outlineLevel="1">
      <c r="D103" s="543" t="s">
        <v>1349</v>
      </c>
      <c r="E103" s="546" t="s">
        <v>1350</v>
      </c>
      <c r="F103" s="545" t="s">
        <v>472</v>
      </c>
      <c r="G103" s="545" t="s">
        <v>480</v>
      </c>
      <c r="H103" s="545" t="s">
        <v>480</v>
      </c>
      <c r="I103" s="545" t="s">
        <v>479</v>
      </c>
      <c r="J103" s="545" t="s">
        <v>479</v>
      </c>
      <c r="K103" s="545" t="s">
        <v>479</v>
      </c>
      <c r="S103" s="923">
        <v>1</v>
      </c>
      <c r="T103" s="526">
        <v>55289</v>
      </c>
      <c r="U103" s="1046">
        <f t="shared" si="32"/>
        <v>55696</v>
      </c>
      <c r="V103" s="923">
        <v>100</v>
      </c>
      <c r="W103" s="923" t="s">
        <v>249</v>
      </c>
      <c r="X103" s="545">
        <v>1</v>
      </c>
      <c r="Y103" s="526">
        <v>55289</v>
      </c>
      <c r="Z103" s="545">
        <v>100</v>
      </c>
      <c r="AA103" s="545" t="str">
        <f t="shared" si="13"/>
        <v>P4</v>
      </c>
      <c r="AB103" s="923">
        <f t="shared" si="14"/>
        <v>1</v>
      </c>
      <c r="AC103" s="526">
        <f t="shared" si="15"/>
        <v>57859</v>
      </c>
      <c r="AD103" s="1046">
        <f t="shared" si="33"/>
        <v>57859</v>
      </c>
      <c r="AE103" s="923">
        <f t="shared" si="16"/>
        <v>100</v>
      </c>
      <c r="AF103" s="923" t="str">
        <f t="shared" si="34"/>
        <v>P5</v>
      </c>
      <c r="AG103" s="923">
        <f t="shared" si="17"/>
        <v>1</v>
      </c>
      <c r="AH103" s="526">
        <f t="shared" si="18"/>
        <v>63009</v>
      </c>
      <c r="AI103" s="1046">
        <f t="shared" si="3"/>
        <v>63009</v>
      </c>
      <c r="AJ103" s="923">
        <f t="shared" si="19"/>
        <v>100</v>
      </c>
      <c r="AK103" s="923" t="str">
        <f t="shared" si="4"/>
        <v>AP1</v>
      </c>
      <c r="AL103" s="923">
        <f t="shared" si="20"/>
        <v>1</v>
      </c>
      <c r="AM103" s="526">
        <f t="shared" si="21"/>
        <v>67021</v>
      </c>
      <c r="AN103" s="1046">
        <f t="shared" si="5"/>
        <v>67021</v>
      </c>
      <c r="AO103" s="923">
        <f t="shared" si="22"/>
        <v>100</v>
      </c>
      <c r="AP103" s="923" t="str">
        <f t="shared" si="6"/>
        <v>AP2</v>
      </c>
      <c r="AQ103" s="923">
        <f t="shared" si="23"/>
        <v>1</v>
      </c>
      <c r="AR103" s="526">
        <f t="shared" si="24"/>
        <v>71217</v>
      </c>
      <c r="AS103" s="1046">
        <f t="shared" si="7"/>
        <v>71217</v>
      </c>
      <c r="AT103" s="923">
        <f t="shared" si="25"/>
        <v>100</v>
      </c>
      <c r="AU103" s="923" t="str">
        <f t="shared" si="8"/>
        <v>AP3</v>
      </c>
      <c r="AV103" s="923">
        <f t="shared" si="26"/>
        <v>1</v>
      </c>
      <c r="AW103" s="526">
        <f t="shared" si="27"/>
        <v>75605</v>
      </c>
      <c r="AX103" s="1046">
        <f t="shared" si="9"/>
        <v>75605</v>
      </c>
      <c r="AY103" s="923">
        <f t="shared" si="28"/>
        <v>100</v>
      </c>
      <c r="AZ103" s="923" t="str">
        <f t="shared" si="10"/>
        <v>AP4</v>
      </c>
      <c r="BA103" s="923">
        <f t="shared" si="29"/>
        <v>1</v>
      </c>
      <c r="BB103" s="526">
        <f t="shared" si="30"/>
        <v>80192</v>
      </c>
      <c r="BC103" s="1046">
        <f t="shared" si="11"/>
        <v>80192</v>
      </c>
      <c r="BD103" s="923">
        <f t="shared" si="31"/>
        <v>100</v>
      </c>
      <c r="BE103" s="923" t="str">
        <f t="shared" si="12"/>
        <v>AP5</v>
      </c>
      <c r="BF103" s="1124">
        <v>55289</v>
      </c>
      <c r="BG103" s="1138">
        <f t="shared" si="35"/>
        <v>2570</v>
      </c>
      <c r="BH103" s="1140">
        <f t="shared" si="36"/>
        <v>4.6483025556620663E-2</v>
      </c>
      <c r="BI103" s="495"/>
      <c r="BJ103" s="495"/>
      <c r="BK103" s="495"/>
      <c r="BL103" s="495"/>
      <c r="BM103" s="495"/>
      <c r="BN103" s="495"/>
      <c r="BO103" s="495"/>
      <c r="BP103" s="495"/>
    </row>
    <row r="104" spans="4:68" outlineLevel="1">
      <c r="D104" s="543" t="s">
        <v>1352</v>
      </c>
      <c r="E104" s="546" t="s">
        <v>1351</v>
      </c>
      <c r="F104" s="545" t="s">
        <v>472</v>
      </c>
      <c r="G104" s="545" t="s">
        <v>480</v>
      </c>
      <c r="H104" s="545" t="s">
        <v>480</v>
      </c>
      <c r="I104" s="545" t="s">
        <v>479</v>
      </c>
      <c r="J104" s="545" t="s">
        <v>480</v>
      </c>
      <c r="K104" s="545" t="s">
        <v>479</v>
      </c>
      <c r="S104" s="923">
        <v>1</v>
      </c>
      <c r="T104" s="526">
        <v>56975</v>
      </c>
      <c r="U104" s="1046">
        <f t="shared" si="32"/>
        <v>57414</v>
      </c>
      <c r="V104" s="923">
        <v>100</v>
      </c>
      <c r="W104" s="923" t="s">
        <v>248</v>
      </c>
      <c r="X104" s="545">
        <v>1</v>
      </c>
      <c r="Y104" s="526">
        <v>56975</v>
      </c>
      <c r="Z104" s="545">
        <v>100</v>
      </c>
      <c r="AA104" s="545" t="str">
        <f t="shared" si="13"/>
        <v>P3</v>
      </c>
      <c r="AB104" s="923">
        <f t="shared" si="14"/>
        <v>1</v>
      </c>
      <c r="AC104" s="526">
        <f t="shared" si="15"/>
        <v>59609</v>
      </c>
      <c r="AD104" s="1046">
        <f t="shared" si="33"/>
        <v>59609</v>
      </c>
      <c r="AE104" s="923">
        <f t="shared" si="16"/>
        <v>100</v>
      </c>
      <c r="AF104" s="923" t="str">
        <f t="shared" si="34"/>
        <v>P4</v>
      </c>
      <c r="AG104" s="923">
        <f t="shared" si="17"/>
        <v>1</v>
      </c>
      <c r="AH104" s="526">
        <f t="shared" si="18"/>
        <v>59404</v>
      </c>
      <c r="AI104" s="1046">
        <f t="shared" si="3"/>
        <v>59404</v>
      </c>
      <c r="AJ104" s="923">
        <f t="shared" si="19"/>
        <v>100</v>
      </c>
      <c r="AK104" s="923" t="str">
        <f t="shared" si="4"/>
        <v>P5</v>
      </c>
      <c r="AL104" s="923">
        <f t="shared" si="20"/>
        <v>1</v>
      </c>
      <c r="AM104" s="526">
        <f t="shared" si="21"/>
        <v>64899</v>
      </c>
      <c r="AN104" s="1046">
        <f t="shared" si="5"/>
        <v>64899</v>
      </c>
      <c r="AO104" s="923">
        <f t="shared" si="22"/>
        <v>100</v>
      </c>
      <c r="AP104" s="923" t="str">
        <f t="shared" si="6"/>
        <v>AP1</v>
      </c>
      <c r="AQ104" s="923">
        <f t="shared" si="23"/>
        <v>1</v>
      </c>
      <c r="AR104" s="526">
        <f t="shared" si="24"/>
        <v>69032</v>
      </c>
      <c r="AS104" s="1046">
        <f t="shared" si="7"/>
        <v>69032</v>
      </c>
      <c r="AT104" s="923">
        <f t="shared" si="25"/>
        <v>100</v>
      </c>
      <c r="AU104" s="923" t="str">
        <f t="shared" si="8"/>
        <v>AP2</v>
      </c>
      <c r="AV104" s="923">
        <f t="shared" si="26"/>
        <v>1</v>
      </c>
      <c r="AW104" s="526">
        <f t="shared" si="27"/>
        <v>73354</v>
      </c>
      <c r="AX104" s="1046">
        <f t="shared" si="9"/>
        <v>73354</v>
      </c>
      <c r="AY104" s="923">
        <f t="shared" si="28"/>
        <v>100</v>
      </c>
      <c r="AZ104" s="923" t="str">
        <f t="shared" si="10"/>
        <v>AP3</v>
      </c>
      <c r="BA104" s="923">
        <f t="shared" si="29"/>
        <v>1</v>
      </c>
      <c r="BB104" s="526">
        <f t="shared" si="30"/>
        <v>77873</v>
      </c>
      <c r="BC104" s="1046">
        <f t="shared" si="11"/>
        <v>77873</v>
      </c>
      <c r="BD104" s="923">
        <f t="shared" si="31"/>
        <v>100</v>
      </c>
      <c r="BE104" s="923" t="str">
        <f t="shared" si="12"/>
        <v>AP4</v>
      </c>
      <c r="BF104" s="1124">
        <v>56975</v>
      </c>
      <c r="BG104" s="1138">
        <f t="shared" si="35"/>
        <v>2634</v>
      </c>
      <c r="BH104" s="1140">
        <f t="shared" si="36"/>
        <v>4.6230802983764807E-2</v>
      </c>
      <c r="BI104" s="495"/>
      <c r="BJ104" s="495"/>
      <c r="BK104" s="495"/>
      <c r="BL104" s="495"/>
      <c r="BM104" s="495"/>
      <c r="BN104" s="495"/>
      <c r="BO104" s="495"/>
      <c r="BP104" s="495"/>
    </row>
    <row r="105" spans="4:68" outlineLevel="1">
      <c r="D105" s="543" t="s">
        <v>1353</v>
      </c>
      <c r="E105" s="546" t="s">
        <v>1354</v>
      </c>
      <c r="F105" s="545" t="s">
        <v>472</v>
      </c>
      <c r="G105" s="545" t="s">
        <v>480</v>
      </c>
      <c r="H105" s="545" t="s">
        <v>480</v>
      </c>
      <c r="I105" s="545" t="s">
        <v>479</v>
      </c>
      <c r="J105" s="545" t="s">
        <v>480</v>
      </c>
      <c r="K105" s="545" t="s">
        <v>479</v>
      </c>
      <c r="S105" s="923">
        <v>1</v>
      </c>
      <c r="T105" s="526">
        <v>68472</v>
      </c>
      <c r="U105" s="1046">
        <f t="shared" si="32"/>
        <v>67024</v>
      </c>
      <c r="V105" s="923">
        <v>100</v>
      </c>
      <c r="W105" s="923" t="s">
        <v>442</v>
      </c>
      <c r="X105" s="545">
        <v>0.54</v>
      </c>
      <c r="Y105" s="526">
        <v>40170</v>
      </c>
      <c r="Z105" s="545">
        <v>100</v>
      </c>
      <c r="AA105" s="545" t="str">
        <f t="shared" si="13"/>
        <v>AP3</v>
      </c>
      <c r="AB105" s="923">
        <v>1</v>
      </c>
      <c r="AC105" s="526">
        <f t="shared" si="15"/>
        <v>70859</v>
      </c>
      <c r="AD105" s="1046">
        <f t="shared" si="33"/>
        <v>70859</v>
      </c>
      <c r="AE105" s="923">
        <f t="shared" si="16"/>
        <v>100</v>
      </c>
      <c r="AF105" s="923" t="str">
        <f t="shared" si="34"/>
        <v>AP4</v>
      </c>
      <c r="AG105" s="923">
        <f t="shared" si="17"/>
        <v>1</v>
      </c>
      <c r="AH105" s="526">
        <f t="shared" si="18"/>
        <v>71249</v>
      </c>
      <c r="AI105" s="1046">
        <f t="shared" si="3"/>
        <v>71249</v>
      </c>
      <c r="AJ105" s="923">
        <f t="shared" si="19"/>
        <v>100</v>
      </c>
      <c r="AK105" s="923" t="str">
        <f t="shared" si="4"/>
        <v>AP5</v>
      </c>
      <c r="AL105" s="923">
        <f t="shared" si="20"/>
        <v>1</v>
      </c>
      <c r="AM105" s="526">
        <f t="shared" si="21"/>
        <v>73386</v>
      </c>
      <c r="AN105" s="1046">
        <f t="shared" si="5"/>
        <v>73386</v>
      </c>
      <c r="AO105" s="923">
        <f t="shared" si="22"/>
        <v>100</v>
      </c>
      <c r="AP105" s="923" t="str">
        <f t="shared" si="6"/>
        <v>AP5</v>
      </c>
      <c r="AQ105" s="923">
        <f t="shared" si="23"/>
        <v>1</v>
      </c>
      <c r="AR105" s="526">
        <f t="shared" si="24"/>
        <v>75588</v>
      </c>
      <c r="AS105" s="1046">
        <f t="shared" si="7"/>
        <v>75588</v>
      </c>
      <c r="AT105" s="923">
        <f t="shared" si="25"/>
        <v>100</v>
      </c>
      <c r="AU105" s="923" t="str">
        <f t="shared" si="8"/>
        <v>AP5</v>
      </c>
      <c r="AV105" s="923">
        <f t="shared" si="26"/>
        <v>1</v>
      </c>
      <c r="AW105" s="526">
        <f t="shared" si="27"/>
        <v>77856</v>
      </c>
      <c r="AX105" s="1046">
        <f t="shared" si="9"/>
        <v>77856</v>
      </c>
      <c r="AY105" s="923">
        <f t="shared" si="28"/>
        <v>100</v>
      </c>
      <c r="AZ105" s="923" t="str">
        <f t="shared" si="10"/>
        <v>AP5</v>
      </c>
      <c r="BA105" s="923">
        <f t="shared" si="29"/>
        <v>1</v>
      </c>
      <c r="BB105" s="526">
        <f t="shared" si="30"/>
        <v>80192</v>
      </c>
      <c r="BC105" s="1046">
        <f t="shared" si="11"/>
        <v>80192</v>
      </c>
      <c r="BD105" s="923">
        <f t="shared" si="31"/>
        <v>100</v>
      </c>
      <c r="BE105" s="923" t="str">
        <f t="shared" si="12"/>
        <v>AP5</v>
      </c>
      <c r="BF105" s="1124" t="s">
        <v>127</v>
      </c>
      <c r="BG105" s="1138" t="s">
        <v>127</v>
      </c>
      <c r="BH105" s="1140"/>
      <c r="BI105" s="495"/>
      <c r="BJ105" s="495"/>
      <c r="BK105" s="495"/>
      <c r="BL105" s="495"/>
      <c r="BM105" s="495"/>
      <c r="BN105" s="495"/>
      <c r="BO105" s="495"/>
      <c r="BP105" s="495"/>
    </row>
    <row r="106" spans="4:68" outlineLevel="1">
      <c r="D106" s="543" t="s">
        <v>1355</v>
      </c>
      <c r="E106" s="546" t="s">
        <v>1356</v>
      </c>
      <c r="F106" s="545" t="s">
        <v>472</v>
      </c>
      <c r="G106" s="545" t="s">
        <v>480</v>
      </c>
      <c r="H106" s="545" t="s">
        <v>480</v>
      </c>
      <c r="I106" s="545" t="s">
        <v>479</v>
      </c>
      <c r="J106" s="545" t="s">
        <v>480</v>
      </c>
      <c r="K106" s="545" t="s">
        <v>479</v>
      </c>
      <c r="S106" s="923">
        <v>0</v>
      </c>
      <c r="T106" s="526">
        <v>0</v>
      </c>
      <c r="U106" s="1046">
        <f t="shared" si="32"/>
        <v>0</v>
      </c>
      <c r="V106" s="923">
        <v>100</v>
      </c>
      <c r="W106" s="923" t="s">
        <v>241</v>
      </c>
      <c r="X106" s="545">
        <v>0</v>
      </c>
      <c r="Y106" s="526">
        <v>0</v>
      </c>
      <c r="Z106" s="545">
        <v>100</v>
      </c>
      <c r="AA106" s="545" t="str">
        <f t="shared" si="13"/>
        <v>R1</v>
      </c>
      <c r="AB106" s="923">
        <v>1</v>
      </c>
      <c r="AC106" s="526">
        <f t="shared" si="15"/>
        <v>54359</v>
      </c>
      <c r="AD106" s="1046">
        <f t="shared" si="33"/>
        <v>54359</v>
      </c>
      <c r="AE106" s="923">
        <f t="shared" si="16"/>
        <v>100</v>
      </c>
      <c r="AF106" s="923" t="s">
        <v>246</v>
      </c>
      <c r="AG106" s="923">
        <f t="shared" si="17"/>
        <v>1</v>
      </c>
      <c r="AH106" s="526">
        <f t="shared" si="18"/>
        <v>53997</v>
      </c>
      <c r="AI106" s="1046">
        <f t="shared" si="3"/>
        <v>53997</v>
      </c>
      <c r="AJ106" s="923">
        <f t="shared" si="19"/>
        <v>100</v>
      </c>
      <c r="AK106" s="923" t="str">
        <f t="shared" si="4"/>
        <v>P2</v>
      </c>
      <c r="AL106" s="923">
        <f t="shared" si="20"/>
        <v>1</v>
      </c>
      <c r="AM106" s="526">
        <f t="shared" si="21"/>
        <v>57473</v>
      </c>
      <c r="AN106" s="1046">
        <f t="shared" si="5"/>
        <v>57473</v>
      </c>
      <c r="AO106" s="923">
        <f t="shared" si="22"/>
        <v>100</v>
      </c>
      <c r="AP106" s="923" t="str">
        <f t="shared" si="6"/>
        <v>P3</v>
      </c>
      <c r="AQ106" s="923">
        <f t="shared" si="23"/>
        <v>1</v>
      </c>
      <c r="AR106" s="526">
        <f t="shared" si="24"/>
        <v>61110</v>
      </c>
      <c r="AS106" s="1046">
        <f t="shared" si="7"/>
        <v>61110</v>
      </c>
      <c r="AT106" s="923">
        <f t="shared" si="25"/>
        <v>100</v>
      </c>
      <c r="AU106" s="923" t="str">
        <f t="shared" si="8"/>
        <v>P4</v>
      </c>
      <c r="AV106" s="923">
        <f t="shared" si="26"/>
        <v>1</v>
      </c>
      <c r="AW106" s="526">
        <f t="shared" si="27"/>
        <v>64913</v>
      </c>
      <c r="AX106" s="1046">
        <f t="shared" si="9"/>
        <v>64913</v>
      </c>
      <c r="AY106" s="923">
        <f t="shared" si="28"/>
        <v>100</v>
      </c>
      <c r="AZ106" s="923" t="str">
        <f t="shared" si="10"/>
        <v>P5</v>
      </c>
      <c r="BA106" s="923">
        <f t="shared" si="29"/>
        <v>1</v>
      </c>
      <c r="BB106" s="526">
        <f t="shared" si="30"/>
        <v>70917</v>
      </c>
      <c r="BC106" s="1046">
        <f t="shared" si="11"/>
        <v>70917</v>
      </c>
      <c r="BD106" s="923">
        <f t="shared" si="31"/>
        <v>100</v>
      </c>
      <c r="BE106" s="923" t="str">
        <f t="shared" si="12"/>
        <v>AP1</v>
      </c>
      <c r="BF106" s="1124" t="s">
        <v>127</v>
      </c>
      <c r="BG106" s="1138" t="s">
        <v>127</v>
      </c>
      <c r="BH106" s="1139"/>
      <c r="BI106" s="495"/>
      <c r="BJ106" s="495"/>
      <c r="BK106" s="495"/>
      <c r="BL106" s="495"/>
      <c r="BM106" s="495"/>
      <c r="BN106" s="495"/>
      <c r="BO106" s="495"/>
      <c r="BP106" s="495"/>
    </row>
    <row r="107" spans="4:68" outlineLevel="1">
      <c r="D107" s="543" t="s">
        <v>1444</v>
      </c>
      <c r="E107" s="546" t="s">
        <v>1365</v>
      </c>
      <c r="F107" s="545" t="s">
        <v>472</v>
      </c>
      <c r="G107" s="545" t="s">
        <v>480</v>
      </c>
      <c r="H107" s="545" t="s">
        <v>480</v>
      </c>
      <c r="I107" s="545" t="s">
        <v>479</v>
      </c>
      <c r="J107" s="545" t="s">
        <v>479</v>
      </c>
      <c r="K107" s="545" t="s">
        <v>479</v>
      </c>
      <c r="S107" s="923">
        <v>0</v>
      </c>
      <c r="T107" s="526">
        <v>0</v>
      </c>
      <c r="U107" s="1046">
        <f t="shared" si="32"/>
        <v>0</v>
      </c>
      <c r="V107" s="923">
        <v>100</v>
      </c>
      <c r="W107" s="923" t="s">
        <v>461</v>
      </c>
      <c r="X107" s="545">
        <v>0</v>
      </c>
      <c r="Y107" s="526">
        <v>0</v>
      </c>
      <c r="Z107" s="545">
        <v>100</v>
      </c>
      <c r="AA107" s="545" t="s">
        <v>241</v>
      </c>
      <c r="AB107" s="923">
        <v>1</v>
      </c>
      <c r="AC107" s="526">
        <f t="shared" si="15"/>
        <v>48859</v>
      </c>
      <c r="AD107" s="1046">
        <f t="shared" si="33"/>
        <v>48859</v>
      </c>
      <c r="AE107" s="923">
        <f t="shared" ref="AE107" si="37">+V107</f>
        <v>100</v>
      </c>
      <c r="AF107" s="923" t="str">
        <f t="shared" si="34"/>
        <v>R2</v>
      </c>
      <c r="AG107" s="923">
        <f t="shared" ref="AG107:AG108" si="38">+AB107</f>
        <v>1</v>
      </c>
      <c r="AH107" s="526">
        <f t="shared" ref="AH107" si="39">+AI107</f>
        <v>51164</v>
      </c>
      <c r="AI107" s="1046">
        <f t="shared" si="3"/>
        <v>51164</v>
      </c>
      <c r="AJ107" s="923">
        <f t="shared" ref="AJ107" si="40">+Z107</f>
        <v>100</v>
      </c>
      <c r="AK107" s="923" t="str">
        <f t="shared" ref="AK107" si="41">IF(LEFT(AF107,LEN(AF107)-1)&amp;1+RIGHT(AF107,1)="R4","P1",IF(LEFT(AF107,LEN(AF107)-1)&amp;1+RIGHT(AF107,1)="P6","AP1",IF(LEFT(AF107,LEN(AF107)-1)&amp;1+RIGHT(AF107,1)="AP6","AP5",LEFT(AF107,LEN(AF107)-1)&amp;1+RIGHT(AF107,1))))</f>
        <v>R3</v>
      </c>
      <c r="AL107" s="923">
        <f t="shared" ref="AL107:AL108" si="42">+AG107</f>
        <v>1</v>
      </c>
      <c r="AM107" s="526">
        <f t="shared" ref="AM107" si="43">+AN107</f>
        <v>53760</v>
      </c>
      <c r="AN107" s="1046">
        <f t="shared" si="5"/>
        <v>53760</v>
      </c>
      <c r="AO107" s="923">
        <f t="shared" ref="AO107" si="44">+AE107</f>
        <v>100</v>
      </c>
      <c r="AP107" s="923" t="str">
        <f t="shared" ref="AP107" si="45">IF(LEFT(AK107,LEN(AK107)-1)&amp;1+RIGHT(AK107,1)="R4","P1",IF(LEFT(AK107,LEN(AK107)-1)&amp;1+RIGHT(AK107,1)="P6","AP1",IF(LEFT(AK107,LEN(AK107)-1)&amp;1+RIGHT(AK107,1)="AP6","AP5",LEFT(AK107,LEN(AK107)-1)&amp;1+RIGHT(AK107,1))))</f>
        <v>P1</v>
      </c>
      <c r="AQ107" s="923">
        <f t="shared" ref="AQ107:AQ108" si="46">+AL107</f>
        <v>1</v>
      </c>
      <c r="AR107" s="526">
        <f t="shared" ref="AR107" si="47">+AS107</f>
        <v>57286</v>
      </c>
      <c r="AS107" s="1046">
        <f t="shared" si="7"/>
        <v>57286</v>
      </c>
      <c r="AT107" s="923">
        <f t="shared" ref="AT107" si="48">+AJ107</f>
        <v>100</v>
      </c>
      <c r="AU107" s="923" t="str">
        <f t="shared" ref="AU107" si="49">IF(LEFT(AP107,LEN(AP107)-1)&amp;1+RIGHT(AP107,1)="R4","P1",IF(LEFT(AP107,LEN(AP107)-1)&amp;1+RIGHT(AP107,1)="P6","AP1",IF(LEFT(AP107,LEN(AP107)-1)&amp;1+RIGHT(AP107,1)="AP6","AP5",LEFT(AP107,LEN(AP107)-1)&amp;1+RIGHT(AP107,1))))</f>
        <v>P2</v>
      </c>
      <c r="AV107" s="923">
        <f t="shared" ref="AV107:AV108" si="50">+AQ107</f>
        <v>1</v>
      </c>
      <c r="AW107" s="526">
        <f t="shared" ref="AW107" si="51">+AX107</f>
        <v>60973</v>
      </c>
      <c r="AX107" s="1046">
        <f t="shared" si="9"/>
        <v>60973</v>
      </c>
      <c r="AY107" s="923">
        <f t="shared" ref="AY107" si="52">+AO107</f>
        <v>100</v>
      </c>
      <c r="AZ107" s="923" t="str">
        <f t="shared" ref="AZ107" si="53">IF(LEFT(AU107,LEN(AU107)-1)&amp;1+RIGHT(AU107,1)="R4","P1",IF(LEFT(AU107,LEN(AU107)-1)&amp;1+RIGHT(AU107,1)="P6","AP1",IF(LEFT(AU107,LEN(AU107)-1)&amp;1+RIGHT(AU107,1)="AP6","AP5",LEFT(AU107,LEN(AU107)-1)&amp;1+RIGHT(AU107,1))))</f>
        <v>P3</v>
      </c>
      <c r="BA107" s="923">
        <f t="shared" ref="BA107" si="54">+AQ107</f>
        <v>1</v>
      </c>
      <c r="BB107" s="526">
        <f t="shared" ref="BB107" si="55">+BC107</f>
        <v>64831</v>
      </c>
      <c r="BC107" s="1046">
        <f t="shared" si="11"/>
        <v>64831</v>
      </c>
      <c r="BD107" s="923">
        <f t="shared" ref="BD107" si="56">+AT107</f>
        <v>100</v>
      </c>
      <c r="BE107" s="923" t="str">
        <f t="shared" ref="BE107" si="57">IF(LEFT(AZ107,LEN(AZ107)-1)&amp;1+RIGHT(AZ107,1)="R4","P1",IF(LEFT(AZ107,LEN(AZ107)-1)&amp;1+RIGHT(AZ107,1)="P6","AP1",IF(LEFT(AZ107,LEN(AZ107)-1)&amp;1+RIGHT(AZ107,1)="AP6","AP5",LEFT(AZ107,LEN(AZ107)-1)&amp;1+RIGHT(AZ107,1))))</f>
        <v>P4</v>
      </c>
      <c r="BF107" s="1124" t="s">
        <v>127</v>
      </c>
      <c r="BG107" s="1138" t="s">
        <v>127</v>
      </c>
      <c r="BH107" s="1139"/>
      <c r="BI107" s="495"/>
      <c r="BJ107" s="495"/>
      <c r="BK107" s="495"/>
      <c r="BL107" s="495"/>
      <c r="BM107" s="495"/>
      <c r="BN107" s="495"/>
      <c r="BO107" s="495"/>
      <c r="BP107" s="495"/>
    </row>
    <row r="108" spans="4:68" outlineLevel="1">
      <c r="D108" s="543" t="s">
        <v>1441</v>
      </c>
      <c r="E108" s="546" t="s">
        <v>1395</v>
      </c>
      <c r="F108" s="545" t="s">
        <v>472</v>
      </c>
      <c r="G108" s="545" t="s">
        <v>480</v>
      </c>
      <c r="H108" s="545" t="s">
        <v>480</v>
      </c>
      <c r="I108" s="545" t="s">
        <v>479</v>
      </c>
      <c r="J108" s="545" t="s">
        <v>479</v>
      </c>
      <c r="K108" s="545" t="s">
        <v>479</v>
      </c>
      <c r="S108" s="923">
        <v>0</v>
      </c>
      <c r="T108" s="526">
        <v>0</v>
      </c>
      <c r="U108" s="1046">
        <f t="shared" si="32"/>
        <v>0</v>
      </c>
      <c r="V108" s="923">
        <v>100</v>
      </c>
      <c r="W108" s="923" t="s">
        <v>461</v>
      </c>
      <c r="X108" s="545">
        <v>0</v>
      </c>
      <c r="Y108" s="526"/>
      <c r="Z108" s="545"/>
      <c r="AA108" s="545" t="str">
        <f t="shared" si="13"/>
        <v>R3</v>
      </c>
      <c r="AB108" s="923">
        <v>1</v>
      </c>
      <c r="AC108" s="526">
        <f t="shared" si="15"/>
        <v>47859</v>
      </c>
      <c r="AD108" s="1046">
        <f t="shared" si="33"/>
        <v>47859</v>
      </c>
      <c r="AE108" s="923">
        <v>100</v>
      </c>
      <c r="AF108" s="923" t="s">
        <v>241</v>
      </c>
      <c r="AG108" s="923">
        <f t="shared" si="38"/>
        <v>1</v>
      </c>
      <c r="AH108" s="526">
        <f>AC108*(1+AH9)</f>
        <v>49294.770000000004</v>
      </c>
      <c r="AI108" s="1046">
        <f t="shared" si="3"/>
        <v>69189</v>
      </c>
      <c r="AJ108" s="923">
        <v>100</v>
      </c>
      <c r="AK108" s="923" t="s">
        <v>443</v>
      </c>
      <c r="AL108" s="923">
        <f t="shared" si="42"/>
        <v>1</v>
      </c>
      <c r="AM108" s="526">
        <f>AH108*(1+AM9)</f>
        <v>50773.613100000002</v>
      </c>
      <c r="AN108" s="1046">
        <f t="shared" si="5"/>
        <v>71265</v>
      </c>
      <c r="AO108" s="923">
        <v>100</v>
      </c>
      <c r="AP108" s="923" t="s">
        <v>443</v>
      </c>
      <c r="AQ108" s="923">
        <f t="shared" si="46"/>
        <v>1</v>
      </c>
      <c r="AR108" s="526">
        <f>AM108*(1+AR9)</f>
        <v>52296.821493000003</v>
      </c>
      <c r="AS108" s="1046">
        <f t="shared" si="7"/>
        <v>73403</v>
      </c>
      <c r="AT108" s="923">
        <v>100</v>
      </c>
      <c r="AU108" s="923" t="s">
        <v>443</v>
      </c>
      <c r="AV108" s="923">
        <f t="shared" si="50"/>
        <v>1</v>
      </c>
      <c r="AW108" s="526">
        <f>AR108*(1+AW9)</f>
        <v>53865.726137790007</v>
      </c>
      <c r="AX108" s="1046">
        <f t="shared" si="9"/>
        <v>75605</v>
      </c>
      <c r="AY108" s="923">
        <v>100</v>
      </c>
      <c r="AZ108" s="923" t="s">
        <v>443</v>
      </c>
      <c r="BA108" s="923">
        <f t="shared" ref="BA108" si="58">+AV108</f>
        <v>1</v>
      </c>
      <c r="BB108" s="526">
        <f>AW108*(1+BB9)</f>
        <v>55481.697921923711</v>
      </c>
      <c r="BC108" s="1046">
        <f t="shared" si="11"/>
        <v>77873</v>
      </c>
      <c r="BD108" s="923">
        <v>100</v>
      </c>
      <c r="BE108" s="923" t="s">
        <v>443</v>
      </c>
      <c r="BF108" s="1124" t="s">
        <v>127</v>
      </c>
      <c r="BG108" s="1138" t="s">
        <v>127</v>
      </c>
      <c r="BH108" s="1139"/>
      <c r="BI108" s="495"/>
      <c r="BJ108" s="495"/>
      <c r="BK108" s="495"/>
      <c r="BL108" s="495"/>
      <c r="BM108" s="495"/>
      <c r="BN108" s="495"/>
      <c r="BO108" s="495"/>
      <c r="BP108" s="495"/>
    </row>
    <row r="109" spans="4:68" outlineLevel="1">
      <c r="D109" s="543" t="s">
        <v>1357</v>
      </c>
      <c r="E109" s="546" t="s">
        <v>1364</v>
      </c>
      <c r="F109" s="545" t="s">
        <v>472</v>
      </c>
      <c r="G109" s="545" t="s">
        <v>480</v>
      </c>
      <c r="H109" s="545" t="s">
        <v>480</v>
      </c>
      <c r="I109" s="545" t="s">
        <v>479</v>
      </c>
      <c r="J109" s="545" t="s">
        <v>479</v>
      </c>
      <c r="K109" s="545" t="s">
        <v>479</v>
      </c>
      <c r="S109" s="923">
        <v>1</v>
      </c>
      <c r="T109" s="526">
        <v>57102</v>
      </c>
      <c r="U109" s="1046">
        <f t="shared" si="32"/>
        <v>57478</v>
      </c>
      <c r="V109" s="923">
        <v>100</v>
      </c>
      <c r="W109" s="923" t="s">
        <v>250</v>
      </c>
      <c r="X109" s="545">
        <v>1</v>
      </c>
      <c r="Y109" s="526">
        <v>57102</v>
      </c>
      <c r="Z109" s="545">
        <v>100</v>
      </c>
      <c r="AA109" s="545" t="str">
        <f t="shared" si="13"/>
        <v>P5</v>
      </c>
      <c r="AB109" s="923">
        <f t="shared" si="14"/>
        <v>1</v>
      </c>
      <c r="AC109" s="526">
        <f t="shared" si="15"/>
        <v>61359</v>
      </c>
      <c r="AD109" s="1046">
        <f t="shared" si="33"/>
        <v>61359</v>
      </c>
      <c r="AE109" s="923">
        <f t="shared" si="16"/>
        <v>100</v>
      </c>
      <c r="AF109" s="923" t="s">
        <v>440</v>
      </c>
      <c r="AG109" s="923">
        <f t="shared" si="17"/>
        <v>1</v>
      </c>
      <c r="AH109" s="526">
        <f t="shared" si="18"/>
        <v>65069</v>
      </c>
      <c r="AI109" s="1046">
        <f t="shared" si="3"/>
        <v>65069</v>
      </c>
      <c r="AJ109" s="923">
        <f t="shared" si="19"/>
        <v>100</v>
      </c>
      <c r="AK109" s="923" t="str">
        <f t="shared" si="4"/>
        <v>AP2</v>
      </c>
      <c r="AL109" s="923">
        <f t="shared" si="20"/>
        <v>1</v>
      </c>
      <c r="AM109" s="526">
        <f t="shared" si="21"/>
        <v>69143</v>
      </c>
      <c r="AN109" s="1046">
        <f t="shared" si="5"/>
        <v>69143</v>
      </c>
      <c r="AO109" s="923">
        <f t="shared" si="22"/>
        <v>100</v>
      </c>
      <c r="AP109" s="923" t="str">
        <f t="shared" si="6"/>
        <v>AP3</v>
      </c>
      <c r="AQ109" s="923">
        <f t="shared" si="23"/>
        <v>1</v>
      </c>
      <c r="AR109" s="526">
        <f t="shared" si="24"/>
        <v>73403</v>
      </c>
      <c r="AS109" s="1046">
        <f t="shared" si="7"/>
        <v>73403</v>
      </c>
      <c r="AT109" s="923">
        <f t="shared" si="25"/>
        <v>100</v>
      </c>
      <c r="AU109" s="923" t="str">
        <f t="shared" si="8"/>
        <v>AP4</v>
      </c>
      <c r="AV109" s="923">
        <f t="shared" si="26"/>
        <v>1</v>
      </c>
      <c r="AW109" s="526">
        <f t="shared" si="27"/>
        <v>77856</v>
      </c>
      <c r="AX109" s="1046">
        <f t="shared" si="9"/>
        <v>77856</v>
      </c>
      <c r="AY109" s="923">
        <f t="shared" si="28"/>
        <v>100</v>
      </c>
      <c r="AZ109" s="923" t="str">
        <f t="shared" si="10"/>
        <v>AP5</v>
      </c>
      <c r="BA109" s="923">
        <f t="shared" si="29"/>
        <v>1</v>
      </c>
      <c r="BB109" s="526">
        <f t="shared" si="30"/>
        <v>80192</v>
      </c>
      <c r="BC109" s="1046">
        <f t="shared" si="11"/>
        <v>80192</v>
      </c>
      <c r="BD109" s="923">
        <f t="shared" si="31"/>
        <v>100</v>
      </c>
      <c r="BE109" s="923" t="str">
        <f t="shared" si="12"/>
        <v>AP5</v>
      </c>
      <c r="BF109" s="1124">
        <v>57102</v>
      </c>
      <c r="BG109" s="1138">
        <f t="shared" si="35"/>
        <v>4257</v>
      </c>
      <c r="BH109" s="1140">
        <f>BG109/BF109</f>
        <v>7.4550803824734682E-2</v>
      </c>
      <c r="BI109" s="495"/>
      <c r="BJ109" s="495"/>
      <c r="BK109" s="495"/>
      <c r="BL109" s="495"/>
      <c r="BM109" s="495"/>
      <c r="BN109" s="495"/>
      <c r="BO109" s="495"/>
      <c r="BP109" s="495"/>
    </row>
    <row r="110" spans="4:68" outlineLevel="1">
      <c r="D110" s="543" t="s">
        <v>1358</v>
      </c>
      <c r="E110" s="546" t="s">
        <v>1363</v>
      </c>
      <c r="F110" s="545" t="s">
        <v>472</v>
      </c>
      <c r="G110" s="545" t="s">
        <v>480</v>
      </c>
      <c r="H110" s="545" t="s">
        <v>480</v>
      </c>
      <c r="I110" s="545" t="s">
        <v>480</v>
      </c>
      <c r="J110" s="545" t="s">
        <v>479</v>
      </c>
      <c r="K110" s="545" t="s">
        <v>479</v>
      </c>
      <c r="S110" s="923">
        <v>1</v>
      </c>
      <c r="T110" s="526">
        <v>35884</v>
      </c>
      <c r="U110" s="1046">
        <f t="shared" si="32"/>
        <v>54132</v>
      </c>
      <c r="V110" s="923">
        <v>100</v>
      </c>
      <c r="W110" s="923" t="s">
        <v>247</v>
      </c>
      <c r="X110" s="545">
        <v>0.25</v>
      </c>
      <c r="Y110" s="526">
        <v>55160</v>
      </c>
      <c r="Z110" s="545">
        <v>100</v>
      </c>
      <c r="AA110" s="545" t="str">
        <f t="shared" si="13"/>
        <v>P2</v>
      </c>
      <c r="AB110" s="923">
        <f t="shared" si="14"/>
        <v>1</v>
      </c>
      <c r="AC110" s="526">
        <f>AD110</f>
        <v>56359</v>
      </c>
      <c r="AD110" s="1046">
        <f t="shared" si="33"/>
        <v>56359</v>
      </c>
      <c r="AE110" s="923">
        <f t="shared" si="16"/>
        <v>100</v>
      </c>
      <c r="AF110" s="923" t="str">
        <f t="shared" si="34"/>
        <v>P3</v>
      </c>
      <c r="AG110" s="923">
        <f t="shared" si="17"/>
        <v>1</v>
      </c>
      <c r="AH110" s="526">
        <f t="shared" si="18"/>
        <v>59602</v>
      </c>
      <c r="AI110" s="1046">
        <f t="shared" si="3"/>
        <v>59602</v>
      </c>
      <c r="AJ110" s="923">
        <f t="shared" si="19"/>
        <v>100</v>
      </c>
      <c r="AK110" s="923" t="str">
        <f t="shared" si="4"/>
        <v>P4</v>
      </c>
      <c r="AL110" s="923">
        <f t="shared" si="20"/>
        <v>1</v>
      </c>
      <c r="AM110" s="526">
        <f t="shared" si="21"/>
        <v>63186</v>
      </c>
      <c r="AN110" s="1046">
        <f t="shared" si="5"/>
        <v>63186</v>
      </c>
      <c r="AO110" s="923">
        <f t="shared" si="22"/>
        <v>100</v>
      </c>
      <c r="AP110" s="923" t="str">
        <f t="shared" si="6"/>
        <v>P5</v>
      </c>
      <c r="AQ110" s="923">
        <f t="shared" si="23"/>
        <v>1</v>
      </c>
      <c r="AR110" s="526">
        <f t="shared" si="24"/>
        <v>68846</v>
      </c>
      <c r="AS110" s="1046">
        <f t="shared" si="7"/>
        <v>68846</v>
      </c>
      <c r="AT110" s="923">
        <f t="shared" si="25"/>
        <v>100</v>
      </c>
      <c r="AU110" s="923" t="str">
        <f t="shared" si="8"/>
        <v>AP1</v>
      </c>
      <c r="AV110" s="923">
        <f t="shared" si="26"/>
        <v>1</v>
      </c>
      <c r="AW110" s="526">
        <f t="shared" si="27"/>
        <v>73103</v>
      </c>
      <c r="AX110" s="1046">
        <f t="shared" si="9"/>
        <v>73103</v>
      </c>
      <c r="AY110" s="923">
        <f t="shared" si="28"/>
        <v>100</v>
      </c>
      <c r="AZ110" s="923" t="str">
        <f t="shared" si="10"/>
        <v>AP2</v>
      </c>
      <c r="BA110" s="923">
        <f t="shared" si="29"/>
        <v>1</v>
      </c>
      <c r="BB110" s="526">
        <f t="shared" si="30"/>
        <v>77555</v>
      </c>
      <c r="BC110" s="1046">
        <f t="shared" si="11"/>
        <v>77555</v>
      </c>
      <c r="BD110" s="923">
        <f t="shared" si="31"/>
        <v>100</v>
      </c>
      <c r="BE110" s="923" t="str">
        <f t="shared" si="12"/>
        <v>AP3</v>
      </c>
      <c r="BF110" s="1124">
        <v>53847.72</v>
      </c>
      <c r="BG110" s="1138">
        <f t="shared" si="35"/>
        <v>2511.2799999999988</v>
      </c>
      <c r="BH110" s="1140">
        <f>BG110/BF110</f>
        <v>4.6636700681105883E-2</v>
      </c>
      <c r="BI110" s="495"/>
      <c r="BJ110" s="495"/>
      <c r="BK110" s="495"/>
      <c r="BL110" s="495"/>
      <c r="BM110" s="495"/>
      <c r="BN110" s="495"/>
      <c r="BO110" s="495"/>
      <c r="BP110" s="495"/>
    </row>
    <row r="111" spans="4:68" outlineLevel="1">
      <c r="D111" s="543" t="s">
        <v>1359</v>
      </c>
      <c r="E111" s="546" t="s">
        <v>1362</v>
      </c>
      <c r="F111" s="545" t="s">
        <v>472</v>
      </c>
      <c r="G111" s="545" t="s">
        <v>480</v>
      </c>
      <c r="H111" s="545" t="s">
        <v>480</v>
      </c>
      <c r="I111" s="545" t="s">
        <v>479</v>
      </c>
      <c r="J111" s="545" t="s">
        <v>479</v>
      </c>
      <c r="K111" s="545" t="s">
        <v>479</v>
      </c>
      <c r="S111" s="923">
        <v>0.4</v>
      </c>
      <c r="T111" s="526">
        <v>17440</v>
      </c>
      <c r="U111" s="1046">
        <f t="shared" si="32"/>
        <v>19339</v>
      </c>
      <c r="V111" s="923">
        <v>100</v>
      </c>
      <c r="W111" s="923" t="s">
        <v>460</v>
      </c>
      <c r="X111" s="545">
        <v>0.5</v>
      </c>
      <c r="Y111" s="526">
        <v>23923</v>
      </c>
      <c r="Z111" s="545">
        <v>100</v>
      </c>
      <c r="AA111" s="545" t="str">
        <f t="shared" si="13"/>
        <v>R2</v>
      </c>
      <c r="AB111" s="923">
        <v>0.5</v>
      </c>
      <c r="AC111" s="526">
        <f t="shared" si="15"/>
        <v>24930</v>
      </c>
      <c r="AD111" s="1046">
        <f t="shared" si="33"/>
        <v>24930</v>
      </c>
      <c r="AE111" s="923">
        <f t="shared" si="16"/>
        <v>100</v>
      </c>
      <c r="AF111" s="923" t="str">
        <f t="shared" si="34"/>
        <v>R3</v>
      </c>
      <c r="AG111" s="923">
        <f t="shared" si="17"/>
        <v>0.5</v>
      </c>
      <c r="AH111" s="526">
        <f t="shared" si="18"/>
        <v>26097</v>
      </c>
      <c r="AI111" s="1046">
        <f t="shared" si="3"/>
        <v>26097</v>
      </c>
      <c r="AJ111" s="923">
        <f t="shared" si="19"/>
        <v>100</v>
      </c>
      <c r="AK111" s="923" t="str">
        <f t="shared" si="4"/>
        <v>P1</v>
      </c>
      <c r="AL111" s="923">
        <f t="shared" si="20"/>
        <v>0.5</v>
      </c>
      <c r="AM111" s="526">
        <f t="shared" si="21"/>
        <v>27809</v>
      </c>
      <c r="AN111" s="1046">
        <f t="shared" si="5"/>
        <v>27809</v>
      </c>
      <c r="AO111" s="923">
        <f t="shared" si="22"/>
        <v>100</v>
      </c>
      <c r="AP111" s="923" t="str">
        <f t="shared" si="6"/>
        <v>P2</v>
      </c>
      <c r="AQ111" s="923">
        <f t="shared" si="23"/>
        <v>0.5</v>
      </c>
      <c r="AR111" s="526">
        <f t="shared" si="24"/>
        <v>29599</v>
      </c>
      <c r="AS111" s="1046">
        <f t="shared" si="7"/>
        <v>29599</v>
      </c>
      <c r="AT111" s="923">
        <f t="shared" si="25"/>
        <v>100</v>
      </c>
      <c r="AU111" s="923" t="str">
        <f t="shared" si="8"/>
        <v>P3</v>
      </c>
      <c r="AV111" s="923">
        <f t="shared" si="26"/>
        <v>0.5</v>
      </c>
      <c r="AW111" s="526">
        <f t="shared" si="27"/>
        <v>31472</v>
      </c>
      <c r="AX111" s="1046">
        <f t="shared" si="9"/>
        <v>31472</v>
      </c>
      <c r="AY111" s="923">
        <f t="shared" si="28"/>
        <v>100</v>
      </c>
      <c r="AZ111" s="923" t="str">
        <f t="shared" si="10"/>
        <v>P4</v>
      </c>
      <c r="BA111" s="923">
        <f t="shared" si="29"/>
        <v>0.5</v>
      </c>
      <c r="BB111" s="526">
        <f t="shared" si="30"/>
        <v>33430</v>
      </c>
      <c r="BC111" s="1046">
        <f t="shared" si="11"/>
        <v>33430</v>
      </c>
      <c r="BD111" s="923">
        <f t="shared" si="31"/>
        <v>100</v>
      </c>
      <c r="BE111" s="923" t="str">
        <f t="shared" si="12"/>
        <v>P5</v>
      </c>
      <c r="BF111" s="1124">
        <v>23923</v>
      </c>
      <c r="BG111" s="1138">
        <f t="shared" si="35"/>
        <v>1007</v>
      </c>
      <c r="BH111" s="1140">
        <f>BG111/BF111</f>
        <v>4.2093382936922628E-2</v>
      </c>
      <c r="BI111" s="495"/>
      <c r="BJ111" s="495"/>
      <c r="BK111" s="495"/>
      <c r="BL111" s="495"/>
      <c r="BM111" s="495"/>
      <c r="BN111" s="495"/>
      <c r="BO111" s="495"/>
      <c r="BP111" s="495"/>
    </row>
    <row r="112" spans="4:68" outlineLevel="1">
      <c r="D112" s="543" t="s">
        <v>1360</v>
      </c>
      <c r="E112" s="546" t="s">
        <v>1361</v>
      </c>
      <c r="F112" s="545" t="s">
        <v>472</v>
      </c>
      <c r="G112" s="545" t="s">
        <v>479</v>
      </c>
      <c r="H112" s="545" t="s">
        <v>479</v>
      </c>
      <c r="I112" s="545" t="s">
        <v>479</v>
      </c>
      <c r="J112" s="545" t="s">
        <v>479</v>
      </c>
      <c r="K112" s="545" t="s">
        <v>480</v>
      </c>
      <c r="S112" s="923">
        <v>1</v>
      </c>
      <c r="T112" s="526">
        <v>0</v>
      </c>
      <c r="U112" s="1046">
        <f t="shared" si="32"/>
        <v>53349</v>
      </c>
      <c r="V112" s="923">
        <v>100</v>
      </c>
      <c r="W112" s="923" t="s">
        <v>246</v>
      </c>
      <c r="X112" s="545">
        <v>0</v>
      </c>
      <c r="Y112" s="526">
        <v>0</v>
      </c>
      <c r="Z112" s="545">
        <v>100</v>
      </c>
      <c r="AA112" s="545" t="str">
        <f t="shared" si="13"/>
        <v>P1</v>
      </c>
      <c r="AB112" s="923">
        <v>0.2</v>
      </c>
      <c r="AC112" s="526">
        <f t="shared" si="15"/>
        <v>11122</v>
      </c>
      <c r="AD112" s="1046">
        <f t="shared" si="33"/>
        <v>11122</v>
      </c>
      <c r="AE112" s="923">
        <f>+V112</f>
        <v>100</v>
      </c>
      <c r="AF112" s="923" t="str">
        <f t="shared" si="34"/>
        <v>P2</v>
      </c>
      <c r="AG112" s="923">
        <f t="shared" si="17"/>
        <v>0.2</v>
      </c>
      <c r="AH112" s="526">
        <f t="shared" si="18"/>
        <v>11160</v>
      </c>
      <c r="AI112" s="1046">
        <f t="shared" si="3"/>
        <v>11160</v>
      </c>
      <c r="AJ112" s="923">
        <f t="shared" si="19"/>
        <v>100</v>
      </c>
      <c r="AK112" s="923" t="str">
        <f t="shared" si="4"/>
        <v>P3</v>
      </c>
      <c r="AL112" s="923">
        <f t="shared" si="20"/>
        <v>0.2</v>
      </c>
      <c r="AM112" s="526">
        <f t="shared" si="21"/>
        <v>11866</v>
      </c>
      <c r="AN112" s="1046">
        <f t="shared" si="5"/>
        <v>11866</v>
      </c>
      <c r="AO112" s="923">
        <f t="shared" si="22"/>
        <v>100</v>
      </c>
      <c r="AP112" s="923" t="str">
        <f t="shared" si="6"/>
        <v>P4</v>
      </c>
      <c r="AQ112" s="923">
        <f t="shared" si="23"/>
        <v>0.2</v>
      </c>
      <c r="AR112" s="526">
        <f t="shared" si="24"/>
        <v>12604</v>
      </c>
      <c r="AS112" s="1046">
        <f t="shared" si="7"/>
        <v>12604</v>
      </c>
      <c r="AT112" s="923">
        <f t="shared" si="25"/>
        <v>100</v>
      </c>
      <c r="AU112" s="923" t="str">
        <f t="shared" si="8"/>
        <v>P5</v>
      </c>
      <c r="AV112" s="923">
        <f t="shared" si="26"/>
        <v>0.2</v>
      </c>
      <c r="AW112" s="526">
        <f t="shared" si="27"/>
        <v>13770</v>
      </c>
      <c r="AX112" s="1046">
        <f t="shared" si="9"/>
        <v>13770</v>
      </c>
      <c r="AY112" s="923">
        <f t="shared" si="28"/>
        <v>100</v>
      </c>
      <c r="AZ112" s="923" t="str">
        <f t="shared" si="10"/>
        <v>AP1</v>
      </c>
      <c r="BA112" s="923">
        <f t="shared" si="29"/>
        <v>0.2</v>
      </c>
      <c r="BB112" s="526">
        <f t="shared" si="30"/>
        <v>14647</v>
      </c>
      <c r="BC112" s="1046">
        <f t="shared" si="11"/>
        <v>14647</v>
      </c>
      <c r="BD112" s="923">
        <f t="shared" si="31"/>
        <v>100</v>
      </c>
      <c r="BE112" s="923" t="str">
        <f t="shared" si="12"/>
        <v>AP2</v>
      </c>
      <c r="BF112" s="1124" t="s">
        <v>127</v>
      </c>
      <c r="BG112" s="1138" t="s">
        <v>127</v>
      </c>
      <c r="BH112" s="1139"/>
      <c r="BI112" s="495"/>
      <c r="BJ112" s="495"/>
      <c r="BK112" s="495"/>
      <c r="BL112" s="495"/>
      <c r="BM112" s="495"/>
      <c r="BN112" s="495"/>
      <c r="BO112" s="495"/>
      <c r="BP112" s="495"/>
    </row>
    <row r="113" spans="4:68" outlineLevel="1">
      <c r="D113" s="543" t="s">
        <v>1366</v>
      </c>
      <c r="E113" s="546" t="s">
        <v>1367</v>
      </c>
      <c r="F113" s="545"/>
      <c r="G113" s="545"/>
      <c r="H113" s="545"/>
      <c r="I113" s="545"/>
      <c r="J113" s="545"/>
      <c r="K113" s="545"/>
      <c r="S113" s="923"/>
      <c r="T113" s="526">
        <v>2000</v>
      </c>
      <c r="U113" s="1046"/>
      <c r="V113" s="923"/>
      <c r="W113" s="923"/>
      <c r="X113" s="545"/>
      <c r="Y113" s="526">
        <v>2000</v>
      </c>
      <c r="Z113" s="545"/>
      <c r="AA113" s="545"/>
      <c r="AB113" s="923"/>
      <c r="AC113" s="526">
        <v>2000</v>
      </c>
      <c r="AD113" s="1046"/>
      <c r="AE113" s="923"/>
      <c r="AF113" s="923"/>
      <c r="AG113" s="923"/>
      <c r="AH113" s="526">
        <v>2000</v>
      </c>
      <c r="AI113" s="1046"/>
      <c r="AJ113" s="923"/>
      <c r="AK113" s="923"/>
      <c r="AL113" s="923"/>
      <c r="AM113" s="526">
        <v>2000</v>
      </c>
      <c r="AN113" s="1046"/>
      <c r="AO113" s="923"/>
      <c r="AP113" s="923"/>
      <c r="AQ113" s="923"/>
      <c r="AR113" s="526">
        <v>2000</v>
      </c>
      <c r="AS113" s="1046"/>
      <c r="AT113" s="923"/>
      <c r="AU113" s="923"/>
      <c r="AV113" s="923"/>
      <c r="AW113" s="526">
        <v>2000</v>
      </c>
      <c r="AX113" s="1046"/>
      <c r="AY113" s="923"/>
      <c r="AZ113" s="923"/>
      <c r="BA113" s="923"/>
      <c r="BB113" s="526">
        <v>2000</v>
      </c>
      <c r="BC113" s="1046"/>
      <c r="BD113" s="923"/>
      <c r="BE113" s="923"/>
      <c r="BF113" s="254"/>
      <c r="BI113" s="495"/>
      <c r="BJ113" s="495"/>
      <c r="BK113" s="495"/>
      <c r="BL113" s="495"/>
      <c r="BM113" s="495"/>
      <c r="BN113" s="495"/>
      <c r="BO113" s="495"/>
      <c r="BP113" s="495"/>
    </row>
    <row r="114" spans="4:68" outlineLevel="1">
      <c r="D114" s="543" t="s">
        <v>1366</v>
      </c>
      <c r="E114" s="546" t="s">
        <v>1368</v>
      </c>
      <c r="F114" s="545"/>
      <c r="G114" s="545"/>
      <c r="H114" s="545"/>
      <c r="I114" s="545"/>
      <c r="J114" s="545"/>
      <c r="K114" s="545"/>
      <c r="S114" s="923"/>
      <c r="T114" s="526">
        <v>2000</v>
      </c>
      <c r="U114" s="1046"/>
      <c r="V114" s="923"/>
      <c r="W114" s="923"/>
      <c r="X114" s="545"/>
      <c r="Y114" s="526">
        <v>2000</v>
      </c>
      <c r="Z114" s="545"/>
      <c r="AA114" s="545"/>
      <c r="AB114" s="923"/>
      <c r="AC114" s="526">
        <v>2000</v>
      </c>
      <c r="AD114" s="1046"/>
      <c r="AE114" s="923"/>
      <c r="AF114" s="923"/>
      <c r="AG114" s="923"/>
      <c r="AH114" s="526">
        <v>2000</v>
      </c>
      <c r="AI114" s="1046"/>
      <c r="AJ114" s="923"/>
      <c r="AK114" s="923"/>
      <c r="AL114" s="923"/>
      <c r="AM114" s="526">
        <v>2000</v>
      </c>
      <c r="AN114" s="1046"/>
      <c r="AO114" s="923"/>
      <c r="AP114" s="923"/>
      <c r="AQ114" s="923"/>
      <c r="AR114" s="526">
        <v>2000</v>
      </c>
      <c r="AS114" s="1046"/>
      <c r="AT114" s="923"/>
      <c r="AU114" s="923"/>
      <c r="AV114" s="923"/>
      <c r="AW114" s="526">
        <v>2000</v>
      </c>
      <c r="AX114" s="1046"/>
      <c r="AY114" s="923"/>
      <c r="AZ114" s="923"/>
      <c r="BA114" s="923"/>
      <c r="BB114" s="526">
        <v>2000</v>
      </c>
      <c r="BC114" s="1046"/>
      <c r="BD114" s="923"/>
      <c r="BE114" s="923"/>
      <c r="BF114" s="254"/>
      <c r="BI114" s="495"/>
      <c r="BJ114" s="495"/>
      <c r="BK114" s="495"/>
      <c r="BL114" s="495"/>
      <c r="BM114" s="495"/>
      <c r="BN114" s="495"/>
      <c r="BO114" s="495"/>
      <c r="BP114" s="495"/>
    </row>
    <row r="115" spans="4:68" outlineLevel="1">
      <c r="D115" s="543" t="s">
        <v>1366</v>
      </c>
      <c r="E115" s="546" t="s">
        <v>1369</v>
      </c>
      <c r="F115" s="545"/>
      <c r="G115" s="545"/>
      <c r="H115" s="545"/>
      <c r="I115" s="545"/>
      <c r="J115" s="545"/>
      <c r="K115" s="545"/>
      <c r="S115" s="923"/>
      <c r="T115" s="526"/>
      <c r="U115" s="1046"/>
      <c r="V115" s="923"/>
      <c r="W115" s="923"/>
      <c r="X115" s="545"/>
      <c r="Y115" s="526">
        <v>1000</v>
      </c>
      <c r="Z115" s="545"/>
      <c r="AA115" s="545"/>
      <c r="AB115" s="923"/>
      <c r="AC115" s="526">
        <v>1000</v>
      </c>
      <c r="AD115" s="1046"/>
      <c r="AE115" s="923"/>
      <c r="AF115" s="923"/>
      <c r="AG115" s="923"/>
      <c r="AH115" s="526"/>
      <c r="AI115" s="1046"/>
      <c r="AJ115" s="923"/>
      <c r="AK115" s="923"/>
      <c r="AL115" s="923"/>
      <c r="AM115" s="526"/>
      <c r="AN115" s="1046"/>
      <c r="AO115" s="923"/>
      <c r="AP115" s="923"/>
      <c r="AQ115" s="923"/>
      <c r="AR115" s="526"/>
      <c r="AS115" s="1046"/>
      <c r="AT115" s="923"/>
      <c r="AU115" s="923"/>
      <c r="AV115" s="923"/>
      <c r="AW115" s="526"/>
      <c r="AX115" s="1046"/>
      <c r="AY115" s="923"/>
      <c r="AZ115" s="923"/>
      <c r="BA115" s="923"/>
      <c r="BB115" s="526"/>
      <c r="BC115" s="1046"/>
      <c r="BD115" s="923"/>
      <c r="BE115" s="923"/>
      <c r="BF115" s="254"/>
      <c r="BI115" s="495"/>
      <c r="BJ115" s="495"/>
      <c r="BK115" s="495"/>
      <c r="BL115" s="495"/>
      <c r="BM115" s="495"/>
      <c r="BN115" s="495"/>
      <c r="BO115" s="495"/>
      <c r="BP115" s="495"/>
    </row>
    <row r="116" spans="4:68" outlineLevel="1">
      <c r="D116" s="543" t="s">
        <v>1440</v>
      </c>
      <c r="E116" s="546"/>
      <c r="F116" s="545"/>
      <c r="G116" s="545"/>
      <c r="H116" s="545"/>
      <c r="I116" s="545"/>
      <c r="J116" s="545"/>
      <c r="K116" s="545"/>
      <c r="S116" s="923"/>
      <c r="T116" s="526">
        <v>1000</v>
      </c>
      <c r="U116" s="1046"/>
      <c r="V116" s="923"/>
      <c r="W116" s="923"/>
      <c r="X116" s="545"/>
      <c r="Y116" s="526">
        <v>0</v>
      </c>
      <c r="Z116" s="545"/>
      <c r="AA116" s="545"/>
      <c r="AB116" s="923"/>
      <c r="AC116" s="526">
        <v>5000</v>
      </c>
      <c r="AD116" s="1046"/>
      <c r="AE116" s="923"/>
      <c r="AF116" s="923"/>
      <c r="AG116" s="923"/>
      <c r="AH116" s="526">
        <v>1000</v>
      </c>
      <c r="AI116" s="1046"/>
      <c r="AJ116" s="923"/>
      <c r="AK116" s="923"/>
      <c r="AL116" s="923"/>
      <c r="AM116" s="526">
        <v>1000</v>
      </c>
      <c r="AN116" s="1046"/>
      <c r="AO116" s="923"/>
      <c r="AP116" s="923"/>
      <c r="AQ116" s="923"/>
      <c r="AR116" s="526">
        <v>1000</v>
      </c>
      <c r="AS116" s="1046"/>
      <c r="AT116" s="923"/>
      <c r="AU116" s="923"/>
      <c r="AV116" s="923"/>
      <c r="AW116" s="526">
        <v>1000</v>
      </c>
      <c r="AX116" s="1046"/>
      <c r="AY116" s="923"/>
      <c r="AZ116" s="923"/>
      <c r="BA116" s="923"/>
      <c r="BB116" s="526">
        <v>1000</v>
      </c>
      <c r="BC116" s="1046"/>
      <c r="BD116" s="923"/>
      <c r="BE116" s="923"/>
      <c r="BF116" s="254"/>
      <c r="BI116" s="495"/>
      <c r="BJ116" s="495"/>
      <c r="BK116" s="495"/>
      <c r="BL116" s="495"/>
      <c r="BM116" s="495"/>
      <c r="BN116" s="495"/>
      <c r="BO116" s="495"/>
      <c r="BP116" s="495"/>
    </row>
    <row r="117" spans="4:68" ht="15" customHeight="1" outlineLevel="1" thickBot="1">
      <c r="D117" s="501" t="s">
        <v>902</v>
      </c>
      <c r="E117" s="499"/>
      <c r="F117" s="500"/>
      <c r="G117" s="500"/>
      <c r="H117" s="500"/>
      <c r="I117" s="500"/>
      <c r="J117" s="500"/>
      <c r="K117" s="500"/>
      <c r="L117" s="500"/>
      <c r="M117" s="500"/>
      <c r="N117" s="500"/>
      <c r="O117" s="500"/>
      <c r="P117" s="500"/>
      <c r="Q117" s="500"/>
      <c r="R117" s="500"/>
      <c r="S117" s="525">
        <f>SUM(S94:S116)</f>
        <v>12.9</v>
      </c>
      <c r="T117" s="527">
        <f>SUM(T94:T116)</f>
        <v>534935</v>
      </c>
      <c r="U117" s="1044"/>
      <c r="V117" s="958"/>
      <c r="W117" s="982"/>
      <c r="X117" s="525">
        <f>SUM(X94:X116)</f>
        <v>7.59</v>
      </c>
      <c r="Y117" s="527">
        <f>SUM(Y94:Y116)</f>
        <v>470555</v>
      </c>
      <c r="Z117" s="528"/>
      <c r="AA117" s="528"/>
      <c r="AB117" s="525">
        <f>SUM(AB94:AB116)</f>
        <v>15</v>
      </c>
      <c r="AC117" s="527">
        <f>SUM(AC94:AC116)</f>
        <v>900386</v>
      </c>
      <c r="AD117" s="1044"/>
      <c r="AE117" s="958"/>
      <c r="AF117" s="958"/>
      <c r="AG117" s="525">
        <f>SUM(AG94:AG116)</f>
        <v>17</v>
      </c>
      <c r="AH117" s="527">
        <f>SUM(AH94:AH116)</f>
        <v>1031129.77</v>
      </c>
      <c r="AI117" s="1044"/>
      <c r="AJ117" s="958"/>
      <c r="AK117" s="529"/>
      <c r="AL117" s="525">
        <f>SUM(AL94:AL116)</f>
        <v>17</v>
      </c>
      <c r="AM117" s="527">
        <f>SUM(AM94:AM116)</f>
        <v>1085866.6131</v>
      </c>
      <c r="AN117" s="1044"/>
      <c r="AO117" s="958"/>
      <c r="AP117" s="529"/>
      <c r="AQ117" s="525">
        <f>SUM(AQ94:AQ116)</f>
        <v>17</v>
      </c>
      <c r="AR117" s="527">
        <f>SUM(AR94:AR116)</f>
        <v>1144641.821493</v>
      </c>
      <c r="AS117" s="1044"/>
      <c r="AT117" s="958"/>
      <c r="AU117" s="1005"/>
      <c r="AV117" s="525">
        <f>SUM(AV94:AV116)</f>
        <v>17</v>
      </c>
      <c r="AW117" s="527">
        <f>SUM(AW94:AW116)</f>
        <v>1206142.7261377899</v>
      </c>
      <c r="AX117" s="1044"/>
      <c r="AY117" s="958"/>
      <c r="AZ117" s="529"/>
      <c r="BA117" s="525">
        <f>SUM(BA94:BA116)</f>
        <v>17</v>
      </c>
      <c r="BB117" s="527">
        <f>SUM(BB94:BB116)</f>
        <v>1269675.6979219238</v>
      </c>
      <c r="BC117" s="1044"/>
      <c r="BD117" s="1005"/>
      <c r="BE117" s="982"/>
      <c r="BI117" s="495"/>
      <c r="BJ117" s="495"/>
      <c r="BK117" s="495"/>
      <c r="BL117" s="495"/>
      <c r="BM117" s="495"/>
      <c r="BN117" s="495"/>
      <c r="BO117" s="495"/>
      <c r="BP117" s="495"/>
    </row>
    <row r="118" spans="4:68" outlineLevel="1">
      <c r="D118" s="650" t="s">
        <v>909</v>
      </c>
      <c r="E118" s="650"/>
      <c r="F118" s="650"/>
      <c r="G118" s="650"/>
      <c r="H118" s="650"/>
      <c r="I118" s="650"/>
      <c r="J118" s="650"/>
      <c r="K118" s="650"/>
      <c r="L118" s="650"/>
      <c r="M118" s="650"/>
      <c r="N118" s="650"/>
      <c r="O118" s="650"/>
      <c r="P118" s="650"/>
      <c r="Q118" s="650"/>
      <c r="R118" s="650"/>
      <c r="S118" s="924">
        <f>+S117-S170</f>
        <v>0</v>
      </c>
      <c r="T118" s="652">
        <f>+T117-T170</f>
        <v>4999.9990000000689</v>
      </c>
      <c r="U118" s="1047"/>
      <c r="V118" s="959"/>
      <c r="W118" s="959"/>
      <c r="X118" s="652">
        <f>+X117-X170</f>
        <v>0</v>
      </c>
      <c r="Y118" s="652">
        <f>+Y117-Y170</f>
        <v>5000.0087000000058</v>
      </c>
      <c r="Z118" s="650"/>
      <c r="AA118" s="650"/>
      <c r="AB118" s="924">
        <f>+AB117-AB170</f>
        <v>0</v>
      </c>
      <c r="AC118" s="652">
        <f>+AC117-AC170</f>
        <v>10000.003999999957</v>
      </c>
      <c r="AD118" s="1047"/>
      <c r="AE118" s="959"/>
      <c r="AF118" s="959"/>
      <c r="AG118" s="924">
        <f>+AG117-AG170</f>
        <v>0</v>
      </c>
      <c r="AH118" s="652">
        <f>+AH117-AH170</f>
        <v>4999.9949999999953</v>
      </c>
      <c r="AI118" s="1047"/>
      <c r="AJ118" s="959"/>
      <c r="AK118" s="959"/>
      <c r="AL118" s="924">
        <f>+AL117-AL170</f>
        <v>0</v>
      </c>
      <c r="AM118" s="652">
        <f>+AM117-AM170</f>
        <v>5000.0020999999251</v>
      </c>
      <c r="AN118" s="1047"/>
      <c r="AO118" s="959"/>
      <c r="AP118" s="959"/>
      <c r="AQ118" s="924">
        <f>+AQ117-AQ170</f>
        <v>0</v>
      </c>
      <c r="AR118" s="652">
        <f>+AR117-AR170</f>
        <v>4999.9864930000622</v>
      </c>
      <c r="AS118" s="1047"/>
      <c r="AT118" s="959"/>
      <c r="AU118" s="1006"/>
      <c r="AV118" s="924">
        <f>+AV117-AV170</f>
        <v>0</v>
      </c>
      <c r="AW118" s="652">
        <f>+AW117-AW170</f>
        <v>4999.9931377898902</v>
      </c>
      <c r="AX118" s="1047"/>
      <c r="AY118" s="959"/>
      <c r="AZ118" s="1006"/>
      <c r="BA118" s="924">
        <f>+BA117-BA170</f>
        <v>0</v>
      </c>
      <c r="BB118" s="652">
        <f>+BB117-BB170</f>
        <v>4999.9869219239336</v>
      </c>
      <c r="BC118" s="1047"/>
      <c r="BD118" s="1006"/>
      <c r="BE118" s="959"/>
      <c r="BF118" s="650"/>
      <c r="BG118" s="650"/>
      <c r="BH118" s="650"/>
      <c r="BI118" s="651"/>
      <c r="BJ118" s="651"/>
      <c r="BK118" s="651"/>
      <c r="BL118" s="651"/>
      <c r="BM118" s="651"/>
      <c r="BN118" s="651"/>
      <c r="BO118" s="651"/>
      <c r="BP118" s="651"/>
    </row>
    <row r="119" spans="4:68" outlineLevel="1">
      <c r="S119" s="925"/>
      <c r="T119" s="522"/>
      <c r="X119" s="522"/>
      <c r="Y119" s="522"/>
      <c r="AB119" s="925"/>
      <c r="AC119" s="522"/>
      <c r="AG119" s="925"/>
      <c r="AH119" s="522"/>
      <c r="AL119" s="925"/>
      <c r="AM119" s="522"/>
      <c r="AQ119" s="925"/>
      <c r="AR119" s="522"/>
      <c r="AU119" s="1007"/>
      <c r="AV119" s="925"/>
      <c r="AW119" s="522"/>
      <c r="AZ119" s="1007"/>
      <c r="BA119" s="925"/>
      <c r="BB119" s="522"/>
      <c r="BD119" s="1007"/>
      <c r="BI119" s="495"/>
      <c r="BJ119" s="495"/>
      <c r="BK119" s="495"/>
      <c r="BL119" s="495"/>
      <c r="BM119" s="495"/>
      <c r="BN119" s="495"/>
      <c r="BO119" s="495"/>
      <c r="BP119" s="495"/>
    </row>
    <row r="120" spans="4:68" outlineLevel="1">
      <c r="D120" s="632" t="s">
        <v>905</v>
      </c>
      <c r="E120" s="632"/>
      <c r="F120" s="632"/>
      <c r="G120" s="632"/>
      <c r="H120" s="632"/>
      <c r="I120" s="632"/>
      <c r="J120" s="632"/>
      <c r="K120" s="632"/>
      <c r="L120" s="632"/>
      <c r="M120" s="632"/>
      <c r="N120" s="632"/>
      <c r="O120" s="632"/>
      <c r="P120" s="632"/>
      <c r="Q120" s="632"/>
      <c r="R120" s="632"/>
      <c r="S120" s="905"/>
      <c r="T120" s="632"/>
      <c r="U120" s="1040"/>
      <c r="V120" s="905"/>
      <c r="W120" s="905"/>
      <c r="X120" s="632"/>
      <c r="Y120" s="632"/>
      <c r="Z120" s="632"/>
      <c r="AA120" s="632"/>
      <c r="AB120" s="905"/>
      <c r="AC120" s="632"/>
      <c r="AD120" s="1040"/>
      <c r="AE120" s="905"/>
      <c r="AF120" s="905"/>
      <c r="AG120" s="905"/>
      <c r="AH120" s="632"/>
      <c r="AI120" s="1040"/>
      <c r="AJ120" s="905"/>
      <c r="AK120" s="905"/>
      <c r="AL120" s="905"/>
      <c r="AM120" s="632"/>
      <c r="AN120" s="1040"/>
      <c r="AO120" s="905"/>
      <c r="AP120" s="905"/>
      <c r="AQ120" s="905"/>
      <c r="AR120" s="632"/>
      <c r="AS120" s="1040"/>
      <c r="AT120" s="905"/>
      <c r="AU120" s="905"/>
      <c r="AV120" s="905"/>
      <c r="AW120" s="632"/>
      <c r="AX120" s="1040"/>
      <c r="AY120" s="905"/>
      <c r="AZ120" s="905"/>
      <c r="BA120" s="905"/>
      <c r="BB120" s="632"/>
      <c r="BC120" s="1040"/>
      <c r="BD120" s="905"/>
      <c r="BE120" s="905"/>
      <c r="BI120" s="495"/>
      <c r="BJ120" s="495"/>
      <c r="BK120" s="495"/>
      <c r="BL120" s="495"/>
      <c r="BM120" s="495"/>
      <c r="BN120" s="495"/>
      <c r="BO120" s="495"/>
      <c r="BP120" s="495"/>
    </row>
    <row r="121" spans="4:68" ht="15" outlineLevel="1" thickBot="1">
      <c r="D121" s="548" t="s">
        <v>906</v>
      </c>
      <c r="E121" s="548" t="s">
        <v>866</v>
      </c>
      <c r="F121" s="548" t="s">
        <v>867</v>
      </c>
      <c r="G121" s="548" t="s">
        <v>477</v>
      </c>
      <c r="H121" s="549" t="s">
        <v>478</v>
      </c>
      <c r="I121" s="624" t="s">
        <v>222</v>
      </c>
      <c r="J121" s="548" t="s">
        <v>215</v>
      </c>
      <c r="K121" s="548" t="s">
        <v>893</v>
      </c>
      <c r="L121" s="548"/>
      <c r="M121" s="548"/>
      <c r="N121" s="548"/>
      <c r="O121" s="548"/>
      <c r="P121" s="548"/>
      <c r="Q121" s="548"/>
      <c r="R121" s="548"/>
      <c r="S121" s="558" t="s">
        <v>168</v>
      </c>
      <c r="T121" s="558" t="s">
        <v>474</v>
      </c>
      <c r="U121" s="907" t="s">
        <v>1300</v>
      </c>
      <c r="V121" s="558" t="s">
        <v>475</v>
      </c>
      <c r="W121" s="558" t="s">
        <v>476</v>
      </c>
      <c r="X121" s="557" t="s">
        <v>168</v>
      </c>
      <c r="Y121" s="558" t="s">
        <v>474</v>
      </c>
      <c r="Z121" s="557" t="s">
        <v>475</v>
      </c>
      <c r="AA121" s="559" t="s">
        <v>476</v>
      </c>
      <c r="AB121" s="558" t="s">
        <v>168</v>
      </c>
      <c r="AC121" s="558" t="s">
        <v>474</v>
      </c>
      <c r="AD121" s="558"/>
      <c r="AE121" s="558" t="s">
        <v>475</v>
      </c>
      <c r="AF121" s="558" t="s">
        <v>476</v>
      </c>
      <c r="AG121" s="558" t="s">
        <v>168</v>
      </c>
      <c r="AH121" s="558" t="s">
        <v>474</v>
      </c>
      <c r="AI121" s="558"/>
      <c r="AJ121" s="558" t="s">
        <v>475</v>
      </c>
      <c r="AK121" s="558" t="s">
        <v>476</v>
      </c>
      <c r="AL121" s="558" t="s">
        <v>168</v>
      </c>
      <c r="AM121" s="558" t="s">
        <v>474</v>
      </c>
      <c r="AN121" s="558"/>
      <c r="AO121" s="558" t="s">
        <v>475</v>
      </c>
      <c r="AP121" s="558" t="s">
        <v>476</v>
      </c>
      <c r="AQ121" s="558" t="s">
        <v>168</v>
      </c>
      <c r="AR121" s="558" t="s">
        <v>474</v>
      </c>
      <c r="AS121" s="558"/>
      <c r="AT121" s="558" t="s">
        <v>475</v>
      </c>
      <c r="AU121" s="558" t="s">
        <v>476</v>
      </c>
      <c r="AV121" s="558" t="s">
        <v>168</v>
      </c>
      <c r="AW121" s="558" t="s">
        <v>474</v>
      </c>
      <c r="AX121" s="558"/>
      <c r="AY121" s="558" t="s">
        <v>475</v>
      </c>
      <c r="AZ121" s="558" t="s">
        <v>476</v>
      </c>
      <c r="BA121" s="558" t="s">
        <v>168</v>
      </c>
      <c r="BB121" s="558" t="s">
        <v>474</v>
      </c>
      <c r="BC121" s="558"/>
      <c r="BD121" s="558" t="s">
        <v>475</v>
      </c>
      <c r="BE121" s="558" t="s">
        <v>476</v>
      </c>
      <c r="BF121" s="1137" t="s">
        <v>1419</v>
      </c>
      <c r="BG121" s="1137" t="s">
        <v>1229</v>
      </c>
      <c r="BH121" s="1137" t="s">
        <v>1420</v>
      </c>
      <c r="BI121" s="495"/>
      <c r="BJ121" s="495"/>
      <c r="BK121" s="495"/>
      <c r="BL121" s="495"/>
      <c r="BM121" s="495"/>
      <c r="BN121" s="495"/>
      <c r="BO121" s="495"/>
      <c r="BP121" s="495"/>
    </row>
    <row r="122" spans="4:68" outlineLevel="1">
      <c r="D122" s="543" t="s">
        <v>1337</v>
      </c>
      <c r="E122" s="544" t="s">
        <v>907</v>
      </c>
      <c r="F122" s="545"/>
      <c r="G122" s="545" t="s">
        <v>480</v>
      </c>
      <c r="H122" s="545" t="s">
        <v>480</v>
      </c>
      <c r="I122" s="545" t="s">
        <v>480</v>
      </c>
      <c r="J122" s="545" t="s">
        <v>480</v>
      </c>
      <c r="K122" s="545" t="s">
        <v>479</v>
      </c>
      <c r="L122" s="545"/>
      <c r="M122" s="545"/>
      <c r="N122" s="545"/>
      <c r="O122" s="545"/>
      <c r="P122" s="545"/>
      <c r="Q122" s="545"/>
      <c r="R122" s="545"/>
      <c r="S122" s="923">
        <v>1</v>
      </c>
      <c r="T122" s="526">
        <v>61475</v>
      </c>
      <c r="U122" s="1046">
        <f>ROUND(S122*IF(LEFT(W122,1)="R",VLOOKUP(W122,$BI$168:$BP$180,V$92,FALSE),VLOOKUP(W122,$BI$168:$BP$180,V$92,FALSE)+IF($I122="Yes",2000,IF(J122="Yes",3500,0))+IF(K122="Yes",3000,0)),0)</f>
        <v>55914</v>
      </c>
      <c r="V122" s="923">
        <v>100</v>
      </c>
      <c r="W122" s="923" t="s">
        <v>248</v>
      </c>
      <c r="X122" s="545">
        <v>1</v>
      </c>
      <c r="Y122" s="526">
        <v>61475</v>
      </c>
      <c r="Z122" s="545">
        <v>100</v>
      </c>
      <c r="AA122" s="545" t="str">
        <f>W122</f>
        <v>P3</v>
      </c>
      <c r="AB122" s="923">
        <f t="shared" ref="AB122" si="59">+S122</f>
        <v>1</v>
      </c>
      <c r="AC122" s="526">
        <v>71359</v>
      </c>
      <c r="AD122" s="1046">
        <f>ROUND(AB122*IF(LEFT(AF122,1)="R",VLOOKUP(AF122,$BI$168:$BP$180,AE$92,FALSE),VLOOKUP(AF122,$BI$168:$BP$180,AE$92,FALSE)+IF($I122="Yes",2000,IF(S122="Yes",3500,0))+IF(T122="Yes",3000,0)),0)+1500</f>
        <v>59609</v>
      </c>
      <c r="AE122" s="923">
        <f t="shared" ref="AE122" si="60">+V122</f>
        <v>100</v>
      </c>
      <c r="AF122" s="923" t="str">
        <f t="shared" ref="AF122" si="61">IF(LEFT(AA122,LEN(AA122)-1)&amp;1+RIGHT(AA122,1)="R4","P1",IF(LEFT(AA122,LEN(AA122)-1)&amp;1+RIGHT(AA122,1)="P6","AP1",IF(LEFT(AA122,LEN(AA122)-1)&amp;1+RIGHT(AA122,1)="AP6","AP5",LEFT(AA122,LEN(AA122)-1)&amp;1+RIGHT(AA122,1))))</f>
        <v>P4</v>
      </c>
      <c r="AG122" s="923">
        <f>+X122</f>
        <v>1</v>
      </c>
      <c r="AH122" s="526">
        <f>AC122*(1+AH9)</f>
        <v>73499.77</v>
      </c>
      <c r="AI122" s="1046">
        <f>ROUND(AG122*IF(LEFT(AK122,1)="R",VLOOKUP(AK122,$BI$168:$BP$180,AJ$92,FALSE),VLOOKUP(AK122,$BI$168:$BP$180,AJ$92,FALSE)+IF($I122="Yes",2000,IF(X122="Yes",3500,0))+IF(Y122="Yes",3000,0)),0)</f>
        <v>61404</v>
      </c>
      <c r="AJ122" s="923">
        <v>100</v>
      </c>
      <c r="AK122" s="923" t="str">
        <f t="shared" ref="AK122" si="62">IF(LEFT(AF122,LEN(AF122)-1)&amp;1+RIGHT(AF122,1)="R4","P1",IF(LEFT(AF122,LEN(AF122)-1)&amp;1+RIGHT(AF122,1)="P6","AP1",IF(LEFT(AF122,LEN(AF122)-1)&amp;1+RIGHT(AF122,1)="AP6","AP5",LEFT(AF122,LEN(AF122)-1)&amp;1+RIGHT(AF122,1))))</f>
        <v>P5</v>
      </c>
      <c r="AL122" s="923">
        <f>+AG122</f>
        <v>1</v>
      </c>
      <c r="AM122" s="526">
        <f>AH122*(1+AM9)</f>
        <v>75704.763100000011</v>
      </c>
      <c r="AN122" s="1046">
        <f>ROUND(AL122*IF(LEFT(AP122,1)="R",VLOOKUP(AP122,$BI$168:$BP$180,AO$92,FALSE),VLOOKUP(AP122,$BI$168:$BP$180,AO$92,FALSE)+IF($I122="Yes",2000,IF(AC122="Yes",3500,0))+IF(AD122="Yes",3000,0)),0)</f>
        <v>66899</v>
      </c>
      <c r="AO122" s="923">
        <v>100</v>
      </c>
      <c r="AP122" s="923" t="str">
        <f t="shared" ref="AP122" si="63">IF(LEFT(AK122,LEN(AK122)-1)&amp;1+RIGHT(AK122,1)="R4","P1",IF(LEFT(AK122,LEN(AK122)-1)&amp;1+RIGHT(AK122,1)="P6","AP1",IF(LEFT(AK122,LEN(AK122)-1)&amp;1+RIGHT(AK122,1)="AP6","AP5",LEFT(AK122,LEN(AK122)-1)&amp;1+RIGHT(AK122,1))))</f>
        <v>AP1</v>
      </c>
      <c r="AQ122" s="923">
        <f>+AL122</f>
        <v>1</v>
      </c>
      <c r="AR122" s="526">
        <f>AM122*(1+AR9)</f>
        <v>77975.905993000008</v>
      </c>
      <c r="AS122" s="1046">
        <f>ROUND(AQ122*IF(LEFT(AU122,1)="R",VLOOKUP(AU122,$BI$168:$BP$180,AT$92,FALSE),VLOOKUP(AU122,$BI$168:$BP$180,AT$92,FALSE)+IF($I122="Yes",2000,IF(AH122="Yes",3500,0))+IF(AI122="Yes",3000,0)),0)</f>
        <v>71032</v>
      </c>
      <c r="AT122" s="923">
        <v>100</v>
      </c>
      <c r="AU122" s="923" t="str">
        <f t="shared" ref="AU122" si="64">IF(LEFT(AP122,LEN(AP122)-1)&amp;1+RIGHT(AP122,1)="R4","P1",IF(LEFT(AP122,LEN(AP122)-1)&amp;1+RIGHT(AP122,1)="P6","AP1",IF(LEFT(AP122,LEN(AP122)-1)&amp;1+RIGHT(AP122,1)="AP6","AP5",LEFT(AP122,LEN(AP122)-1)&amp;1+RIGHT(AP122,1))))</f>
        <v>AP2</v>
      </c>
      <c r="AV122" s="923">
        <f>+AQ122</f>
        <v>1</v>
      </c>
      <c r="AW122" s="526">
        <f>AR122*(1+AW9)</f>
        <v>80315.183172790013</v>
      </c>
      <c r="AX122" s="1046">
        <f>ROUND(AV122*IF(LEFT(AZ122,1)="R",VLOOKUP(AZ122,$BI$168:$BP$180,AY$92,FALSE),VLOOKUP(AZ122,$BI$168:$BP$180,AY$92,FALSE)+IF($I122="Yes",2000,IF(AM122="Yes",3500,0))+IF(AN122="Yes",3000,0)),0)</f>
        <v>75354</v>
      </c>
      <c r="AY122" s="923">
        <v>100</v>
      </c>
      <c r="AZ122" s="923" t="str">
        <f t="shared" ref="AZ122" si="65">IF(LEFT(AU122,LEN(AU122)-1)&amp;1+RIGHT(AU122,1)="R4","P1",IF(LEFT(AU122,LEN(AU122)-1)&amp;1+RIGHT(AU122,1)="P6","AP1",IF(LEFT(AU122,LEN(AU122)-1)&amp;1+RIGHT(AU122,1)="AP6","AP5",LEFT(AU122,LEN(AU122)-1)&amp;1+RIGHT(AU122,1))))</f>
        <v>AP3</v>
      </c>
      <c r="BA122" s="923">
        <v>1</v>
      </c>
      <c r="BB122" s="526">
        <f>AW122*(1+BB9)</f>
        <v>82724.638667973719</v>
      </c>
      <c r="BC122" s="1046">
        <f>ROUND(BA122*IF(LEFT(BE122,1)="R",VLOOKUP(BE122,$BI$168:$BP$180,BD$92,FALSE),VLOOKUP(BE122,$BI$168:$BP$180,BD$92,FALSE)+IF($I122="Yes",2000,IF(AR122="Yes",3500,0))+IF(AS122="Yes",3000,0)),0)</f>
        <v>79873</v>
      </c>
      <c r="BD122" s="923">
        <v>100</v>
      </c>
      <c r="BE122" s="923" t="str">
        <f t="shared" ref="BE122" si="66">IF(LEFT(AZ122,LEN(AZ122)-1)&amp;1+RIGHT(AZ122,1)="R4","P1",IF(LEFT(AZ122,LEN(AZ122)-1)&amp;1+RIGHT(AZ122,1)="P6","AP1",IF(LEFT(AZ122,LEN(AZ122)-1)&amp;1+RIGHT(AZ122,1)="AP6","AP5",LEFT(AZ122,LEN(AZ122)-1)&amp;1+RIGHT(AZ122,1))))</f>
        <v>AP4</v>
      </c>
      <c r="BF122" s="1124">
        <v>63407</v>
      </c>
      <c r="BG122" s="1138">
        <f t="shared" ref="BG122" si="67">AC122-BF122</f>
        <v>7952</v>
      </c>
      <c r="BH122" s="1140">
        <f>BG122/BF122</f>
        <v>0.12541202075480626</v>
      </c>
      <c r="BI122" s="495"/>
      <c r="BJ122" s="495"/>
      <c r="BK122" s="495"/>
      <c r="BL122" s="495"/>
      <c r="BM122" s="495"/>
      <c r="BN122" s="495"/>
      <c r="BO122" s="495"/>
      <c r="BP122" s="495"/>
    </row>
    <row r="123" spans="4:68" ht="15" outlineLevel="1" thickBot="1">
      <c r="D123" s="501" t="s">
        <v>308</v>
      </c>
      <c r="S123" s="525">
        <f>SUM(S122:S122)</f>
        <v>1</v>
      </c>
      <c r="T123" s="527">
        <f>SUM(T122:T122)</f>
        <v>61475</v>
      </c>
      <c r="U123" s="1044"/>
      <c r="V123" s="958"/>
      <c r="W123" s="982"/>
      <c r="X123" s="525">
        <f>SUM(X122:X122)</f>
        <v>1</v>
      </c>
      <c r="Y123" s="527">
        <f>SUM(Y122:Y122)</f>
        <v>61475</v>
      </c>
      <c r="Z123" s="528"/>
      <c r="AA123" s="528"/>
      <c r="AB123" s="525">
        <f>SUM(AB122:AB122)</f>
        <v>1</v>
      </c>
      <c r="AC123" s="527">
        <f>SUM(AC122:AC122)</f>
        <v>71359</v>
      </c>
      <c r="AD123" s="1044"/>
      <c r="AE123" s="958"/>
      <c r="AF123" s="958"/>
      <c r="AG123" s="525">
        <f>SUM(AG122:AG122)</f>
        <v>1</v>
      </c>
      <c r="AH123" s="527">
        <f>SUM(AH122:AH122)</f>
        <v>73499.77</v>
      </c>
      <c r="AI123" s="1044"/>
      <c r="AJ123" s="958"/>
      <c r="AK123" s="529"/>
      <c r="AL123" s="525">
        <f>SUM(AL122:AL122)</f>
        <v>1</v>
      </c>
      <c r="AM123" s="527">
        <f>SUM(AM122:AM122)</f>
        <v>75704.763100000011</v>
      </c>
      <c r="AN123" s="1044"/>
      <c r="AO123" s="958"/>
      <c r="AP123" s="529"/>
      <c r="AQ123" s="525">
        <f>SUM(AQ122:AQ122)</f>
        <v>1</v>
      </c>
      <c r="AR123" s="527">
        <f>SUM(AR122:AR122)</f>
        <v>77975.905993000008</v>
      </c>
      <c r="AS123" s="1044"/>
      <c r="AT123" s="958"/>
      <c r="AU123" s="1005"/>
      <c r="AV123" s="525">
        <f>SUM(AV122:AV122)</f>
        <v>1</v>
      </c>
      <c r="AW123" s="527">
        <f>SUM(AW122:AW122)</f>
        <v>80315.183172790013</v>
      </c>
      <c r="AX123" s="1044"/>
      <c r="AY123" s="958"/>
      <c r="AZ123" s="529"/>
      <c r="BA123" s="525">
        <f>SUM(BA122:BA122)</f>
        <v>1</v>
      </c>
      <c r="BB123" s="527">
        <f>SUM(BB122:BB122)</f>
        <v>82724.638667973719</v>
      </c>
      <c r="BC123" s="1044"/>
      <c r="BD123" s="1005"/>
      <c r="BE123" s="982"/>
      <c r="BG123" s="1140"/>
      <c r="BH123" s="1140"/>
      <c r="BI123" s="495"/>
      <c r="BJ123" s="495"/>
      <c r="BK123" s="495"/>
      <c r="BL123" s="495"/>
      <c r="BM123" s="495"/>
      <c r="BN123" s="495"/>
      <c r="BO123" s="495"/>
      <c r="BP123" s="495"/>
    </row>
    <row r="124" spans="4:68" outlineLevel="1">
      <c r="D124" s="650" t="s">
        <v>909</v>
      </c>
      <c r="E124" s="650"/>
      <c r="F124" s="650"/>
      <c r="G124" s="650"/>
      <c r="H124" s="650"/>
      <c r="I124" s="650"/>
      <c r="J124" s="650"/>
      <c r="K124" s="650"/>
      <c r="L124" s="650"/>
      <c r="M124" s="650"/>
      <c r="N124" s="650"/>
      <c r="O124" s="650"/>
      <c r="P124" s="650"/>
      <c r="Q124" s="650"/>
      <c r="R124" s="650"/>
      <c r="S124" s="924">
        <f>+S123-S191</f>
        <v>0</v>
      </c>
      <c r="T124" s="652">
        <f>+T123-T191</f>
        <v>0</v>
      </c>
      <c r="U124" s="1047"/>
      <c r="V124" s="959"/>
      <c r="W124" s="959"/>
      <c r="X124" s="652">
        <f>+X123-X191</f>
        <v>0</v>
      </c>
      <c r="Y124" s="652">
        <f>+Y123-Y191</f>
        <v>0</v>
      </c>
      <c r="Z124" s="650"/>
      <c r="AA124" s="650"/>
      <c r="AB124" s="924">
        <f>+AB123-AB191</f>
        <v>0</v>
      </c>
      <c r="AC124" s="652">
        <f>+AC123-AC191</f>
        <v>0</v>
      </c>
      <c r="AD124" s="1047"/>
      <c r="AE124" s="959"/>
      <c r="AF124" s="959"/>
      <c r="AG124" s="924">
        <f>+AG123-AG191</f>
        <v>0</v>
      </c>
      <c r="AH124" s="652">
        <f>+AH123-AH191</f>
        <v>0</v>
      </c>
      <c r="AI124" s="1047"/>
      <c r="AJ124" s="959"/>
      <c r="AK124" s="959"/>
      <c r="AL124" s="924">
        <f>+AL123-AL191</f>
        <v>0</v>
      </c>
      <c r="AM124" s="652">
        <f>+AM123-AM191</f>
        <v>3.100000016274862E-3</v>
      </c>
      <c r="AN124" s="1047"/>
      <c r="AO124" s="959"/>
      <c r="AP124" s="959"/>
      <c r="AQ124" s="924">
        <f>+AQ123-AQ191</f>
        <v>0</v>
      </c>
      <c r="AR124" s="652">
        <f>+AR123-AR191</f>
        <v>-4.0069999959086999E-3</v>
      </c>
      <c r="AS124" s="1047"/>
      <c r="AT124" s="959"/>
      <c r="AU124" s="1006"/>
      <c r="AV124" s="924">
        <f>+AV123-AV191</f>
        <v>0</v>
      </c>
      <c r="AW124" s="652">
        <f>+AW123-AW191</f>
        <v>3.1727900204714388E-3</v>
      </c>
      <c r="AX124" s="1047"/>
      <c r="AY124" s="959"/>
      <c r="AZ124" s="1006"/>
      <c r="BA124" s="924">
        <f>+BA123-BA191</f>
        <v>0</v>
      </c>
      <c r="BB124" s="652">
        <f>+BB123-BB191</f>
        <v>-1.3320262805791572E-3</v>
      </c>
      <c r="BC124" s="1047"/>
      <c r="BD124" s="1006"/>
      <c r="BE124" s="959"/>
      <c r="BI124" s="495"/>
      <c r="BJ124" s="495"/>
      <c r="BK124" s="495"/>
      <c r="BL124" s="495"/>
      <c r="BM124" s="495"/>
      <c r="BN124" s="495"/>
      <c r="BO124" s="495"/>
      <c r="BP124" s="495"/>
    </row>
    <row r="125" spans="4:68" ht="15" outlineLevel="1" thickBot="1">
      <c r="D125" s="650"/>
      <c r="AR125" s="498"/>
      <c r="AS125" s="1073"/>
      <c r="AU125" s="1007"/>
      <c r="AV125" s="1007"/>
      <c r="AW125" s="498"/>
      <c r="AX125" s="1073"/>
      <c r="AZ125" s="1007"/>
      <c r="BA125" s="1007"/>
      <c r="BB125" s="498"/>
      <c r="BC125" s="1073"/>
      <c r="BD125" s="1007"/>
      <c r="BI125" s="495"/>
      <c r="BJ125" s="495"/>
      <c r="BK125" s="495"/>
      <c r="BL125" s="495"/>
      <c r="BM125" s="495"/>
      <c r="BN125" s="495"/>
      <c r="BO125" s="495"/>
      <c r="BP125" s="495"/>
    </row>
    <row r="126" spans="4:68" ht="15" outlineLevel="1" thickBot="1">
      <c r="D126" s="658" t="s">
        <v>911</v>
      </c>
      <c r="E126" s="659"/>
      <c r="F126" s="659"/>
      <c r="G126" s="659"/>
      <c r="H126" s="659"/>
      <c r="I126" s="659"/>
      <c r="J126" s="659"/>
      <c r="K126" s="659"/>
      <c r="L126" s="659"/>
      <c r="M126" s="659"/>
      <c r="N126" s="659"/>
      <c r="O126" s="659"/>
      <c r="P126" s="659"/>
      <c r="Q126" s="659"/>
      <c r="R126" s="659"/>
      <c r="S126" s="900"/>
      <c r="T126" s="659"/>
      <c r="U126" s="1078"/>
      <c r="V126" s="900"/>
      <c r="W126" s="900"/>
      <c r="X126" s="659"/>
      <c r="Y126" s="659"/>
      <c r="Z126" s="659"/>
      <c r="AA126" s="659"/>
      <c r="AB126" s="1157" t="s">
        <v>1298</v>
      </c>
      <c r="AC126" s="1157"/>
      <c r="AD126" s="1157"/>
      <c r="AE126" s="1157"/>
      <c r="AF126" s="901"/>
      <c r="AG126" s="1157" t="s">
        <v>1298</v>
      </c>
      <c r="AH126" s="1157"/>
      <c r="AI126" s="1157"/>
      <c r="AJ126" s="1157"/>
      <c r="AK126" s="901"/>
      <c r="AL126" s="1157" t="s">
        <v>1299</v>
      </c>
      <c r="AM126" s="1157"/>
      <c r="AN126" s="1157"/>
      <c r="AO126" s="1157"/>
      <c r="AP126" s="901"/>
      <c r="AQ126" s="1157" t="s">
        <v>1299</v>
      </c>
      <c r="AR126" s="1157"/>
      <c r="AS126" s="1157"/>
      <c r="AT126" s="1157"/>
      <c r="AU126" s="901"/>
      <c r="AV126" s="1157" t="s">
        <v>1299</v>
      </c>
      <c r="AW126" s="1157"/>
      <c r="AX126" s="1157"/>
      <c r="AY126" s="1157"/>
      <c r="AZ126" s="901"/>
      <c r="BA126" s="1157" t="s">
        <v>1299</v>
      </c>
      <c r="BB126" s="1157"/>
      <c r="BC126" s="1157"/>
      <c r="BD126" s="1157"/>
      <c r="BE126" s="1020"/>
      <c r="BI126" s="495"/>
      <c r="BJ126" s="495"/>
      <c r="BK126" s="495"/>
      <c r="BL126" s="495"/>
      <c r="BM126" s="495"/>
      <c r="BN126" s="495"/>
      <c r="BO126" s="495"/>
      <c r="BP126" s="495"/>
    </row>
    <row r="127" spans="4:68" ht="15" outlineLevel="1" thickBot="1">
      <c r="D127" s="657" t="s">
        <v>870</v>
      </c>
      <c r="E127" s="548" t="s">
        <v>866</v>
      </c>
      <c r="F127" s="548" t="s">
        <v>867</v>
      </c>
      <c r="G127" s="548" t="s">
        <v>477</v>
      </c>
      <c r="H127" s="549" t="s">
        <v>478</v>
      </c>
      <c r="I127" s="624" t="s">
        <v>473</v>
      </c>
      <c r="J127" s="548" t="s">
        <v>1284</v>
      </c>
      <c r="K127" s="548" t="s">
        <v>270</v>
      </c>
      <c r="L127" s="548"/>
      <c r="M127" s="548"/>
      <c r="N127" s="548"/>
      <c r="O127" s="548"/>
      <c r="P127" s="548"/>
      <c r="Q127" s="548"/>
      <c r="R127" s="548"/>
      <c r="S127" s="558" t="s">
        <v>168</v>
      </c>
      <c r="T127" s="558" t="s">
        <v>474</v>
      </c>
      <c r="U127" s="558"/>
      <c r="V127" s="558" t="s">
        <v>475</v>
      </c>
      <c r="W127" s="558"/>
      <c r="X127" s="557" t="s">
        <v>168</v>
      </c>
      <c r="Y127" s="558" t="s">
        <v>474</v>
      </c>
      <c r="Z127" s="557" t="s">
        <v>475</v>
      </c>
      <c r="AA127" s="559"/>
      <c r="AB127" s="558" t="s">
        <v>168</v>
      </c>
      <c r="AC127" s="558" t="s">
        <v>474</v>
      </c>
      <c r="AD127" s="558"/>
      <c r="AE127" s="558" t="s">
        <v>475</v>
      </c>
      <c r="AF127" s="558"/>
      <c r="AG127" s="558" t="s">
        <v>168</v>
      </c>
      <c r="AH127" s="558" t="s">
        <v>474</v>
      </c>
      <c r="AI127" s="558"/>
      <c r="AJ127" s="558" t="s">
        <v>475</v>
      </c>
      <c r="AK127" s="558"/>
      <c r="AL127" s="558" t="s">
        <v>168</v>
      </c>
      <c r="AM127" s="558" t="s">
        <v>474</v>
      </c>
      <c r="AN127" s="558"/>
      <c r="AO127" s="558" t="s">
        <v>475</v>
      </c>
      <c r="AP127" s="558"/>
      <c r="AQ127" s="558" t="s">
        <v>168</v>
      </c>
      <c r="AR127" s="558" t="s">
        <v>474</v>
      </c>
      <c r="AS127" s="558"/>
      <c r="AT127" s="558" t="s">
        <v>475</v>
      </c>
      <c r="AU127" s="558"/>
      <c r="AV127" s="558" t="s">
        <v>168</v>
      </c>
      <c r="AW127" s="558" t="s">
        <v>474</v>
      </c>
      <c r="AX127" s="558"/>
      <c r="AY127" s="558" t="s">
        <v>475</v>
      </c>
      <c r="AZ127" s="558"/>
      <c r="BA127" s="558"/>
      <c r="BB127" s="558"/>
      <c r="BC127" s="558"/>
      <c r="BD127" s="558"/>
      <c r="BE127" s="1021"/>
      <c r="BF127" s="1137" t="s">
        <v>1421</v>
      </c>
      <c r="BG127" s="1137" t="s">
        <v>1229</v>
      </c>
      <c r="BH127" s="1137" t="s">
        <v>1420</v>
      </c>
      <c r="BI127" s="495"/>
      <c r="BJ127" s="495"/>
      <c r="BK127" s="495"/>
      <c r="BL127" s="495"/>
      <c r="BM127" s="495"/>
      <c r="BN127" s="495"/>
      <c r="BO127" s="495"/>
      <c r="BP127" s="495"/>
    </row>
    <row r="128" spans="4:68" outlineLevel="1">
      <c r="D128" s="1083" t="s">
        <v>1338</v>
      </c>
      <c r="E128" s="1084" t="s">
        <v>1340</v>
      </c>
      <c r="F128" s="1084" t="s">
        <v>910</v>
      </c>
      <c r="G128" s="545" t="s">
        <v>480</v>
      </c>
      <c r="H128" s="545" t="s">
        <v>480</v>
      </c>
      <c r="I128" s="545">
        <v>180</v>
      </c>
      <c r="J128" s="1085">
        <v>8</v>
      </c>
      <c r="K128" s="1086">
        <v>21</v>
      </c>
      <c r="M128" s="532"/>
      <c r="N128" s="532"/>
      <c r="O128" s="532"/>
      <c r="P128" s="532"/>
      <c r="Q128" s="532"/>
      <c r="S128" s="926">
        <v>1</v>
      </c>
      <c r="T128" s="655">
        <v>28120</v>
      </c>
      <c r="U128" s="1081"/>
      <c r="V128" s="960">
        <v>100</v>
      </c>
      <c r="X128" s="654">
        <f t="shared" ref="X128:X135" si="68">+S128</f>
        <v>1</v>
      </c>
      <c r="Y128" s="655">
        <f t="shared" ref="Y128:Y135" si="69">+T128</f>
        <v>28120</v>
      </c>
      <c r="Z128" s="656">
        <v>100</v>
      </c>
      <c r="AB128" s="926">
        <f>+X128</f>
        <v>1</v>
      </c>
      <c r="AC128" s="655">
        <f>I128*J128*K128</f>
        <v>30240</v>
      </c>
      <c r="AD128" s="1081"/>
      <c r="AE128" s="960">
        <v>100</v>
      </c>
      <c r="AG128" s="926">
        <f t="shared" ref="AG128:AG136" si="70">+AB128</f>
        <v>1</v>
      </c>
      <c r="AH128" s="655">
        <f t="shared" ref="AH128:AH135" si="71">ROUND(AC128*(1+AH$9),0)</f>
        <v>31147</v>
      </c>
      <c r="AI128" s="1081"/>
      <c r="AJ128" s="960">
        <v>100</v>
      </c>
      <c r="AL128" s="926">
        <f t="shared" ref="AL128:AL140" si="72">+AG128</f>
        <v>1</v>
      </c>
      <c r="AM128" s="655">
        <f t="shared" ref="AM128:AM140" si="73">ROUND(AH128*(1+AM$9),0)</f>
        <v>32081</v>
      </c>
      <c r="AN128" s="1081"/>
      <c r="AO128" s="960">
        <v>100</v>
      </c>
      <c r="AQ128" s="926">
        <f t="shared" ref="AQ128:AQ140" si="74">+AL128</f>
        <v>1</v>
      </c>
      <c r="AR128" s="655">
        <f t="shared" ref="AR128:AR140" si="75">ROUND(AM128*(1+AR$9),0)</f>
        <v>33043</v>
      </c>
      <c r="AS128" s="1081"/>
      <c r="AT128" s="960">
        <v>100</v>
      </c>
      <c r="AV128" s="926">
        <f t="shared" ref="AV128:AV140" si="76">+AQ128</f>
        <v>1</v>
      </c>
      <c r="AW128" s="655">
        <f t="shared" ref="AW128:AW140" si="77">ROUND(AR128*(1+AW$9),0)</f>
        <v>34034</v>
      </c>
      <c r="AX128" s="1048"/>
      <c r="AY128" s="960">
        <v>100</v>
      </c>
      <c r="BA128" s="926">
        <f t="shared" ref="BA128:BA140" si="78">+AV128</f>
        <v>1</v>
      </c>
      <c r="BB128" s="655">
        <f t="shared" ref="BB128:BB140" si="79">ROUND(AW128*(1+BB$9),0)</f>
        <v>35055</v>
      </c>
      <c r="BC128" s="1048"/>
      <c r="BD128" s="960">
        <v>100</v>
      </c>
      <c r="BF128" s="61">
        <v>18</v>
      </c>
      <c r="BG128" s="1138">
        <f>K128-BF128</f>
        <v>3</v>
      </c>
      <c r="BH128" s="1140">
        <f>BG128/BF128</f>
        <v>0.16666666666666666</v>
      </c>
      <c r="BI128" s="495"/>
      <c r="BJ128" s="495"/>
      <c r="BK128" s="495"/>
      <c r="BL128" s="495"/>
      <c r="BM128" s="495"/>
      <c r="BN128" s="495"/>
      <c r="BO128" s="495"/>
      <c r="BP128" s="495"/>
    </row>
    <row r="129" spans="4:68" outlineLevel="1">
      <c r="D129" s="1083" t="s">
        <v>1339</v>
      </c>
      <c r="E129" s="1084" t="s">
        <v>1340</v>
      </c>
      <c r="F129" s="1084" t="s">
        <v>910</v>
      </c>
      <c r="G129" s="545" t="s">
        <v>479</v>
      </c>
      <c r="H129" s="545" t="s">
        <v>479</v>
      </c>
      <c r="I129" s="545"/>
      <c r="J129" s="1085">
        <v>120</v>
      </c>
      <c r="K129" s="1086">
        <v>20</v>
      </c>
      <c r="M129" s="532"/>
      <c r="N129" s="532"/>
      <c r="O129" s="532"/>
      <c r="P129" s="532"/>
      <c r="Q129" s="532"/>
      <c r="S129" s="927">
        <v>0.5</v>
      </c>
      <c r="T129" s="488">
        <v>12160</v>
      </c>
      <c r="U129" s="1082"/>
      <c r="V129" s="634">
        <v>100</v>
      </c>
      <c r="X129" s="653">
        <f t="shared" si="68"/>
        <v>0.5</v>
      </c>
      <c r="Y129" s="488">
        <f t="shared" si="69"/>
        <v>12160</v>
      </c>
      <c r="Z129" s="633">
        <v>100</v>
      </c>
      <c r="AB129" s="926">
        <v>0.1</v>
      </c>
      <c r="AC129" s="655">
        <f>K129*J129</f>
        <v>2400</v>
      </c>
      <c r="AD129" s="1082"/>
      <c r="AE129" s="634">
        <v>100</v>
      </c>
      <c r="AG129" s="926">
        <f t="shared" si="70"/>
        <v>0.1</v>
      </c>
      <c r="AH129" s="655">
        <f t="shared" si="71"/>
        <v>2472</v>
      </c>
      <c r="AI129" s="1082"/>
      <c r="AJ129" s="634">
        <v>100</v>
      </c>
      <c r="AL129" s="926">
        <f t="shared" si="72"/>
        <v>0.1</v>
      </c>
      <c r="AM129" s="655">
        <f t="shared" si="73"/>
        <v>2546</v>
      </c>
      <c r="AN129" s="1082"/>
      <c r="AO129" s="634">
        <v>100</v>
      </c>
      <c r="AQ129" s="926">
        <f t="shared" si="74"/>
        <v>0.1</v>
      </c>
      <c r="AR129" s="655">
        <f t="shared" si="75"/>
        <v>2622</v>
      </c>
      <c r="AS129" s="1082"/>
      <c r="AT129" s="634">
        <v>100</v>
      </c>
      <c r="AV129" s="926">
        <f t="shared" si="76"/>
        <v>0.1</v>
      </c>
      <c r="AW129" s="655">
        <f t="shared" si="77"/>
        <v>2701</v>
      </c>
      <c r="AX129" s="1048"/>
      <c r="AY129" s="634">
        <v>100</v>
      </c>
      <c r="BA129" s="926">
        <f t="shared" si="78"/>
        <v>0.1</v>
      </c>
      <c r="BB129" s="655">
        <f t="shared" si="79"/>
        <v>2782</v>
      </c>
      <c r="BC129" s="1048"/>
      <c r="BD129" s="634">
        <v>100</v>
      </c>
      <c r="BF129" s="61" t="s">
        <v>127</v>
      </c>
      <c r="BG129" t="s">
        <v>127</v>
      </c>
      <c r="BI129" s="495"/>
      <c r="BJ129" s="495"/>
      <c r="BK129" s="495"/>
      <c r="BL129" s="495"/>
      <c r="BM129" s="495"/>
      <c r="BN129" s="495"/>
      <c r="BO129" s="495"/>
      <c r="BP129" s="495"/>
    </row>
    <row r="130" spans="4:68" outlineLevel="1">
      <c r="D130" s="1083" t="s">
        <v>1342</v>
      </c>
      <c r="E130" s="1084" t="s">
        <v>1341</v>
      </c>
      <c r="F130" s="1084" t="s">
        <v>910</v>
      </c>
      <c r="G130" s="545" t="s">
        <v>480</v>
      </c>
      <c r="H130" s="545" t="s">
        <v>480</v>
      </c>
      <c r="I130" s="545">
        <v>171</v>
      </c>
      <c r="J130" s="1085">
        <v>1265</v>
      </c>
      <c r="K130" s="1086">
        <v>18</v>
      </c>
      <c r="M130" s="532"/>
      <c r="N130" s="532"/>
      <c r="O130" s="532"/>
      <c r="P130" s="532"/>
      <c r="Q130" s="532"/>
      <c r="S130" s="927">
        <v>1</v>
      </c>
      <c r="T130" s="488">
        <v>20119</v>
      </c>
      <c r="U130" s="1082"/>
      <c r="V130" s="634">
        <v>100</v>
      </c>
      <c r="X130" s="653">
        <f t="shared" si="68"/>
        <v>1</v>
      </c>
      <c r="Y130" s="488">
        <f t="shared" si="69"/>
        <v>20119</v>
      </c>
      <c r="Z130" s="633">
        <v>100</v>
      </c>
      <c r="AB130" s="926">
        <f t="shared" ref="AB130:AB134" si="80">+X130</f>
        <v>1</v>
      </c>
      <c r="AC130" s="655">
        <f t="shared" ref="AC130:AC137" si="81">J130*K130</f>
        <v>22770</v>
      </c>
      <c r="AD130" s="1082"/>
      <c r="AE130" s="634">
        <v>100</v>
      </c>
      <c r="AG130" s="926">
        <f t="shared" si="70"/>
        <v>1</v>
      </c>
      <c r="AH130" s="655">
        <f t="shared" si="71"/>
        <v>23453</v>
      </c>
      <c r="AI130" s="1082"/>
      <c r="AJ130" s="634">
        <v>100</v>
      </c>
      <c r="AL130" s="926">
        <f t="shared" si="72"/>
        <v>1</v>
      </c>
      <c r="AM130" s="655">
        <f t="shared" si="73"/>
        <v>24157</v>
      </c>
      <c r="AN130" s="1082"/>
      <c r="AO130" s="634">
        <v>100</v>
      </c>
      <c r="AQ130" s="926">
        <f t="shared" si="74"/>
        <v>1</v>
      </c>
      <c r="AR130" s="655">
        <f t="shared" si="75"/>
        <v>24882</v>
      </c>
      <c r="AS130" s="1082"/>
      <c r="AT130" s="634">
        <v>100</v>
      </c>
      <c r="AV130" s="926">
        <f t="shared" si="76"/>
        <v>1</v>
      </c>
      <c r="AW130" s="655">
        <f t="shared" si="77"/>
        <v>25628</v>
      </c>
      <c r="AX130" s="1048"/>
      <c r="AY130" s="634">
        <v>100</v>
      </c>
      <c r="BA130" s="926">
        <f t="shared" si="78"/>
        <v>1</v>
      </c>
      <c r="BB130" s="655">
        <f t="shared" si="79"/>
        <v>26397</v>
      </c>
      <c r="BC130" s="1048"/>
      <c r="BD130" s="634">
        <v>100</v>
      </c>
      <c r="BF130" s="61">
        <v>15</v>
      </c>
      <c r="BG130" s="1138">
        <f t="shared" ref="BG130:BG135" si="82">K130-BF130</f>
        <v>3</v>
      </c>
      <c r="BH130" s="1140">
        <f t="shared" ref="BH130:BH135" si="83">BG130/BF130</f>
        <v>0.2</v>
      </c>
      <c r="BI130" s="495"/>
      <c r="BJ130" s="495"/>
      <c r="BK130" s="495"/>
      <c r="BL130" s="495"/>
      <c r="BM130" s="495"/>
      <c r="BN130" s="495"/>
      <c r="BO130" s="495"/>
      <c r="BP130" s="495"/>
    </row>
    <row r="131" spans="4:68" outlineLevel="1">
      <c r="D131" s="1083" t="s">
        <v>1343</v>
      </c>
      <c r="E131" s="1084" t="s">
        <v>1341</v>
      </c>
      <c r="F131" s="1084" t="s">
        <v>910</v>
      </c>
      <c r="G131" s="545" t="s">
        <v>480</v>
      </c>
      <c r="H131" s="545" t="s">
        <v>480</v>
      </c>
      <c r="I131" s="545">
        <v>171</v>
      </c>
      <c r="J131" s="1085">
        <v>1265</v>
      </c>
      <c r="K131" s="1086">
        <v>18</v>
      </c>
      <c r="M131" s="532"/>
      <c r="N131" s="532"/>
      <c r="O131" s="532"/>
      <c r="P131" s="532"/>
      <c r="Q131" s="532"/>
      <c r="S131" s="927">
        <v>1</v>
      </c>
      <c r="T131" s="488">
        <v>20119</v>
      </c>
      <c r="U131" s="1082"/>
      <c r="V131" s="634">
        <v>100</v>
      </c>
      <c r="X131" s="653">
        <f t="shared" si="68"/>
        <v>1</v>
      </c>
      <c r="Y131" s="488">
        <f t="shared" si="69"/>
        <v>20119</v>
      </c>
      <c r="Z131" s="633">
        <v>100</v>
      </c>
      <c r="AB131" s="926">
        <f t="shared" si="80"/>
        <v>1</v>
      </c>
      <c r="AC131" s="655">
        <f t="shared" si="81"/>
        <v>22770</v>
      </c>
      <c r="AD131" s="1082"/>
      <c r="AE131" s="634">
        <v>100</v>
      </c>
      <c r="AG131" s="926">
        <f t="shared" si="70"/>
        <v>1</v>
      </c>
      <c r="AH131" s="655">
        <f t="shared" si="71"/>
        <v>23453</v>
      </c>
      <c r="AI131" s="1082"/>
      <c r="AJ131" s="634">
        <v>100</v>
      </c>
      <c r="AL131" s="926">
        <f t="shared" si="72"/>
        <v>1</v>
      </c>
      <c r="AM131" s="655">
        <f t="shared" si="73"/>
        <v>24157</v>
      </c>
      <c r="AN131" s="1082"/>
      <c r="AO131" s="634">
        <v>100</v>
      </c>
      <c r="AQ131" s="926">
        <f t="shared" si="74"/>
        <v>1</v>
      </c>
      <c r="AR131" s="655">
        <f t="shared" si="75"/>
        <v>24882</v>
      </c>
      <c r="AS131" s="1082"/>
      <c r="AT131" s="634">
        <v>100</v>
      </c>
      <c r="AV131" s="926">
        <f t="shared" si="76"/>
        <v>1</v>
      </c>
      <c r="AW131" s="655">
        <f t="shared" si="77"/>
        <v>25628</v>
      </c>
      <c r="AX131" s="1048"/>
      <c r="AY131" s="634">
        <v>100</v>
      </c>
      <c r="BA131" s="926">
        <f t="shared" si="78"/>
        <v>1</v>
      </c>
      <c r="BB131" s="655">
        <f t="shared" si="79"/>
        <v>26397</v>
      </c>
      <c r="BC131" s="1048"/>
      <c r="BD131" s="634">
        <v>100</v>
      </c>
      <c r="BF131" s="61">
        <v>15</v>
      </c>
      <c r="BG131" s="1138">
        <f t="shared" si="82"/>
        <v>3</v>
      </c>
      <c r="BH131" s="1140">
        <f t="shared" si="83"/>
        <v>0.2</v>
      </c>
      <c r="BI131" s="495"/>
      <c r="BJ131" s="495"/>
      <c r="BK131" s="495"/>
      <c r="BL131" s="495"/>
      <c r="BM131" s="495"/>
      <c r="BN131" s="495"/>
      <c r="BO131" s="495"/>
      <c r="BP131" s="495"/>
    </row>
    <row r="132" spans="4:68" outlineLevel="1">
      <c r="D132" s="1083" t="s">
        <v>1344</v>
      </c>
      <c r="E132" s="1084" t="s">
        <v>1341</v>
      </c>
      <c r="F132" s="1084" t="s">
        <v>910</v>
      </c>
      <c r="G132" s="545" t="s">
        <v>480</v>
      </c>
      <c r="H132" s="545" t="s">
        <v>480</v>
      </c>
      <c r="I132" s="545">
        <v>171</v>
      </c>
      <c r="J132" s="1085">
        <v>1265</v>
      </c>
      <c r="K132" s="1086">
        <v>20</v>
      </c>
      <c r="M132" s="532"/>
      <c r="N132" s="532"/>
      <c r="O132" s="532"/>
      <c r="P132" s="532"/>
      <c r="Q132" s="532"/>
      <c r="S132" s="927">
        <v>1</v>
      </c>
      <c r="T132" s="488">
        <v>22066</v>
      </c>
      <c r="U132" s="1082"/>
      <c r="V132" s="634">
        <v>100</v>
      </c>
      <c r="X132" s="653">
        <f t="shared" si="68"/>
        <v>1</v>
      </c>
      <c r="Y132" s="488">
        <f t="shared" si="69"/>
        <v>22066</v>
      </c>
      <c r="Z132" s="633">
        <v>100</v>
      </c>
      <c r="AB132" s="926">
        <f t="shared" si="80"/>
        <v>1</v>
      </c>
      <c r="AC132" s="655">
        <f t="shared" si="81"/>
        <v>25300</v>
      </c>
      <c r="AD132" s="1082"/>
      <c r="AE132" s="634">
        <v>100</v>
      </c>
      <c r="AG132" s="926">
        <f t="shared" si="70"/>
        <v>1</v>
      </c>
      <c r="AH132" s="655">
        <f t="shared" si="71"/>
        <v>26059</v>
      </c>
      <c r="AI132" s="1082"/>
      <c r="AJ132" s="634">
        <v>100</v>
      </c>
      <c r="AL132" s="926">
        <f t="shared" si="72"/>
        <v>1</v>
      </c>
      <c r="AM132" s="655">
        <f t="shared" si="73"/>
        <v>26841</v>
      </c>
      <c r="AN132" s="1082"/>
      <c r="AO132" s="634">
        <v>100</v>
      </c>
      <c r="AQ132" s="926">
        <f t="shared" si="74"/>
        <v>1</v>
      </c>
      <c r="AR132" s="655">
        <f t="shared" si="75"/>
        <v>27646</v>
      </c>
      <c r="AS132" s="1082"/>
      <c r="AT132" s="634">
        <v>100</v>
      </c>
      <c r="AV132" s="926">
        <f t="shared" si="76"/>
        <v>1</v>
      </c>
      <c r="AW132" s="655">
        <f t="shared" si="77"/>
        <v>28475</v>
      </c>
      <c r="AX132" s="1048"/>
      <c r="AY132" s="634">
        <v>100</v>
      </c>
      <c r="BA132" s="926">
        <f t="shared" si="78"/>
        <v>1</v>
      </c>
      <c r="BB132" s="655">
        <f t="shared" si="79"/>
        <v>29329</v>
      </c>
      <c r="BC132" s="1048"/>
      <c r="BD132" s="634">
        <v>100</v>
      </c>
      <c r="BF132" s="61">
        <v>17</v>
      </c>
      <c r="BG132" s="1138">
        <f t="shared" si="82"/>
        <v>3</v>
      </c>
      <c r="BH132" s="1140">
        <f t="shared" si="83"/>
        <v>0.17647058823529413</v>
      </c>
      <c r="BI132" s="495"/>
      <c r="BJ132" s="495"/>
      <c r="BK132" s="495"/>
      <c r="BL132" s="495"/>
      <c r="BM132" s="495"/>
      <c r="BN132" s="495"/>
      <c r="BO132" s="495"/>
      <c r="BP132" s="495"/>
    </row>
    <row r="133" spans="4:68" outlineLevel="1">
      <c r="D133" s="1083" t="s">
        <v>1345</v>
      </c>
      <c r="E133" s="1084" t="s">
        <v>1341</v>
      </c>
      <c r="F133" s="1084" t="s">
        <v>910</v>
      </c>
      <c r="G133" s="545" t="s">
        <v>480</v>
      </c>
      <c r="H133" s="545" t="s">
        <v>480</v>
      </c>
      <c r="I133" s="545">
        <v>171</v>
      </c>
      <c r="J133" s="1085">
        <v>1265</v>
      </c>
      <c r="K133" s="1086">
        <v>20</v>
      </c>
      <c r="M133" s="532"/>
      <c r="N133" s="532"/>
      <c r="O133" s="532"/>
      <c r="P133" s="532"/>
      <c r="Q133" s="532"/>
      <c r="S133" s="927">
        <v>1</v>
      </c>
      <c r="T133" s="488">
        <v>22066</v>
      </c>
      <c r="U133" s="1082"/>
      <c r="V133" s="634">
        <v>100</v>
      </c>
      <c r="X133" s="653">
        <f t="shared" si="68"/>
        <v>1</v>
      </c>
      <c r="Y133" s="488">
        <f t="shared" si="69"/>
        <v>22066</v>
      </c>
      <c r="Z133" s="633">
        <v>100</v>
      </c>
      <c r="AB133" s="926">
        <f t="shared" si="80"/>
        <v>1</v>
      </c>
      <c r="AC133" s="655">
        <f t="shared" si="81"/>
        <v>25300</v>
      </c>
      <c r="AD133" s="1082"/>
      <c r="AE133" s="634">
        <v>100</v>
      </c>
      <c r="AG133" s="926">
        <f t="shared" si="70"/>
        <v>1</v>
      </c>
      <c r="AH133" s="655">
        <f t="shared" si="71"/>
        <v>26059</v>
      </c>
      <c r="AI133" s="1082"/>
      <c r="AJ133" s="634">
        <v>100</v>
      </c>
      <c r="AL133" s="926">
        <f t="shared" si="72"/>
        <v>1</v>
      </c>
      <c r="AM133" s="655">
        <f t="shared" si="73"/>
        <v>26841</v>
      </c>
      <c r="AN133" s="1082"/>
      <c r="AO133" s="634">
        <v>100</v>
      </c>
      <c r="AQ133" s="926">
        <f t="shared" si="74"/>
        <v>1</v>
      </c>
      <c r="AR133" s="655">
        <f t="shared" si="75"/>
        <v>27646</v>
      </c>
      <c r="AS133" s="1082"/>
      <c r="AT133" s="634">
        <v>100</v>
      </c>
      <c r="AV133" s="926">
        <f t="shared" si="76"/>
        <v>1</v>
      </c>
      <c r="AW133" s="655">
        <f t="shared" si="77"/>
        <v>28475</v>
      </c>
      <c r="AX133" s="1048"/>
      <c r="AY133" s="634">
        <v>100</v>
      </c>
      <c r="BA133" s="926">
        <f t="shared" si="78"/>
        <v>1</v>
      </c>
      <c r="BB133" s="655">
        <f t="shared" si="79"/>
        <v>29329</v>
      </c>
      <c r="BC133" s="1048"/>
      <c r="BD133" s="634">
        <v>100</v>
      </c>
      <c r="BF133" s="61">
        <v>17</v>
      </c>
      <c r="BG133" s="1138">
        <f t="shared" si="82"/>
        <v>3</v>
      </c>
      <c r="BH133" s="1140">
        <f t="shared" si="83"/>
        <v>0.17647058823529413</v>
      </c>
      <c r="BI133" s="495"/>
      <c r="BJ133" s="495"/>
      <c r="BK133" s="495"/>
      <c r="BL133" s="495"/>
      <c r="BM133" s="495"/>
      <c r="BN133" s="495"/>
      <c r="BO133" s="495"/>
      <c r="BP133" s="495"/>
    </row>
    <row r="134" spans="4:68" outlineLevel="1">
      <c r="D134" s="1083" t="s">
        <v>1346</v>
      </c>
      <c r="E134" s="1084" t="s">
        <v>1341</v>
      </c>
      <c r="F134" s="1084" t="s">
        <v>910</v>
      </c>
      <c r="G134" s="545" t="s">
        <v>480</v>
      </c>
      <c r="H134" s="545" t="s">
        <v>480</v>
      </c>
      <c r="I134" s="545">
        <v>171</v>
      </c>
      <c r="J134" s="1085">
        <v>1265</v>
      </c>
      <c r="K134" s="1086">
        <v>20</v>
      </c>
      <c r="M134" s="532"/>
      <c r="N134" s="532"/>
      <c r="O134" s="532"/>
      <c r="P134" s="532"/>
      <c r="Q134" s="532"/>
      <c r="S134" s="927">
        <v>1</v>
      </c>
      <c r="T134" s="488">
        <v>22066</v>
      </c>
      <c r="U134" s="1082"/>
      <c r="V134" s="634">
        <v>100</v>
      </c>
      <c r="X134" s="653">
        <f t="shared" si="68"/>
        <v>1</v>
      </c>
      <c r="Y134" s="488">
        <f t="shared" si="69"/>
        <v>22066</v>
      </c>
      <c r="Z134" s="633">
        <v>100</v>
      </c>
      <c r="AB134" s="926">
        <f t="shared" si="80"/>
        <v>1</v>
      </c>
      <c r="AC134" s="655">
        <f t="shared" si="81"/>
        <v>25300</v>
      </c>
      <c r="AD134" s="1082"/>
      <c r="AE134" s="634">
        <v>100</v>
      </c>
      <c r="AG134" s="926">
        <f t="shared" si="70"/>
        <v>1</v>
      </c>
      <c r="AH134" s="655">
        <f t="shared" si="71"/>
        <v>26059</v>
      </c>
      <c r="AI134" s="1082"/>
      <c r="AJ134" s="634">
        <v>100</v>
      </c>
      <c r="AL134" s="926">
        <f t="shared" si="72"/>
        <v>1</v>
      </c>
      <c r="AM134" s="655">
        <f t="shared" si="73"/>
        <v>26841</v>
      </c>
      <c r="AN134" s="1082"/>
      <c r="AO134" s="634">
        <v>100</v>
      </c>
      <c r="AQ134" s="926">
        <f t="shared" si="74"/>
        <v>1</v>
      </c>
      <c r="AR134" s="655">
        <f t="shared" si="75"/>
        <v>27646</v>
      </c>
      <c r="AS134" s="1082"/>
      <c r="AT134" s="634">
        <v>100</v>
      </c>
      <c r="AV134" s="926">
        <f t="shared" si="76"/>
        <v>1</v>
      </c>
      <c r="AW134" s="655">
        <f t="shared" si="77"/>
        <v>28475</v>
      </c>
      <c r="AX134" s="1048"/>
      <c r="AY134" s="634">
        <v>100</v>
      </c>
      <c r="BA134" s="926">
        <f t="shared" si="78"/>
        <v>1</v>
      </c>
      <c r="BB134" s="655">
        <f t="shared" si="79"/>
        <v>29329</v>
      </c>
      <c r="BC134" s="1048"/>
      <c r="BD134" s="634">
        <v>100</v>
      </c>
      <c r="BF134" s="61">
        <v>17</v>
      </c>
      <c r="BG134" s="1138">
        <f t="shared" si="82"/>
        <v>3</v>
      </c>
      <c r="BH134" s="1140">
        <f t="shared" si="83"/>
        <v>0.17647058823529413</v>
      </c>
      <c r="BI134" s="495"/>
      <c r="BJ134" s="495"/>
      <c r="BK134" s="495"/>
      <c r="BL134" s="495"/>
      <c r="BM134" s="495"/>
      <c r="BN134" s="495"/>
      <c r="BO134" s="495"/>
      <c r="BP134" s="495"/>
    </row>
    <row r="135" spans="4:68" outlineLevel="1">
      <c r="D135" s="1083" t="s">
        <v>1347</v>
      </c>
      <c r="E135" s="1084" t="s">
        <v>1341</v>
      </c>
      <c r="F135" s="1084" t="s">
        <v>910</v>
      </c>
      <c r="G135" s="545" t="s">
        <v>480</v>
      </c>
      <c r="H135" s="545" t="s">
        <v>480</v>
      </c>
      <c r="I135" s="545">
        <v>171</v>
      </c>
      <c r="J135" s="1085">
        <v>1265</v>
      </c>
      <c r="K135" s="1086">
        <v>18</v>
      </c>
      <c r="M135" s="532"/>
      <c r="N135" s="532"/>
      <c r="O135" s="532"/>
      <c r="P135" s="532"/>
      <c r="Q135" s="532"/>
      <c r="S135" s="927">
        <v>0.75</v>
      </c>
      <c r="T135" s="488">
        <v>22066</v>
      </c>
      <c r="U135" s="1082"/>
      <c r="V135" s="634">
        <v>100</v>
      </c>
      <c r="X135" s="653">
        <f t="shared" si="68"/>
        <v>0.75</v>
      </c>
      <c r="Y135" s="488">
        <f t="shared" si="69"/>
        <v>22066</v>
      </c>
      <c r="Z135" s="633">
        <v>100</v>
      </c>
      <c r="AB135" s="926">
        <v>1</v>
      </c>
      <c r="AC135" s="655">
        <f t="shared" si="81"/>
        <v>22770</v>
      </c>
      <c r="AD135" s="1082"/>
      <c r="AE135" s="634">
        <v>100</v>
      </c>
      <c r="AG135" s="926">
        <f t="shared" si="70"/>
        <v>1</v>
      </c>
      <c r="AH135" s="655">
        <f t="shared" si="71"/>
        <v>23453</v>
      </c>
      <c r="AI135" s="1082"/>
      <c r="AJ135" s="634">
        <v>100</v>
      </c>
      <c r="AL135" s="926">
        <f t="shared" si="72"/>
        <v>1</v>
      </c>
      <c r="AM135" s="655">
        <f t="shared" si="73"/>
        <v>24157</v>
      </c>
      <c r="AN135" s="1082"/>
      <c r="AO135" s="634">
        <v>100</v>
      </c>
      <c r="AQ135" s="926">
        <f t="shared" si="74"/>
        <v>1</v>
      </c>
      <c r="AR135" s="655">
        <f t="shared" si="75"/>
        <v>24882</v>
      </c>
      <c r="AS135" s="1082"/>
      <c r="AT135" s="634">
        <v>100</v>
      </c>
      <c r="AV135" s="926">
        <f t="shared" si="76"/>
        <v>1</v>
      </c>
      <c r="AW135" s="655">
        <f t="shared" si="77"/>
        <v>25628</v>
      </c>
      <c r="AX135" s="1048"/>
      <c r="AY135" s="634">
        <v>100</v>
      </c>
      <c r="BA135" s="926">
        <f t="shared" si="78"/>
        <v>1</v>
      </c>
      <c r="BB135" s="655">
        <f t="shared" si="79"/>
        <v>26397</v>
      </c>
      <c r="BC135" s="1048"/>
      <c r="BD135" s="634">
        <v>100</v>
      </c>
      <c r="BF135" s="61">
        <v>15.5</v>
      </c>
      <c r="BG135" s="1138">
        <f t="shared" si="82"/>
        <v>2.5</v>
      </c>
      <c r="BH135" s="1140">
        <f t="shared" si="83"/>
        <v>0.16129032258064516</v>
      </c>
      <c r="BI135" s="495"/>
      <c r="BJ135" s="495"/>
      <c r="BK135" s="495"/>
      <c r="BL135" s="495"/>
      <c r="BM135" s="495"/>
      <c r="BN135" s="495"/>
      <c r="BO135" s="495"/>
      <c r="BP135" s="495"/>
    </row>
    <row r="136" spans="4:68" outlineLevel="1">
      <c r="D136" s="1083" t="s">
        <v>1397</v>
      </c>
      <c r="E136" s="1084" t="s">
        <v>1341</v>
      </c>
      <c r="F136" s="1084" t="s">
        <v>910</v>
      </c>
      <c r="G136" s="545" t="s">
        <v>480</v>
      </c>
      <c r="H136" s="545" t="s">
        <v>480</v>
      </c>
      <c r="I136" s="545">
        <v>171</v>
      </c>
      <c r="J136" s="1085">
        <v>1265</v>
      </c>
      <c r="K136" s="1086">
        <v>17.5</v>
      </c>
      <c r="M136" s="532"/>
      <c r="N136" s="532"/>
      <c r="O136" s="532"/>
      <c r="P136" s="532"/>
      <c r="Q136" s="532"/>
      <c r="S136" s="927"/>
      <c r="T136" s="488"/>
      <c r="U136" s="1082"/>
      <c r="V136" s="634">
        <v>100</v>
      </c>
      <c r="X136" s="653"/>
      <c r="Y136" s="488"/>
      <c r="Z136" s="633"/>
      <c r="AB136" s="926">
        <v>1</v>
      </c>
      <c r="AC136" s="655">
        <f t="shared" si="81"/>
        <v>22137.5</v>
      </c>
      <c r="AD136" s="1082"/>
      <c r="AE136" s="634">
        <v>100</v>
      </c>
      <c r="AG136" s="926">
        <f t="shared" si="70"/>
        <v>1</v>
      </c>
      <c r="AH136" s="655">
        <f>ROUND(AC136*(1+AH$9),0)</f>
        <v>22802</v>
      </c>
      <c r="AI136" s="1082"/>
      <c r="AJ136" s="634">
        <v>100</v>
      </c>
      <c r="AL136" s="926">
        <f t="shared" si="72"/>
        <v>1</v>
      </c>
      <c r="AM136" s="655">
        <f t="shared" si="73"/>
        <v>23486</v>
      </c>
      <c r="AN136" s="1082"/>
      <c r="AO136" s="634">
        <v>100</v>
      </c>
      <c r="AQ136" s="926">
        <f t="shared" si="74"/>
        <v>1</v>
      </c>
      <c r="AR136" s="655">
        <f t="shared" si="75"/>
        <v>24191</v>
      </c>
      <c r="AS136" s="1082"/>
      <c r="AT136" s="634">
        <v>100</v>
      </c>
      <c r="AV136" s="926">
        <f t="shared" si="76"/>
        <v>1</v>
      </c>
      <c r="AW136" s="655">
        <f t="shared" si="77"/>
        <v>24917</v>
      </c>
      <c r="AX136" s="1048"/>
      <c r="AY136" s="634">
        <v>100</v>
      </c>
      <c r="BA136" s="926">
        <f t="shared" si="78"/>
        <v>1</v>
      </c>
      <c r="BB136" s="655">
        <f t="shared" si="79"/>
        <v>25665</v>
      </c>
      <c r="BC136" s="1048"/>
      <c r="BD136" s="634">
        <v>100</v>
      </c>
      <c r="BF136" s="61" t="s">
        <v>127</v>
      </c>
      <c r="BG136" t="s">
        <v>127</v>
      </c>
      <c r="BI136" s="495"/>
      <c r="BJ136" s="495"/>
      <c r="BK136" s="495"/>
      <c r="BL136" s="495"/>
      <c r="BM136" s="495"/>
      <c r="BN136" s="495"/>
      <c r="BO136" s="495"/>
      <c r="BP136" s="495"/>
    </row>
    <row r="137" spans="4:68" outlineLevel="1">
      <c r="D137" s="1083" t="s">
        <v>1348</v>
      </c>
      <c r="E137" s="1084" t="s">
        <v>1341</v>
      </c>
      <c r="F137" s="1084" t="s">
        <v>910</v>
      </c>
      <c r="G137" s="545" t="s">
        <v>480</v>
      </c>
      <c r="H137" s="545" t="s">
        <v>480</v>
      </c>
      <c r="I137" s="545">
        <v>171</v>
      </c>
      <c r="J137" s="1085">
        <v>0</v>
      </c>
      <c r="K137" s="1086">
        <v>15.5</v>
      </c>
      <c r="M137" s="532"/>
      <c r="N137" s="532"/>
      <c r="O137" s="532"/>
      <c r="P137" s="532"/>
      <c r="Q137" s="532"/>
      <c r="S137" s="927"/>
      <c r="T137" s="488"/>
      <c r="U137" s="1082"/>
      <c r="V137" s="634">
        <v>100</v>
      </c>
      <c r="X137" s="653"/>
      <c r="Y137" s="488"/>
      <c r="Z137" s="633"/>
      <c r="AB137" s="926">
        <v>0</v>
      </c>
      <c r="AC137" s="655">
        <f t="shared" si="81"/>
        <v>0</v>
      </c>
      <c r="AD137" s="1082"/>
      <c r="AE137" s="634">
        <v>100</v>
      </c>
      <c r="AG137" s="926">
        <v>1</v>
      </c>
      <c r="AH137" s="655">
        <f>1265*16</f>
        <v>20240</v>
      </c>
      <c r="AI137" s="1082"/>
      <c r="AJ137" s="634">
        <v>100</v>
      </c>
      <c r="AL137" s="926">
        <f t="shared" si="72"/>
        <v>1</v>
      </c>
      <c r="AM137" s="655">
        <f t="shared" si="73"/>
        <v>20847</v>
      </c>
      <c r="AN137" s="1082"/>
      <c r="AO137" s="634">
        <v>100</v>
      </c>
      <c r="AQ137" s="926">
        <f t="shared" si="74"/>
        <v>1</v>
      </c>
      <c r="AR137" s="655">
        <f t="shared" si="75"/>
        <v>21472</v>
      </c>
      <c r="AS137" s="1082"/>
      <c r="AT137" s="634">
        <v>100</v>
      </c>
      <c r="AV137" s="926">
        <f t="shared" si="76"/>
        <v>1</v>
      </c>
      <c r="AW137" s="655">
        <f t="shared" si="77"/>
        <v>22116</v>
      </c>
      <c r="AX137" s="1048"/>
      <c r="AY137" s="634">
        <v>100</v>
      </c>
      <c r="BA137" s="926">
        <f t="shared" si="78"/>
        <v>1</v>
      </c>
      <c r="BB137" s="655">
        <f t="shared" si="79"/>
        <v>22779</v>
      </c>
      <c r="BC137" s="1048"/>
      <c r="BD137" s="634">
        <v>100</v>
      </c>
      <c r="BF137" s="1124"/>
      <c r="BI137" s="495"/>
      <c r="BJ137" s="495"/>
      <c r="BK137" s="495"/>
      <c r="BL137" s="495"/>
      <c r="BM137" s="495"/>
      <c r="BN137" s="495"/>
      <c r="BO137" s="495"/>
      <c r="BP137" s="495"/>
    </row>
    <row r="138" spans="4:68" outlineLevel="1">
      <c r="D138" s="1083" t="s">
        <v>1348</v>
      </c>
      <c r="E138" s="1084" t="s">
        <v>1341</v>
      </c>
      <c r="F138" s="1084" t="s">
        <v>910</v>
      </c>
      <c r="G138" s="545" t="s">
        <v>480</v>
      </c>
      <c r="H138" s="545" t="s">
        <v>480</v>
      </c>
      <c r="I138" s="545">
        <v>171</v>
      </c>
      <c r="J138" s="1085">
        <v>0</v>
      </c>
      <c r="K138" s="1086">
        <v>15.5</v>
      </c>
      <c r="M138" s="532"/>
      <c r="N138" s="532"/>
      <c r="O138" s="532"/>
      <c r="P138" s="532"/>
      <c r="Q138" s="532"/>
      <c r="S138" s="927"/>
      <c r="T138" s="488"/>
      <c r="U138" s="1082"/>
      <c r="V138" s="634"/>
      <c r="X138" s="653"/>
      <c r="Y138" s="488"/>
      <c r="Z138" s="633"/>
      <c r="AB138" s="926"/>
      <c r="AC138" s="655"/>
      <c r="AD138" s="1082"/>
      <c r="AE138" s="634">
        <v>100</v>
      </c>
      <c r="AG138" s="926">
        <v>1</v>
      </c>
      <c r="AH138" s="655">
        <f>1265*16</f>
        <v>20240</v>
      </c>
      <c r="AI138" s="1082"/>
      <c r="AJ138" s="634">
        <v>100</v>
      </c>
      <c r="AL138" s="926">
        <f t="shared" si="72"/>
        <v>1</v>
      </c>
      <c r="AM138" s="655">
        <f t="shared" si="73"/>
        <v>20847</v>
      </c>
      <c r="AN138" s="1082"/>
      <c r="AO138" s="634">
        <v>100</v>
      </c>
      <c r="AQ138" s="926">
        <f t="shared" si="74"/>
        <v>1</v>
      </c>
      <c r="AR138" s="655">
        <f t="shared" si="75"/>
        <v>21472</v>
      </c>
      <c r="AS138" s="1082"/>
      <c r="AT138" s="634">
        <v>100</v>
      </c>
      <c r="AV138" s="926">
        <f t="shared" si="76"/>
        <v>1</v>
      </c>
      <c r="AW138" s="655">
        <f t="shared" si="77"/>
        <v>22116</v>
      </c>
      <c r="AX138" s="1048"/>
      <c r="AY138" s="634">
        <v>100</v>
      </c>
      <c r="BA138" s="926">
        <f t="shared" si="78"/>
        <v>1</v>
      </c>
      <c r="BB138" s="655">
        <f t="shared" si="79"/>
        <v>22779</v>
      </c>
      <c r="BC138" s="1048"/>
      <c r="BD138" s="634">
        <v>100</v>
      </c>
      <c r="BF138" s="1124"/>
      <c r="BI138" s="495"/>
      <c r="BJ138" s="495"/>
      <c r="BK138" s="495"/>
      <c r="BL138" s="495"/>
      <c r="BM138" s="495"/>
      <c r="BN138" s="495"/>
      <c r="BO138" s="495"/>
      <c r="BP138" s="495"/>
    </row>
    <row r="139" spans="4:68" outlineLevel="1">
      <c r="D139" s="1083" t="s">
        <v>1348</v>
      </c>
      <c r="E139" s="1084" t="s">
        <v>1341</v>
      </c>
      <c r="F139" s="1084" t="s">
        <v>910</v>
      </c>
      <c r="G139" s="545" t="s">
        <v>480</v>
      </c>
      <c r="H139" s="545" t="s">
        <v>480</v>
      </c>
      <c r="I139" s="545">
        <v>171</v>
      </c>
      <c r="J139" s="1085">
        <v>0</v>
      </c>
      <c r="K139" s="1086">
        <v>15.5</v>
      </c>
      <c r="M139" s="532"/>
      <c r="N139" s="532"/>
      <c r="O139" s="532"/>
      <c r="P139" s="532"/>
      <c r="Q139" s="532"/>
      <c r="S139" s="927"/>
      <c r="T139" s="488"/>
      <c r="U139" s="1082"/>
      <c r="V139" s="634"/>
      <c r="X139" s="653"/>
      <c r="Y139" s="488"/>
      <c r="Z139" s="633"/>
      <c r="AB139" s="926"/>
      <c r="AC139" s="655"/>
      <c r="AD139" s="1082"/>
      <c r="AE139" s="634">
        <v>100</v>
      </c>
      <c r="AG139" s="926">
        <v>1</v>
      </c>
      <c r="AH139" s="655">
        <f>1265*16</f>
        <v>20240</v>
      </c>
      <c r="AI139" s="1082"/>
      <c r="AJ139" s="634">
        <v>100</v>
      </c>
      <c r="AL139" s="926">
        <v>1</v>
      </c>
      <c r="AM139" s="655">
        <f t="shared" si="73"/>
        <v>20847</v>
      </c>
      <c r="AN139" s="1082"/>
      <c r="AO139" s="634">
        <v>100</v>
      </c>
      <c r="AQ139" s="926">
        <v>1</v>
      </c>
      <c r="AR139" s="655">
        <f t="shared" si="75"/>
        <v>21472</v>
      </c>
      <c r="AS139" s="1082"/>
      <c r="AT139" s="634">
        <v>100</v>
      </c>
      <c r="AV139" s="926">
        <v>1</v>
      </c>
      <c r="AW139" s="655">
        <f t="shared" si="77"/>
        <v>22116</v>
      </c>
      <c r="AX139" s="1048"/>
      <c r="AY139" s="634">
        <v>100</v>
      </c>
      <c r="BA139" s="926">
        <v>1</v>
      </c>
      <c r="BB139" s="655">
        <f t="shared" si="79"/>
        <v>22779</v>
      </c>
      <c r="BC139" s="1048"/>
      <c r="BD139" s="634">
        <v>100</v>
      </c>
      <c r="BF139" s="1124"/>
      <c r="BI139" s="495"/>
      <c r="BJ139" s="495"/>
      <c r="BK139" s="495"/>
      <c r="BL139" s="495"/>
      <c r="BM139" s="495"/>
      <c r="BN139" s="495"/>
      <c r="BO139" s="495"/>
      <c r="BP139" s="495"/>
    </row>
    <row r="140" spans="4:68" outlineLevel="1">
      <c r="D140" s="1083" t="s">
        <v>1348</v>
      </c>
      <c r="E140" s="1084" t="s">
        <v>1341</v>
      </c>
      <c r="F140" s="1084" t="s">
        <v>910</v>
      </c>
      <c r="G140" s="545" t="s">
        <v>480</v>
      </c>
      <c r="H140" s="545" t="s">
        <v>480</v>
      </c>
      <c r="I140" s="545">
        <v>171</v>
      </c>
      <c r="J140" s="1085">
        <v>0</v>
      </c>
      <c r="K140" s="1086">
        <v>15.5</v>
      </c>
      <c r="M140" s="532"/>
      <c r="N140" s="532"/>
      <c r="O140" s="532"/>
      <c r="P140" s="532"/>
      <c r="Q140" s="532"/>
      <c r="S140" s="927"/>
      <c r="T140" s="488"/>
      <c r="U140" s="1082"/>
      <c r="V140" s="634">
        <v>100</v>
      </c>
      <c r="X140" s="653"/>
      <c r="Y140" s="488"/>
      <c r="Z140" s="633"/>
      <c r="AB140" s="926">
        <v>0</v>
      </c>
      <c r="AC140" s="655">
        <f>J140*K140</f>
        <v>0</v>
      </c>
      <c r="AD140" s="1082"/>
      <c r="AE140" s="634">
        <v>100</v>
      </c>
      <c r="AG140" s="926">
        <v>1</v>
      </c>
      <c r="AH140" s="655">
        <f>1265*16</f>
        <v>20240</v>
      </c>
      <c r="AI140" s="1082"/>
      <c r="AJ140" s="634">
        <v>100</v>
      </c>
      <c r="AL140" s="926">
        <f t="shared" si="72"/>
        <v>1</v>
      </c>
      <c r="AM140" s="655">
        <f t="shared" si="73"/>
        <v>20847</v>
      </c>
      <c r="AN140" s="1082"/>
      <c r="AO140" s="634">
        <v>100</v>
      </c>
      <c r="AQ140" s="926">
        <f t="shared" si="74"/>
        <v>1</v>
      </c>
      <c r="AR140" s="655">
        <f t="shared" si="75"/>
        <v>21472</v>
      </c>
      <c r="AS140" s="1082"/>
      <c r="AT140" s="634">
        <v>100</v>
      </c>
      <c r="AV140" s="926">
        <f t="shared" si="76"/>
        <v>1</v>
      </c>
      <c r="AW140" s="655">
        <f t="shared" si="77"/>
        <v>22116</v>
      </c>
      <c r="AX140" s="1048"/>
      <c r="AY140" s="634">
        <v>100</v>
      </c>
      <c r="BA140" s="926">
        <f t="shared" si="78"/>
        <v>1</v>
      </c>
      <c r="BB140" s="655">
        <f t="shared" si="79"/>
        <v>22779</v>
      </c>
      <c r="BC140" s="1048"/>
      <c r="BD140" s="634">
        <v>100</v>
      </c>
      <c r="BF140" s="1124"/>
      <c r="BI140" s="495"/>
      <c r="BJ140" s="495"/>
      <c r="BK140" s="495"/>
      <c r="BL140" s="495"/>
      <c r="BM140" s="495"/>
      <c r="BN140" s="495"/>
      <c r="BO140" s="495"/>
      <c r="BP140" s="495"/>
    </row>
    <row r="141" spans="4:68" ht="15" outlineLevel="1" thickBot="1">
      <c r="D141" s="501" t="s">
        <v>918</v>
      </c>
      <c r="S141" s="525">
        <f>SUM(S128:S140)</f>
        <v>7.25</v>
      </c>
      <c r="T141" s="527">
        <f>SUM(T128:T140)</f>
        <v>168782</v>
      </c>
      <c r="U141" s="1044"/>
      <c r="V141" s="958"/>
      <c r="W141" s="982"/>
      <c r="X141" s="525">
        <f>SUM(X128:X140)</f>
        <v>7.25</v>
      </c>
      <c r="Y141" s="527">
        <f>SUM(Y128:Y140)</f>
        <v>168782</v>
      </c>
      <c r="Z141" s="528"/>
      <c r="AA141" s="528"/>
      <c r="AB141" s="525">
        <f>SUM(AB128:AB140)</f>
        <v>8.1</v>
      </c>
      <c r="AC141" s="527">
        <f>SUM(AC128:AC140)</f>
        <v>198987.5</v>
      </c>
      <c r="AD141" s="1044"/>
      <c r="AE141" s="958"/>
      <c r="AF141" s="958"/>
      <c r="AG141" s="525">
        <f>SUM(AG128:AG140)</f>
        <v>12.1</v>
      </c>
      <c r="AH141" s="527">
        <f>SUM(AH128:AH140)</f>
        <v>285917</v>
      </c>
      <c r="AI141" s="1044"/>
      <c r="AJ141" s="958"/>
      <c r="AK141" s="529"/>
      <c r="AL141" s="525">
        <f>SUM(AL128:AL140)</f>
        <v>12.1</v>
      </c>
      <c r="AM141" s="527">
        <f>SUM(AM128:AM140)</f>
        <v>294495</v>
      </c>
      <c r="AN141" s="1044"/>
      <c r="AO141" s="958"/>
      <c r="AP141" s="529"/>
      <c r="AQ141" s="525">
        <f>SUM(AQ128:AQ140)</f>
        <v>12.1</v>
      </c>
      <c r="AR141" s="527">
        <f>SUM(AR128:AR140)</f>
        <v>303328</v>
      </c>
      <c r="AS141" s="1044"/>
      <c r="AT141" s="958"/>
      <c r="AU141" s="1005"/>
      <c r="AV141" s="525">
        <f>SUM(AV128:AV140)</f>
        <v>12.1</v>
      </c>
      <c r="AW141" s="527">
        <f>SUM(AW128:AW140)</f>
        <v>312425</v>
      </c>
      <c r="AX141" s="1044"/>
      <c r="AY141" s="958"/>
      <c r="AZ141" s="529"/>
      <c r="BA141" s="525">
        <f>SUM(BA128:BA140)</f>
        <v>12.1</v>
      </c>
      <c r="BB141" s="527">
        <f>SUM(BB128:BB140)</f>
        <v>321796</v>
      </c>
      <c r="BC141" s="1044"/>
      <c r="BD141" s="1005"/>
      <c r="BE141" s="982"/>
      <c r="BI141" s="495"/>
      <c r="BJ141" s="495"/>
      <c r="BK141" s="495"/>
      <c r="BL141" s="495"/>
      <c r="BM141" s="495"/>
      <c r="BN141" s="495"/>
      <c r="BO141" s="495"/>
      <c r="BP141" s="495"/>
    </row>
    <row r="142" spans="4:68" ht="15" outlineLevel="1" thickBot="1">
      <c r="D142" s="250" t="s">
        <v>306</v>
      </c>
      <c r="S142" s="928">
        <f>+S193+S191+S90+S163</f>
        <v>22.15</v>
      </c>
      <c r="T142" s="194">
        <f>+T90+T117+T123+T141</f>
        <v>853192</v>
      </c>
      <c r="U142" s="1049"/>
      <c r="V142" s="961"/>
      <c r="W142" s="961"/>
      <c r="X142" s="196">
        <f>+X193+X191+X90+X163</f>
        <v>17.84</v>
      </c>
      <c r="Y142" s="194">
        <f>+Y90+Y117+Y123+Y141</f>
        <v>847158</v>
      </c>
      <c r="Z142" s="470"/>
      <c r="AA142" s="470"/>
      <c r="AB142" s="928">
        <f>+AB193+AB191+AB90+AB163</f>
        <v>26.1</v>
      </c>
      <c r="AC142" s="194">
        <f>+AC90+AC117+AC123+AC141</f>
        <v>1355732.5</v>
      </c>
      <c r="AD142" s="1049"/>
      <c r="AE142" s="987"/>
      <c r="AF142" s="961"/>
      <c r="AG142" s="928">
        <f>+AG193+AG191+AG90+AG163</f>
        <v>31.1</v>
      </c>
      <c r="AH142" s="194">
        <f>+AH90+AH117+AH123+AH141</f>
        <v>1581096.54</v>
      </c>
      <c r="AI142" s="1049"/>
      <c r="AJ142" s="987"/>
      <c r="AK142" s="987"/>
      <c r="AL142" s="928">
        <f>+AL193+AL191+AL90+AL163</f>
        <v>31.1</v>
      </c>
      <c r="AM142" s="194">
        <f>+AM90+AM117+AM123+AM141</f>
        <v>1652333.3762000001</v>
      </c>
      <c r="AN142" s="1049"/>
      <c r="AO142" s="987"/>
      <c r="AP142" s="987"/>
      <c r="AQ142" s="928">
        <f>+AQ193+AQ191+AQ90+AQ163</f>
        <v>31.1</v>
      </c>
      <c r="AR142" s="194">
        <f>+AR90+AR117+AR123+AR141</f>
        <v>1728100.7274859999</v>
      </c>
      <c r="AS142" s="1049"/>
      <c r="AT142" s="987"/>
      <c r="AU142" s="987"/>
      <c r="AV142" s="928">
        <f>+AV193+AV191+AV90+AV163</f>
        <v>31.1</v>
      </c>
      <c r="AW142" s="194">
        <f>+AW90+AW117+AW123+AW141</f>
        <v>1807102.90931058</v>
      </c>
      <c r="AX142" s="1049"/>
      <c r="AY142" s="987"/>
      <c r="AZ142" s="987"/>
      <c r="BA142" s="928">
        <f>+BA193+BA191+BA90+BA163</f>
        <v>31.1</v>
      </c>
      <c r="BB142" s="194">
        <f>+BB90+BB117+BB123+BB141</f>
        <v>1888662.3365898975</v>
      </c>
      <c r="BC142" s="1071"/>
      <c r="BD142" s="1010"/>
      <c r="BE142" s="962"/>
      <c r="BI142" s="495"/>
      <c r="BJ142" s="495"/>
      <c r="BK142" s="495"/>
      <c r="BL142" s="495"/>
      <c r="BM142" s="495"/>
      <c r="BN142" s="495"/>
      <c r="BO142" s="495"/>
      <c r="BP142" s="495"/>
    </row>
    <row r="143" spans="4:68" ht="15.6" thickTop="1" thickBot="1">
      <c r="AR143" s="498"/>
      <c r="AS143" s="1073"/>
      <c r="AU143" s="1007"/>
      <c r="AV143" s="1007"/>
      <c r="AW143" s="498"/>
      <c r="AX143" s="1073"/>
      <c r="AZ143" s="1007"/>
      <c r="BA143" s="1007"/>
      <c r="BB143" s="498"/>
      <c r="BC143" s="1073"/>
      <c r="BD143" s="1007"/>
      <c r="BI143" s="495"/>
      <c r="BJ143" s="495"/>
      <c r="BK143" s="495"/>
      <c r="BL143" s="495"/>
      <c r="BM143" s="495"/>
      <c r="BN143" s="495"/>
      <c r="BO143" s="495"/>
      <c r="BP143" s="495"/>
    </row>
    <row r="144" spans="4:68" ht="24" thickBot="1">
      <c r="D144" s="645" t="s">
        <v>1197</v>
      </c>
      <c r="E144" s="646"/>
      <c r="F144" s="646"/>
      <c r="G144" s="646"/>
      <c r="H144" s="646"/>
      <c r="I144" s="646"/>
      <c r="J144" s="646"/>
      <c r="K144" s="646"/>
      <c r="L144" s="646"/>
      <c r="M144" s="646"/>
      <c r="N144" s="646"/>
      <c r="O144" s="646"/>
      <c r="P144" s="646"/>
      <c r="Q144" s="646"/>
      <c r="R144" s="646"/>
      <c r="S144" s="929"/>
      <c r="T144" s="646"/>
      <c r="U144" s="1050"/>
      <c r="V144" s="929"/>
      <c r="W144" s="929"/>
      <c r="X144" s="646"/>
      <c r="Y144" s="646"/>
      <c r="Z144" s="646"/>
      <c r="AA144" s="646"/>
      <c r="AB144" s="929"/>
      <c r="AC144" s="646"/>
      <c r="AD144" s="1050"/>
      <c r="AE144" s="929"/>
      <c r="AF144" s="929"/>
      <c r="AG144" s="929"/>
      <c r="AH144" s="646"/>
      <c r="AI144" s="1050"/>
      <c r="AJ144" s="929"/>
      <c r="AK144" s="929"/>
      <c r="AL144" s="929"/>
      <c r="AM144" s="646"/>
      <c r="AN144" s="1050"/>
      <c r="AO144" s="929"/>
      <c r="AP144" s="929"/>
      <c r="AQ144" s="929"/>
      <c r="AR144" s="646"/>
      <c r="AS144" s="1050"/>
      <c r="AT144" s="929"/>
      <c r="AU144" s="929"/>
      <c r="AV144" s="929"/>
      <c r="AW144" s="646"/>
      <c r="AX144" s="1050"/>
      <c r="AY144" s="929"/>
      <c r="AZ144" s="929"/>
      <c r="BA144" s="929"/>
      <c r="BB144" s="646"/>
      <c r="BC144" s="1050"/>
      <c r="BD144" s="929"/>
      <c r="BE144" s="1022"/>
      <c r="BI144" s="495"/>
      <c r="BJ144" s="495"/>
      <c r="BK144" s="495"/>
      <c r="BL144" s="495"/>
      <c r="BM144" s="495"/>
      <c r="BN144" s="495"/>
      <c r="BO144" s="495"/>
      <c r="BP144" s="495"/>
    </row>
    <row r="145" spans="4:68" hidden="1" outlineLevel="1">
      <c r="D145" s="569" t="s">
        <v>908</v>
      </c>
      <c r="E145" s="570"/>
      <c r="F145" s="571"/>
      <c r="G145" s="571"/>
      <c r="H145" s="571"/>
      <c r="I145" s="571"/>
      <c r="J145" s="571"/>
      <c r="K145" s="571"/>
      <c r="L145" s="571"/>
      <c r="M145" s="571"/>
      <c r="N145" s="571"/>
      <c r="O145" s="571"/>
      <c r="P145" s="571"/>
      <c r="Q145" s="571"/>
      <c r="R145" s="571"/>
      <c r="S145" s="570"/>
      <c r="T145" s="571"/>
      <c r="U145" s="1051"/>
      <c r="V145" s="571"/>
      <c r="W145" s="571"/>
      <c r="X145" s="570"/>
      <c r="Y145" s="571"/>
      <c r="Z145" s="572"/>
      <c r="AA145" s="572"/>
      <c r="AB145" s="570"/>
      <c r="AC145" s="571"/>
      <c r="AD145" s="1051"/>
      <c r="AE145" s="572"/>
      <c r="AF145" s="571"/>
      <c r="AG145" s="570"/>
      <c r="AH145" s="571"/>
      <c r="AI145" s="1051"/>
      <c r="AJ145" s="572"/>
      <c r="AK145" s="572"/>
      <c r="AL145" s="570"/>
      <c r="AM145" s="571"/>
      <c r="AN145" s="1051"/>
      <c r="AO145" s="572"/>
      <c r="AP145" s="572"/>
      <c r="AQ145" s="570"/>
      <c r="AR145" s="571"/>
      <c r="AS145" s="1051"/>
      <c r="AT145" s="572"/>
      <c r="AU145" s="572"/>
      <c r="AV145" s="570"/>
      <c r="AW145" s="571"/>
      <c r="AX145" s="1051"/>
      <c r="AY145" s="572"/>
      <c r="AZ145" s="572"/>
      <c r="BA145" s="570"/>
      <c r="BB145" s="571"/>
      <c r="BC145" s="1051"/>
      <c r="BD145" s="571"/>
      <c r="BE145" s="572"/>
      <c r="BF145" s="573"/>
      <c r="BG145" s="573"/>
      <c r="BH145" s="573"/>
      <c r="BI145" s="898" t="s">
        <v>1213</v>
      </c>
      <c r="BJ145" s="898"/>
      <c r="BK145" s="495"/>
      <c r="BL145" s="495"/>
      <c r="BM145" s="495"/>
      <c r="BN145" s="495"/>
      <c r="BO145" s="495"/>
      <c r="BP145" s="495"/>
    </row>
    <row r="146" spans="4:68" ht="14.55" hidden="1" customHeight="1" outlineLevel="1" thickBot="1">
      <c r="D146" s="643" t="s">
        <v>241</v>
      </c>
      <c r="S146" s="930">
        <f t="shared" ref="S146:S158" si="84">SUMIFS(S$94:S$116,V$94:V$116,"100",W$94:W$116,$D146)</f>
        <v>0</v>
      </c>
      <c r="T146" s="639">
        <f t="shared" ref="T146:T158" si="85">IFERROR(ROUND(SUMIFS(T$94:T$116,V$94:V$116,"100",W$94:W$116,$D146)/S146,2),0)</f>
        <v>0</v>
      </c>
      <c r="U146" s="1052"/>
      <c r="V146" s="931"/>
      <c r="W146" s="931"/>
      <c r="X146" s="638">
        <f t="shared" ref="X146:X158" si="86">SUMIFS(X$94:X$116,Z$94:Z$116,"100",AA$94:AA$116,$D146)</f>
        <v>0</v>
      </c>
      <c r="Y146" s="639">
        <f t="shared" ref="Y146:Y158" si="87">IFERROR(ROUND(SUMIFS(Y$94:Y$116,Z$94:Z$116,"100",AA$94:AA$116,$D146)/X146,2),0)</f>
        <v>0</v>
      </c>
      <c r="Z146" s="586"/>
      <c r="AA146" s="647"/>
      <c r="AB146" s="930">
        <f t="shared" ref="AB146:AB158" si="88">SUMIFS(AB$94:AB$116,AE$94:AE$116,"100",AF$94:AF$116,$D146)</f>
        <v>1</v>
      </c>
      <c r="AC146" s="639">
        <f t="shared" ref="AC146:AC158" si="89">IFERROR(ROUND(SUMIFS(AC$94:AC$116,AE$94:AE$116,"100",AF$94:AF$116,$D146)/AB146,2),0)</f>
        <v>47859</v>
      </c>
      <c r="AD146" s="1052"/>
      <c r="AE146" s="931"/>
      <c r="AF146" s="931"/>
      <c r="AG146" s="930">
        <f t="shared" ref="AG146:AG158" si="90">SUMIFS(AG$94:AG$116,AJ$94:AJ$116,"100",AK$94:AK$116,$D146)</f>
        <v>0</v>
      </c>
      <c r="AH146" s="639">
        <f t="shared" ref="AH146:AH158" si="91">IFERROR(ROUND(SUMIFS(AH$94:AH$116,AJ$94:AJ$116,"100",AK$94:AK$116,$D146)/AG146,2),0)</f>
        <v>0</v>
      </c>
      <c r="AI146" s="1052"/>
      <c r="AJ146" s="931"/>
      <c r="AK146" s="931"/>
      <c r="AL146" s="930">
        <f t="shared" ref="AL146:AL158" si="92">SUMIFS(AL$94:AL$116,AO$94:AO$116,"100",AP$94:AP$116,$D146)</f>
        <v>0</v>
      </c>
      <c r="AM146" s="639">
        <f t="shared" ref="AM146:AM158" si="93">IFERROR(ROUND(SUMIFS(AM$94:AM$116,AO$94:AO$116,"100",AP$94:AP$116,$D146)/AL146,2),0)</f>
        <v>0</v>
      </c>
      <c r="AN146" s="1052"/>
      <c r="AO146" s="931"/>
      <c r="AP146" s="931"/>
      <c r="AQ146" s="930">
        <f t="shared" ref="AQ146:AQ158" si="94">SUMIFS(AQ$94:AQ$116,AT$94:AT$116,"100",AU$94:AU$116,$D146)</f>
        <v>0</v>
      </c>
      <c r="AR146" s="639">
        <f t="shared" ref="AR146:AR158" si="95">IFERROR(ROUND(SUMIFS(AR$94:AR$116,AT$94:AT$116,"100",AU$94:AU$116,$D146)/AQ146,2),0)</f>
        <v>0</v>
      </c>
      <c r="AS146" s="1052"/>
      <c r="AT146" s="931"/>
      <c r="AU146" s="931"/>
      <c r="AV146" s="930">
        <f t="shared" ref="AV146:AV158" si="96">SUMIFS(AV$94:AV$116,AY$94:AY$116,"100",AZ$94:AZ$116,$D146)</f>
        <v>0</v>
      </c>
      <c r="AW146" s="639">
        <f t="shared" ref="AW146:AW158" si="97">IFERROR(ROUND(SUMIFS(AW$94:AW$116,AY$94:AY$116,"100",AZ$94:AZ$116,$D146)/AV146,2),0)</f>
        <v>0</v>
      </c>
      <c r="AX146" s="1052"/>
      <c r="AY146" s="931"/>
      <c r="AZ146" s="931"/>
      <c r="BA146" s="930">
        <f t="shared" ref="BA146:BA158" si="98">SUMIFS(BA$94:BA$116,BD$94:BD$116,"100",BE$94:BE$116,$D146)</f>
        <v>0</v>
      </c>
      <c r="BB146" s="639">
        <f t="shared" ref="BB146:BB158" si="99">IFERROR(ROUND(SUMIFS(BB$94:BB$116,BD$94:BD$116,"100",BE$94:BE$116,$D146)/BA146,2),0)</f>
        <v>0</v>
      </c>
      <c r="BC146" s="1056"/>
      <c r="BI146" s="898"/>
      <c r="BJ146" s="898" t="s">
        <v>421</v>
      </c>
      <c r="BK146" s="495" t="s">
        <v>422</v>
      </c>
      <c r="BL146" s="495" t="s">
        <v>423</v>
      </c>
      <c r="BM146" s="495" t="s">
        <v>439</v>
      </c>
      <c r="BN146" s="495" t="s">
        <v>871</v>
      </c>
      <c r="BO146" s="495" t="s">
        <v>1212</v>
      </c>
      <c r="BP146" s="495" t="s">
        <v>1297</v>
      </c>
    </row>
    <row r="147" spans="4:68" hidden="1" outlineLevel="1">
      <c r="D147" s="643" t="s">
        <v>460</v>
      </c>
      <c r="S147" s="930">
        <f t="shared" si="84"/>
        <v>1.4</v>
      </c>
      <c r="T147" s="639">
        <f t="shared" si="85"/>
        <v>46632.14</v>
      </c>
      <c r="U147" s="1052"/>
      <c r="V147" s="931"/>
      <c r="W147" s="931"/>
      <c r="X147" s="638">
        <f t="shared" si="86"/>
        <v>1.5</v>
      </c>
      <c r="Y147" s="639">
        <f t="shared" si="87"/>
        <v>47845.33</v>
      </c>
      <c r="Z147" s="586"/>
      <c r="AA147" s="647"/>
      <c r="AB147" s="930">
        <f t="shared" si="88"/>
        <v>1</v>
      </c>
      <c r="AC147" s="639">
        <f t="shared" si="89"/>
        <v>48859</v>
      </c>
      <c r="AD147" s="1052"/>
      <c r="AE147" s="931"/>
      <c r="AF147" s="931"/>
      <c r="AG147" s="930">
        <f t="shared" si="90"/>
        <v>0</v>
      </c>
      <c r="AH147" s="639">
        <f t="shared" si="91"/>
        <v>0</v>
      </c>
      <c r="AI147" s="1052"/>
      <c r="AJ147" s="931"/>
      <c r="AK147" s="931"/>
      <c r="AL147" s="930">
        <f t="shared" si="92"/>
        <v>0</v>
      </c>
      <c r="AM147" s="639">
        <f t="shared" si="93"/>
        <v>0</v>
      </c>
      <c r="AN147" s="1052"/>
      <c r="AO147" s="931"/>
      <c r="AP147" s="931"/>
      <c r="AQ147" s="930">
        <f t="shared" si="94"/>
        <v>0</v>
      </c>
      <c r="AR147" s="639">
        <f t="shared" si="95"/>
        <v>0</v>
      </c>
      <c r="AS147" s="1052"/>
      <c r="AT147" s="931"/>
      <c r="AU147" s="931"/>
      <c r="AV147" s="930">
        <f t="shared" si="96"/>
        <v>0</v>
      </c>
      <c r="AW147" s="639">
        <f t="shared" si="97"/>
        <v>0</v>
      </c>
      <c r="AX147" s="1052"/>
      <c r="AY147" s="931"/>
      <c r="AZ147" s="931"/>
      <c r="BA147" s="930">
        <f t="shared" si="98"/>
        <v>0</v>
      </c>
      <c r="BB147" s="639">
        <f t="shared" si="99"/>
        <v>0</v>
      </c>
      <c r="BC147" s="1056"/>
      <c r="BI147" s="898"/>
      <c r="BJ147" s="899">
        <v>41118</v>
      </c>
      <c r="BK147" s="585">
        <v>41500</v>
      </c>
      <c r="BL147" s="585">
        <v>42745</v>
      </c>
      <c r="BM147" s="585">
        <f t="shared" ref="BM147:BM159" si="100">ROUND(BL147*(1+$AW$12),0)</f>
        <v>44027</v>
      </c>
      <c r="BN147" s="585">
        <f>ROUND(BM147*(1+$BB$12),0)</f>
        <v>45348</v>
      </c>
      <c r="BO147" s="585">
        <f>ROUND(BN147*(1+$BB$12),0)</f>
        <v>46708</v>
      </c>
      <c r="BP147" s="585">
        <f>ROUND(BO147*(1+$BB$12),0)</f>
        <v>48109</v>
      </c>
    </row>
    <row r="148" spans="4:68" hidden="1" outlineLevel="1">
      <c r="D148" s="643" t="s">
        <v>461</v>
      </c>
      <c r="S148" s="930">
        <f t="shared" si="84"/>
        <v>0</v>
      </c>
      <c r="T148" s="639">
        <f t="shared" si="85"/>
        <v>0</v>
      </c>
      <c r="U148" s="1052"/>
      <c r="V148" s="931"/>
      <c r="W148" s="931"/>
      <c r="X148" s="638">
        <f t="shared" si="86"/>
        <v>0</v>
      </c>
      <c r="Y148" s="639">
        <f t="shared" si="87"/>
        <v>0</v>
      </c>
      <c r="Z148" s="586"/>
      <c r="AA148" s="647"/>
      <c r="AB148" s="930">
        <f t="shared" si="88"/>
        <v>1.5</v>
      </c>
      <c r="AC148" s="639">
        <f t="shared" si="89"/>
        <v>49859.33</v>
      </c>
      <c r="AD148" s="1052"/>
      <c r="AE148" s="931"/>
      <c r="AF148" s="931"/>
      <c r="AG148" s="930">
        <f t="shared" si="90"/>
        <v>1</v>
      </c>
      <c r="AH148" s="639">
        <f t="shared" si="91"/>
        <v>51164</v>
      </c>
      <c r="AI148" s="1052"/>
      <c r="AJ148" s="931"/>
      <c r="AK148" s="931"/>
      <c r="AL148" s="930">
        <f t="shared" si="92"/>
        <v>0</v>
      </c>
      <c r="AM148" s="639">
        <f t="shared" si="93"/>
        <v>0</v>
      </c>
      <c r="AN148" s="1052"/>
      <c r="AO148" s="931"/>
      <c r="AP148" s="931"/>
      <c r="AQ148" s="930">
        <f t="shared" si="94"/>
        <v>0</v>
      </c>
      <c r="AR148" s="639">
        <f t="shared" si="95"/>
        <v>0</v>
      </c>
      <c r="AS148" s="1052"/>
      <c r="AT148" s="931"/>
      <c r="AU148" s="931"/>
      <c r="AV148" s="930">
        <f t="shared" si="96"/>
        <v>0</v>
      </c>
      <c r="AW148" s="639">
        <f t="shared" si="97"/>
        <v>0</v>
      </c>
      <c r="AX148" s="1052"/>
      <c r="AY148" s="931"/>
      <c r="AZ148" s="931"/>
      <c r="BA148" s="930">
        <f t="shared" si="98"/>
        <v>0</v>
      </c>
      <c r="BB148" s="639">
        <f t="shared" si="99"/>
        <v>0</v>
      </c>
      <c r="BC148" s="1056"/>
      <c r="BI148" s="898"/>
      <c r="BJ148" s="899">
        <v>41988</v>
      </c>
      <c r="BK148" s="585">
        <v>42500</v>
      </c>
      <c r="BL148" s="585">
        <v>43775</v>
      </c>
      <c r="BM148" s="585">
        <f t="shared" si="100"/>
        <v>45088</v>
      </c>
      <c r="BN148" s="585">
        <f t="shared" ref="BN148:BN159" si="101">ROUND(BM148*(1+$BB$12),0)</f>
        <v>46441</v>
      </c>
      <c r="BO148" s="585">
        <f t="shared" ref="BO148:BO159" si="102">ROUND(BN148*(1+$BB$12),0)</f>
        <v>47834</v>
      </c>
      <c r="BP148" s="585">
        <f t="shared" ref="BP148:BP159" si="103">ROUND(BO148*(1+$BB$12),0)</f>
        <v>49269</v>
      </c>
    </row>
    <row r="149" spans="4:68" hidden="1" outlineLevel="1">
      <c r="D149" s="643" t="s">
        <v>246</v>
      </c>
      <c r="S149" s="930">
        <f t="shared" si="84"/>
        <v>2</v>
      </c>
      <c r="T149" s="639">
        <f t="shared" si="85"/>
        <v>24923.5</v>
      </c>
      <c r="U149" s="1052"/>
      <c r="V149" s="931"/>
      <c r="W149" s="931"/>
      <c r="X149" s="638">
        <f t="shared" si="86"/>
        <v>1</v>
      </c>
      <c r="Y149" s="639">
        <f t="shared" si="87"/>
        <v>49847</v>
      </c>
      <c r="Z149" s="586"/>
      <c r="AA149" s="647"/>
      <c r="AB149" s="930">
        <f t="shared" si="88"/>
        <v>1</v>
      </c>
      <c r="AC149" s="639">
        <f t="shared" si="89"/>
        <v>54359</v>
      </c>
      <c r="AD149" s="1052"/>
      <c r="AE149" s="931"/>
      <c r="AF149" s="931"/>
      <c r="AG149" s="930">
        <f t="shared" si="90"/>
        <v>1.5</v>
      </c>
      <c r="AH149" s="639">
        <f t="shared" si="91"/>
        <v>52194</v>
      </c>
      <c r="AI149" s="1052"/>
      <c r="AJ149" s="931"/>
      <c r="AK149" s="931"/>
      <c r="AL149" s="930">
        <f t="shared" si="92"/>
        <v>1</v>
      </c>
      <c r="AM149" s="639">
        <f t="shared" si="93"/>
        <v>53760</v>
      </c>
      <c r="AN149" s="1052"/>
      <c r="AO149" s="931"/>
      <c r="AP149" s="931"/>
      <c r="AQ149" s="930">
        <f t="shared" si="94"/>
        <v>0</v>
      </c>
      <c r="AR149" s="639">
        <f t="shared" si="95"/>
        <v>0</v>
      </c>
      <c r="AS149" s="1052"/>
      <c r="AT149" s="931"/>
      <c r="AU149" s="931"/>
      <c r="AV149" s="930">
        <f t="shared" si="96"/>
        <v>0</v>
      </c>
      <c r="AW149" s="639">
        <f t="shared" si="97"/>
        <v>0</v>
      </c>
      <c r="AX149" s="1052"/>
      <c r="AY149" s="931"/>
      <c r="AZ149" s="931"/>
      <c r="BA149" s="930">
        <f t="shared" si="98"/>
        <v>0</v>
      </c>
      <c r="BB149" s="639">
        <f t="shared" si="99"/>
        <v>0</v>
      </c>
      <c r="BC149" s="1056"/>
      <c r="BI149" s="898"/>
      <c r="BJ149" s="899">
        <v>42860</v>
      </c>
      <c r="BK149" s="585">
        <v>43500</v>
      </c>
      <c r="BL149" s="585">
        <v>44805</v>
      </c>
      <c r="BM149" s="585">
        <f t="shared" si="100"/>
        <v>46149</v>
      </c>
      <c r="BN149" s="585">
        <f t="shared" si="101"/>
        <v>47533</v>
      </c>
      <c r="BO149" s="585">
        <f t="shared" si="102"/>
        <v>48959</v>
      </c>
      <c r="BP149" s="585">
        <f t="shared" si="103"/>
        <v>50428</v>
      </c>
    </row>
    <row r="150" spans="4:68" hidden="1" outlineLevel="1">
      <c r="D150" s="643" t="s">
        <v>247</v>
      </c>
      <c r="S150" s="930">
        <f t="shared" si="84"/>
        <v>1.5</v>
      </c>
      <c r="T150" s="639">
        <f t="shared" si="85"/>
        <v>34254.67</v>
      </c>
      <c r="U150" s="1052"/>
      <c r="V150" s="931"/>
      <c r="W150" s="931"/>
      <c r="X150" s="638">
        <f t="shared" si="86"/>
        <v>0.55000000000000004</v>
      </c>
      <c r="Y150" s="639">
        <f t="shared" si="87"/>
        <v>128469.09</v>
      </c>
      <c r="Z150" s="586"/>
      <c r="AA150" s="647"/>
      <c r="AB150" s="930">
        <f t="shared" si="88"/>
        <v>1.2</v>
      </c>
      <c r="AC150" s="639">
        <f t="shared" si="89"/>
        <v>53109.17</v>
      </c>
      <c r="AD150" s="1052"/>
      <c r="AE150" s="931"/>
      <c r="AF150" s="931"/>
      <c r="AG150" s="930">
        <f t="shared" si="90"/>
        <v>3</v>
      </c>
      <c r="AH150" s="639">
        <f t="shared" si="91"/>
        <v>53997</v>
      </c>
      <c r="AI150" s="1052"/>
      <c r="AJ150" s="931"/>
      <c r="AK150" s="931"/>
      <c r="AL150" s="930">
        <f t="shared" si="92"/>
        <v>1.5</v>
      </c>
      <c r="AM150" s="639">
        <f t="shared" si="93"/>
        <v>55617.33</v>
      </c>
      <c r="AN150" s="1052"/>
      <c r="AO150" s="931"/>
      <c r="AP150" s="931"/>
      <c r="AQ150" s="930">
        <f t="shared" si="94"/>
        <v>1</v>
      </c>
      <c r="AR150" s="639">
        <f t="shared" si="95"/>
        <v>57286</v>
      </c>
      <c r="AS150" s="1052"/>
      <c r="AT150" s="931"/>
      <c r="AU150" s="931"/>
      <c r="AV150" s="930">
        <f t="shared" si="96"/>
        <v>0</v>
      </c>
      <c r="AW150" s="639">
        <f t="shared" si="97"/>
        <v>0</v>
      </c>
      <c r="AX150" s="1052"/>
      <c r="AY150" s="931"/>
      <c r="AZ150" s="931"/>
      <c r="BA150" s="930">
        <f t="shared" si="98"/>
        <v>0</v>
      </c>
      <c r="BB150" s="639">
        <f t="shared" si="99"/>
        <v>0</v>
      </c>
      <c r="BC150" s="1056"/>
      <c r="BI150" s="898"/>
      <c r="BJ150" s="899">
        <v>43990</v>
      </c>
      <c r="BK150" s="585">
        <v>44500</v>
      </c>
      <c r="BL150" s="585">
        <v>45835</v>
      </c>
      <c r="BM150" s="585">
        <f t="shared" si="100"/>
        <v>47210</v>
      </c>
      <c r="BN150" s="585">
        <f t="shared" si="101"/>
        <v>48626</v>
      </c>
      <c r="BO150" s="585">
        <f t="shared" si="102"/>
        <v>50085</v>
      </c>
      <c r="BP150" s="585">
        <f t="shared" si="103"/>
        <v>51588</v>
      </c>
    </row>
    <row r="151" spans="4:68" hidden="1" outlineLevel="1">
      <c r="D151" s="643" t="s">
        <v>248</v>
      </c>
      <c r="S151" s="930">
        <f t="shared" si="84"/>
        <v>1</v>
      </c>
      <c r="T151" s="639">
        <f t="shared" si="85"/>
        <v>56975</v>
      </c>
      <c r="U151" s="1052"/>
      <c r="V151" s="931"/>
      <c r="W151" s="931"/>
      <c r="X151" s="638">
        <f t="shared" si="86"/>
        <v>1</v>
      </c>
      <c r="Y151" s="639">
        <f t="shared" si="87"/>
        <v>56975</v>
      </c>
      <c r="Z151" s="586"/>
      <c r="AA151" s="647"/>
      <c r="AB151" s="930">
        <f t="shared" si="88"/>
        <v>1.3</v>
      </c>
      <c r="AC151" s="639">
        <f t="shared" si="89"/>
        <v>55897.69</v>
      </c>
      <c r="AD151" s="1052"/>
      <c r="AE151" s="931"/>
      <c r="AF151" s="931"/>
      <c r="AG151" s="930">
        <f t="shared" si="90"/>
        <v>1.2</v>
      </c>
      <c r="AH151" s="639">
        <f t="shared" si="91"/>
        <v>55799.17</v>
      </c>
      <c r="AI151" s="1052"/>
      <c r="AJ151" s="931"/>
      <c r="AK151" s="931"/>
      <c r="AL151" s="930">
        <f t="shared" si="92"/>
        <v>3</v>
      </c>
      <c r="AM151" s="639">
        <f t="shared" si="93"/>
        <v>57473</v>
      </c>
      <c r="AN151" s="1052"/>
      <c r="AO151" s="931"/>
      <c r="AP151" s="931"/>
      <c r="AQ151" s="930">
        <f t="shared" si="94"/>
        <v>1.5</v>
      </c>
      <c r="AR151" s="639">
        <f t="shared" si="95"/>
        <v>59197.33</v>
      </c>
      <c r="AS151" s="1052"/>
      <c r="AT151" s="931"/>
      <c r="AU151" s="931"/>
      <c r="AV151" s="930">
        <f t="shared" si="96"/>
        <v>1</v>
      </c>
      <c r="AW151" s="639">
        <f t="shared" si="97"/>
        <v>60973</v>
      </c>
      <c r="AX151" s="1052"/>
      <c r="AY151" s="931"/>
      <c r="AZ151" s="931"/>
      <c r="BA151" s="930">
        <f t="shared" si="98"/>
        <v>0</v>
      </c>
      <c r="BB151" s="639">
        <f t="shared" si="99"/>
        <v>0</v>
      </c>
      <c r="BC151" s="1056"/>
      <c r="BI151" s="898"/>
      <c r="BJ151" s="899">
        <v>45773</v>
      </c>
      <c r="BK151" s="585">
        <v>46250</v>
      </c>
      <c r="BL151" s="585">
        <v>47638</v>
      </c>
      <c r="BM151" s="585">
        <f t="shared" si="100"/>
        <v>49067</v>
      </c>
      <c r="BN151" s="585">
        <f t="shared" si="101"/>
        <v>50539</v>
      </c>
      <c r="BO151" s="585">
        <f t="shared" si="102"/>
        <v>52055</v>
      </c>
      <c r="BP151" s="585">
        <f t="shared" si="103"/>
        <v>53617</v>
      </c>
    </row>
    <row r="152" spans="4:68" hidden="1" outlineLevel="1">
      <c r="D152" s="643" t="s">
        <v>249</v>
      </c>
      <c r="S152" s="930">
        <f t="shared" si="84"/>
        <v>1</v>
      </c>
      <c r="T152" s="639">
        <f t="shared" si="85"/>
        <v>55289</v>
      </c>
      <c r="U152" s="1052"/>
      <c r="V152" s="931"/>
      <c r="W152" s="931"/>
      <c r="X152" s="638">
        <f t="shared" si="86"/>
        <v>1</v>
      </c>
      <c r="Y152" s="639">
        <f t="shared" si="87"/>
        <v>55289</v>
      </c>
      <c r="Z152" s="586"/>
      <c r="AA152" s="647"/>
      <c r="AB152" s="930">
        <f t="shared" si="88"/>
        <v>1</v>
      </c>
      <c r="AC152" s="639">
        <f t="shared" si="89"/>
        <v>59609</v>
      </c>
      <c r="AD152" s="1052"/>
      <c r="AE152" s="931"/>
      <c r="AF152" s="931"/>
      <c r="AG152" s="930">
        <f t="shared" si="90"/>
        <v>1.3</v>
      </c>
      <c r="AH152" s="639">
        <f t="shared" si="91"/>
        <v>59140.77</v>
      </c>
      <c r="AI152" s="1052"/>
      <c r="AJ152" s="931"/>
      <c r="AK152" s="931"/>
      <c r="AL152" s="930">
        <f t="shared" si="92"/>
        <v>1.2</v>
      </c>
      <c r="AM152" s="639">
        <f t="shared" si="93"/>
        <v>59330</v>
      </c>
      <c r="AN152" s="1052"/>
      <c r="AO152" s="931"/>
      <c r="AP152" s="931"/>
      <c r="AQ152" s="930">
        <f t="shared" si="94"/>
        <v>3</v>
      </c>
      <c r="AR152" s="639">
        <f t="shared" si="95"/>
        <v>61110</v>
      </c>
      <c r="AS152" s="1052"/>
      <c r="AT152" s="931"/>
      <c r="AU152" s="931"/>
      <c r="AV152" s="930">
        <f t="shared" si="96"/>
        <v>1.5</v>
      </c>
      <c r="AW152" s="639">
        <f t="shared" si="97"/>
        <v>62943.33</v>
      </c>
      <c r="AX152" s="1052"/>
      <c r="AY152" s="931"/>
      <c r="AZ152" s="931"/>
      <c r="BA152" s="930">
        <f t="shared" si="98"/>
        <v>1</v>
      </c>
      <c r="BB152" s="639">
        <f t="shared" si="99"/>
        <v>64831</v>
      </c>
      <c r="BC152" s="1056"/>
      <c r="BI152" s="898"/>
      <c r="BJ152" s="899">
        <v>47555</v>
      </c>
      <c r="BK152" s="585">
        <v>48000</v>
      </c>
      <c r="BL152" s="585">
        <v>49440</v>
      </c>
      <c r="BM152" s="585">
        <f t="shared" si="100"/>
        <v>50923</v>
      </c>
      <c r="BN152" s="585">
        <f t="shared" si="101"/>
        <v>52451</v>
      </c>
      <c r="BO152" s="585">
        <f t="shared" si="102"/>
        <v>54025</v>
      </c>
      <c r="BP152" s="585">
        <f t="shared" si="103"/>
        <v>55646</v>
      </c>
    </row>
    <row r="153" spans="4:68" hidden="1" outlineLevel="1">
      <c r="D153" s="643" t="s">
        <v>250</v>
      </c>
      <c r="S153" s="930">
        <f t="shared" si="84"/>
        <v>2</v>
      </c>
      <c r="T153" s="639">
        <f t="shared" si="85"/>
        <v>28551</v>
      </c>
      <c r="U153" s="1052"/>
      <c r="V153" s="931"/>
      <c r="W153" s="931"/>
      <c r="X153" s="638">
        <f t="shared" si="86"/>
        <v>1</v>
      </c>
      <c r="Y153" s="639">
        <f t="shared" si="87"/>
        <v>57102</v>
      </c>
      <c r="Z153" s="586"/>
      <c r="AA153" s="647"/>
      <c r="AB153" s="930">
        <f t="shared" si="88"/>
        <v>1</v>
      </c>
      <c r="AC153" s="639">
        <f t="shared" si="89"/>
        <v>57859</v>
      </c>
      <c r="AD153" s="1052"/>
      <c r="AE153" s="931"/>
      <c r="AF153" s="931"/>
      <c r="AG153" s="930">
        <f t="shared" si="90"/>
        <v>1</v>
      </c>
      <c r="AH153" s="639">
        <f t="shared" si="91"/>
        <v>59404</v>
      </c>
      <c r="AI153" s="1052"/>
      <c r="AJ153" s="931"/>
      <c r="AK153" s="931"/>
      <c r="AL153" s="930">
        <f t="shared" si="92"/>
        <v>1.3</v>
      </c>
      <c r="AM153" s="639">
        <f t="shared" si="93"/>
        <v>62724.62</v>
      </c>
      <c r="AN153" s="1052"/>
      <c r="AO153" s="931"/>
      <c r="AP153" s="931"/>
      <c r="AQ153" s="930">
        <f t="shared" si="94"/>
        <v>1.2</v>
      </c>
      <c r="AR153" s="639">
        <f t="shared" si="95"/>
        <v>63021.67</v>
      </c>
      <c r="AS153" s="1052"/>
      <c r="AT153" s="931"/>
      <c r="AU153" s="931"/>
      <c r="AV153" s="930">
        <f t="shared" si="96"/>
        <v>3</v>
      </c>
      <c r="AW153" s="639">
        <f t="shared" si="97"/>
        <v>64913</v>
      </c>
      <c r="AX153" s="1052"/>
      <c r="AY153" s="931"/>
      <c r="AZ153" s="931"/>
      <c r="BA153" s="930">
        <f t="shared" si="98"/>
        <v>1.5</v>
      </c>
      <c r="BB153" s="639">
        <f t="shared" si="99"/>
        <v>66860</v>
      </c>
      <c r="BC153" s="1056"/>
      <c r="BI153" s="898"/>
      <c r="BJ153" s="899">
        <v>49337</v>
      </c>
      <c r="BK153" s="585">
        <v>49750</v>
      </c>
      <c r="BL153" s="585">
        <v>51243</v>
      </c>
      <c r="BM153" s="585">
        <f t="shared" si="100"/>
        <v>52780</v>
      </c>
      <c r="BN153" s="585">
        <f t="shared" si="101"/>
        <v>54363</v>
      </c>
      <c r="BO153" s="585">
        <f t="shared" si="102"/>
        <v>55994</v>
      </c>
      <c r="BP153" s="585">
        <f t="shared" si="103"/>
        <v>57674</v>
      </c>
    </row>
    <row r="154" spans="4:68" hidden="1" outlineLevel="1">
      <c r="D154" s="643" t="s">
        <v>440</v>
      </c>
      <c r="S154" s="930">
        <f t="shared" si="84"/>
        <v>0</v>
      </c>
      <c r="T154" s="639">
        <f t="shared" si="85"/>
        <v>0</v>
      </c>
      <c r="U154" s="1052"/>
      <c r="V154" s="931"/>
      <c r="W154" s="931"/>
      <c r="X154" s="638">
        <f t="shared" si="86"/>
        <v>0</v>
      </c>
      <c r="Y154" s="639">
        <f t="shared" si="87"/>
        <v>0</v>
      </c>
      <c r="Z154" s="586"/>
      <c r="AA154" s="647"/>
      <c r="AB154" s="930">
        <f t="shared" si="88"/>
        <v>2</v>
      </c>
      <c r="AC154" s="639">
        <f t="shared" si="89"/>
        <v>63109</v>
      </c>
      <c r="AD154" s="1052"/>
      <c r="AE154" s="931"/>
      <c r="AF154" s="931"/>
      <c r="AG154" s="930">
        <f t="shared" si="90"/>
        <v>1</v>
      </c>
      <c r="AH154" s="639">
        <f t="shared" si="91"/>
        <v>63009</v>
      </c>
      <c r="AI154" s="1052"/>
      <c r="AJ154" s="931"/>
      <c r="AK154" s="931"/>
      <c r="AL154" s="930">
        <f t="shared" si="92"/>
        <v>1</v>
      </c>
      <c r="AM154" s="639">
        <f t="shared" si="93"/>
        <v>64899</v>
      </c>
      <c r="AN154" s="1052"/>
      <c r="AO154" s="931"/>
      <c r="AP154" s="931"/>
      <c r="AQ154" s="930">
        <f t="shared" si="94"/>
        <v>1.3</v>
      </c>
      <c r="AR154" s="639">
        <f t="shared" si="95"/>
        <v>68384.62</v>
      </c>
      <c r="AS154" s="1052"/>
      <c r="AT154" s="931"/>
      <c r="AU154" s="931"/>
      <c r="AV154" s="930">
        <f t="shared" si="96"/>
        <v>1.2</v>
      </c>
      <c r="AW154" s="639">
        <f t="shared" si="97"/>
        <v>68850.83</v>
      </c>
      <c r="AX154" s="1052"/>
      <c r="AY154" s="931"/>
      <c r="AZ154" s="931"/>
      <c r="BA154" s="930">
        <f t="shared" si="98"/>
        <v>3</v>
      </c>
      <c r="BB154" s="639">
        <f t="shared" si="99"/>
        <v>70917</v>
      </c>
      <c r="BC154" s="1056"/>
      <c r="BI154" s="898"/>
      <c r="BJ154" s="899">
        <v>51119</v>
      </c>
      <c r="BK154" s="585">
        <v>51500</v>
      </c>
      <c r="BL154" s="585">
        <v>53045</v>
      </c>
      <c r="BM154" s="585">
        <f t="shared" si="100"/>
        <v>54636</v>
      </c>
      <c r="BN154" s="585">
        <f t="shared" si="101"/>
        <v>56275</v>
      </c>
      <c r="BO154" s="585">
        <f t="shared" si="102"/>
        <v>57963</v>
      </c>
      <c r="BP154" s="585">
        <f t="shared" si="103"/>
        <v>59702</v>
      </c>
    </row>
    <row r="155" spans="4:68" hidden="1" outlineLevel="1">
      <c r="D155" s="643" t="s">
        <v>441</v>
      </c>
      <c r="S155" s="930">
        <f t="shared" si="84"/>
        <v>1</v>
      </c>
      <c r="T155" s="639">
        <f t="shared" si="85"/>
        <v>63746</v>
      </c>
      <c r="U155" s="1052"/>
      <c r="V155" s="931"/>
      <c r="W155" s="931"/>
      <c r="X155" s="638">
        <f t="shared" si="86"/>
        <v>0</v>
      </c>
      <c r="Y155" s="639">
        <f t="shared" si="87"/>
        <v>0</v>
      </c>
      <c r="Z155" s="586"/>
      <c r="AA155" s="647"/>
      <c r="AB155" s="930">
        <f t="shared" si="88"/>
        <v>0</v>
      </c>
      <c r="AC155" s="639">
        <f t="shared" si="89"/>
        <v>0</v>
      </c>
      <c r="AD155" s="1052"/>
      <c r="AE155" s="931"/>
      <c r="AF155" s="931"/>
      <c r="AG155" s="930">
        <f t="shared" si="90"/>
        <v>2</v>
      </c>
      <c r="AH155" s="639">
        <f t="shared" si="91"/>
        <v>65069</v>
      </c>
      <c r="AI155" s="1052"/>
      <c r="AJ155" s="931"/>
      <c r="AK155" s="931"/>
      <c r="AL155" s="930">
        <f t="shared" si="92"/>
        <v>1</v>
      </c>
      <c r="AM155" s="639">
        <f t="shared" si="93"/>
        <v>67021</v>
      </c>
      <c r="AN155" s="1052"/>
      <c r="AO155" s="931"/>
      <c r="AP155" s="931"/>
      <c r="AQ155" s="930">
        <f t="shared" si="94"/>
        <v>1</v>
      </c>
      <c r="AR155" s="639">
        <f t="shared" si="95"/>
        <v>69032</v>
      </c>
      <c r="AS155" s="1052"/>
      <c r="AT155" s="931"/>
      <c r="AU155" s="931"/>
      <c r="AV155" s="930">
        <f t="shared" si="96"/>
        <v>1.3</v>
      </c>
      <c r="AW155" s="639">
        <f t="shared" si="97"/>
        <v>72641.539999999994</v>
      </c>
      <c r="AX155" s="1052"/>
      <c r="AY155" s="931"/>
      <c r="AZ155" s="931"/>
      <c r="BA155" s="930">
        <f t="shared" si="98"/>
        <v>1.2</v>
      </c>
      <c r="BB155" s="639">
        <f t="shared" si="99"/>
        <v>73235.83</v>
      </c>
      <c r="BC155" s="1056"/>
      <c r="BI155" s="898"/>
      <c r="BJ155" s="899">
        <v>54233</v>
      </c>
      <c r="BK155" s="585">
        <v>55000</v>
      </c>
      <c r="BL155" s="585">
        <v>56650</v>
      </c>
      <c r="BM155" s="585">
        <f t="shared" si="100"/>
        <v>58350</v>
      </c>
      <c r="BN155" s="585">
        <f t="shared" si="101"/>
        <v>60101</v>
      </c>
      <c r="BO155" s="585">
        <f t="shared" si="102"/>
        <v>61904</v>
      </c>
      <c r="BP155" s="585">
        <f t="shared" si="103"/>
        <v>63761</v>
      </c>
    </row>
    <row r="156" spans="4:68" hidden="1" outlineLevel="1">
      <c r="D156" s="643" t="s">
        <v>442</v>
      </c>
      <c r="S156" s="930">
        <f t="shared" si="84"/>
        <v>1</v>
      </c>
      <c r="T156" s="639">
        <f t="shared" si="85"/>
        <v>68472</v>
      </c>
      <c r="U156" s="1052"/>
      <c r="V156" s="931"/>
      <c r="W156" s="931"/>
      <c r="X156" s="638">
        <f t="shared" si="86"/>
        <v>1.54</v>
      </c>
      <c r="Y156" s="639">
        <f t="shared" si="87"/>
        <v>67477.919999999998</v>
      </c>
      <c r="Z156" s="586"/>
      <c r="AA156" s="647"/>
      <c r="AB156" s="930">
        <f t="shared" si="88"/>
        <v>0</v>
      </c>
      <c r="AC156" s="639">
        <f t="shared" si="89"/>
        <v>0</v>
      </c>
      <c r="AD156" s="1052"/>
      <c r="AE156" s="931"/>
      <c r="AF156" s="931"/>
      <c r="AG156" s="930">
        <f t="shared" si="90"/>
        <v>0</v>
      </c>
      <c r="AH156" s="639">
        <f t="shared" si="91"/>
        <v>0</v>
      </c>
      <c r="AI156" s="1052"/>
      <c r="AJ156" s="931"/>
      <c r="AK156" s="931"/>
      <c r="AL156" s="930">
        <f t="shared" si="92"/>
        <v>2</v>
      </c>
      <c r="AM156" s="639">
        <f t="shared" si="93"/>
        <v>69143</v>
      </c>
      <c r="AN156" s="1052"/>
      <c r="AO156" s="931"/>
      <c r="AP156" s="931"/>
      <c r="AQ156" s="930">
        <f t="shared" si="94"/>
        <v>1</v>
      </c>
      <c r="AR156" s="639">
        <f t="shared" si="95"/>
        <v>71217</v>
      </c>
      <c r="AS156" s="1052"/>
      <c r="AT156" s="931"/>
      <c r="AU156" s="931"/>
      <c r="AV156" s="930">
        <f t="shared" si="96"/>
        <v>1</v>
      </c>
      <c r="AW156" s="639">
        <f t="shared" si="97"/>
        <v>73354</v>
      </c>
      <c r="AX156" s="1052"/>
      <c r="AY156" s="931"/>
      <c r="AZ156" s="931"/>
      <c r="BA156" s="930">
        <f t="shared" si="98"/>
        <v>1.3</v>
      </c>
      <c r="BB156" s="639">
        <f t="shared" si="99"/>
        <v>77093.850000000006</v>
      </c>
      <c r="BC156" s="1056"/>
      <c r="BI156" s="898"/>
      <c r="BJ156" s="899">
        <v>55705</v>
      </c>
      <c r="BK156" s="585">
        <v>57000</v>
      </c>
      <c r="BL156" s="585">
        <v>58710</v>
      </c>
      <c r="BM156" s="585">
        <f t="shared" si="100"/>
        <v>60471</v>
      </c>
      <c r="BN156" s="585">
        <f t="shared" si="101"/>
        <v>62285</v>
      </c>
      <c r="BO156" s="585">
        <f t="shared" si="102"/>
        <v>64154</v>
      </c>
      <c r="BP156" s="585">
        <f t="shared" si="103"/>
        <v>66079</v>
      </c>
    </row>
    <row r="157" spans="4:68" hidden="1" outlineLevel="1">
      <c r="D157" s="643" t="s">
        <v>443</v>
      </c>
      <c r="S157" s="930">
        <f t="shared" si="84"/>
        <v>2</v>
      </c>
      <c r="T157" s="639">
        <f t="shared" si="85"/>
        <v>30918.5</v>
      </c>
      <c r="U157" s="1052"/>
      <c r="V157" s="931"/>
      <c r="W157" s="931"/>
      <c r="X157" s="638">
        <f t="shared" si="86"/>
        <v>0</v>
      </c>
      <c r="Y157" s="639">
        <f t="shared" si="87"/>
        <v>0</v>
      </c>
      <c r="Z157" s="586"/>
      <c r="AA157" s="647"/>
      <c r="AB157" s="930">
        <f t="shared" si="88"/>
        <v>2</v>
      </c>
      <c r="AC157" s="639">
        <f t="shared" si="89"/>
        <v>70109</v>
      </c>
      <c r="AD157" s="1052"/>
      <c r="AE157" s="931"/>
      <c r="AF157" s="931"/>
      <c r="AG157" s="930">
        <f t="shared" si="90"/>
        <v>1</v>
      </c>
      <c r="AH157" s="639">
        <f t="shared" si="91"/>
        <v>49294.77</v>
      </c>
      <c r="AI157" s="1052"/>
      <c r="AJ157" s="931"/>
      <c r="AK157" s="931"/>
      <c r="AL157" s="930">
        <f t="shared" si="92"/>
        <v>1</v>
      </c>
      <c r="AM157" s="639">
        <f t="shared" si="93"/>
        <v>50773.61</v>
      </c>
      <c r="AN157" s="1052"/>
      <c r="AO157" s="931"/>
      <c r="AP157" s="931"/>
      <c r="AQ157" s="930">
        <f t="shared" si="94"/>
        <v>3</v>
      </c>
      <c r="AR157" s="639">
        <f t="shared" si="95"/>
        <v>66367.61</v>
      </c>
      <c r="AS157" s="1052"/>
      <c r="AT157" s="931"/>
      <c r="AU157" s="931"/>
      <c r="AV157" s="930">
        <f t="shared" si="96"/>
        <v>2</v>
      </c>
      <c r="AW157" s="639">
        <f t="shared" si="97"/>
        <v>64735.360000000001</v>
      </c>
      <c r="AX157" s="1052"/>
      <c r="AY157" s="931"/>
      <c r="AZ157" s="931"/>
      <c r="BA157" s="930">
        <f t="shared" si="98"/>
        <v>2</v>
      </c>
      <c r="BB157" s="639">
        <f t="shared" si="99"/>
        <v>66677.350000000006</v>
      </c>
      <c r="BC157" s="1056"/>
      <c r="BI157" s="898"/>
      <c r="BJ157" s="899">
        <v>57165</v>
      </c>
      <c r="BK157" s="585">
        <v>59000</v>
      </c>
      <c r="BL157" s="585">
        <v>60770</v>
      </c>
      <c r="BM157" s="585">
        <f t="shared" si="100"/>
        <v>62593</v>
      </c>
      <c r="BN157" s="585">
        <f t="shared" si="101"/>
        <v>64471</v>
      </c>
      <c r="BO157" s="585">
        <f t="shared" si="102"/>
        <v>66405</v>
      </c>
      <c r="BP157" s="585">
        <f t="shared" si="103"/>
        <v>68397</v>
      </c>
    </row>
    <row r="158" spans="4:68" hidden="1" outlineLevel="1">
      <c r="D158" s="643" t="s">
        <v>444</v>
      </c>
      <c r="S158" s="930">
        <f t="shared" si="84"/>
        <v>0</v>
      </c>
      <c r="T158" s="639">
        <f t="shared" si="85"/>
        <v>0</v>
      </c>
      <c r="U158" s="1052"/>
      <c r="V158" s="931"/>
      <c r="W158" s="931"/>
      <c r="X158" s="638">
        <f t="shared" si="86"/>
        <v>0</v>
      </c>
      <c r="Y158" s="639">
        <f t="shared" si="87"/>
        <v>0</v>
      </c>
      <c r="Z158" s="586"/>
      <c r="AA158" s="647"/>
      <c r="AB158" s="930">
        <f t="shared" si="88"/>
        <v>2</v>
      </c>
      <c r="AC158" s="639">
        <f t="shared" si="89"/>
        <v>72109</v>
      </c>
      <c r="AD158" s="1052"/>
      <c r="AE158" s="931"/>
      <c r="AF158" s="931"/>
      <c r="AG158" s="930">
        <f t="shared" si="90"/>
        <v>4</v>
      </c>
      <c r="AH158" s="639">
        <f t="shared" si="91"/>
        <v>72249</v>
      </c>
      <c r="AI158" s="1052"/>
      <c r="AJ158" s="931"/>
      <c r="AK158" s="931"/>
      <c r="AL158" s="930">
        <f t="shared" si="92"/>
        <v>4</v>
      </c>
      <c r="AM158" s="639">
        <f t="shared" si="93"/>
        <v>74386</v>
      </c>
      <c r="AN158" s="1052"/>
      <c r="AO158" s="931"/>
      <c r="AP158" s="931"/>
      <c r="AQ158" s="930">
        <f t="shared" si="94"/>
        <v>4</v>
      </c>
      <c r="AR158" s="639">
        <f t="shared" si="95"/>
        <v>76588</v>
      </c>
      <c r="AS158" s="1052"/>
      <c r="AT158" s="931"/>
      <c r="AU158" s="931"/>
      <c r="AV158" s="930">
        <f t="shared" si="96"/>
        <v>6</v>
      </c>
      <c r="AW158" s="639">
        <f t="shared" si="97"/>
        <v>78522.67</v>
      </c>
      <c r="AX158" s="1052"/>
      <c r="AY158" s="931"/>
      <c r="AZ158" s="931"/>
      <c r="BA158" s="930">
        <f t="shared" si="98"/>
        <v>7</v>
      </c>
      <c r="BB158" s="639">
        <f t="shared" si="99"/>
        <v>80763.429999999993</v>
      </c>
      <c r="BC158" s="1056"/>
      <c r="BI158" s="898"/>
      <c r="BJ158" s="899">
        <v>58613</v>
      </c>
      <c r="BK158" s="585">
        <v>61000</v>
      </c>
      <c r="BL158" s="585">
        <v>62830</v>
      </c>
      <c r="BM158" s="585">
        <f t="shared" si="100"/>
        <v>64715</v>
      </c>
      <c r="BN158" s="585">
        <f t="shared" si="101"/>
        <v>66656</v>
      </c>
      <c r="BO158" s="585">
        <f t="shared" si="102"/>
        <v>68656</v>
      </c>
      <c r="BP158" s="585">
        <f t="shared" si="103"/>
        <v>70716</v>
      </c>
    </row>
    <row r="159" spans="4:68" hidden="1" outlineLevel="1">
      <c r="F159" s="637"/>
      <c r="G159" s="637"/>
      <c r="H159" s="637"/>
      <c r="I159" s="637"/>
      <c r="J159" s="637"/>
      <c r="K159" s="637"/>
      <c r="L159" s="637"/>
      <c r="M159" s="637"/>
      <c r="N159" s="637"/>
      <c r="O159" s="637"/>
      <c r="P159" s="637"/>
      <c r="Q159" s="637"/>
      <c r="R159" s="637"/>
      <c r="S159" s="931"/>
      <c r="T159" s="586"/>
      <c r="U159" s="1053"/>
      <c r="V159" s="931"/>
      <c r="W159" s="931"/>
      <c r="X159" s="586"/>
      <c r="Y159" s="586"/>
      <c r="Z159" s="586"/>
      <c r="AA159" s="586"/>
      <c r="AB159" s="931"/>
      <c r="AC159" s="586"/>
      <c r="AD159" s="1053"/>
      <c r="AE159" s="931"/>
      <c r="AF159" s="931"/>
      <c r="AG159" s="931"/>
      <c r="AH159" s="586"/>
      <c r="AI159" s="1053"/>
      <c r="AJ159" s="931"/>
      <c r="AK159" s="931"/>
      <c r="AL159" s="931"/>
      <c r="AM159" s="586"/>
      <c r="AN159" s="1053"/>
      <c r="AO159" s="931"/>
      <c r="AP159" s="931"/>
      <c r="AQ159" s="931"/>
      <c r="AR159" s="586"/>
      <c r="AS159" s="1053"/>
      <c r="AT159" s="931"/>
      <c r="AU159" s="931"/>
      <c r="AV159" s="931"/>
      <c r="AW159" s="586"/>
      <c r="AX159" s="1053"/>
      <c r="AY159" s="931"/>
      <c r="AZ159" s="931"/>
      <c r="BA159" s="931"/>
      <c r="BB159" s="586"/>
      <c r="BC159" s="1060"/>
      <c r="BI159" s="898"/>
      <c r="BJ159" s="899"/>
      <c r="BK159" s="585">
        <v>63000</v>
      </c>
      <c r="BL159" s="585">
        <v>64890</v>
      </c>
      <c r="BM159" s="585">
        <f t="shared" si="100"/>
        <v>66837</v>
      </c>
      <c r="BN159" s="585">
        <f t="shared" si="101"/>
        <v>68842</v>
      </c>
      <c r="BO159" s="585">
        <f t="shared" si="102"/>
        <v>70907</v>
      </c>
      <c r="BP159" s="585">
        <f t="shared" si="103"/>
        <v>73034</v>
      </c>
    </row>
    <row r="160" spans="4:68" hidden="1" outlineLevel="1">
      <c r="D160" t="s">
        <v>334</v>
      </c>
      <c r="S160" s="930">
        <f>COUNTIFS($I$94:$I$116,"Yes",S$94:S$116,"&gt;0")</f>
        <v>3</v>
      </c>
      <c r="T160" s="640"/>
      <c r="U160" s="1052"/>
      <c r="V160" s="931"/>
      <c r="W160" s="931"/>
      <c r="X160" s="638">
        <f>COUNTIFS($I$94:$I$116,"Yes",X$94:X$116,"&gt;0")</f>
        <v>2</v>
      </c>
      <c r="Y160" s="640"/>
      <c r="Z160" s="586"/>
      <c r="AA160" s="586"/>
      <c r="AB160" s="930">
        <f>COUNTIFS($I$94:$I$116,"Yes",AB$94:AB$116,"&gt;0")</f>
        <v>3</v>
      </c>
      <c r="AC160" s="640"/>
      <c r="AD160" s="1052"/>
      <c r="AE160" s="931"/>
      <c r="AF160" s="931"/>
      <c r="AG160" s="930">
        <f t="shared" ref="AG160:AG162" si="104">+AB160</f>
        <v>3</v>
      </c>
      <c r="AH160" s="640"/>
      <c r="AI160" s="1052"/>
      <c r="AJ160" s="931"/>
      <c r="AK160" s="931"/>
      <c r="AL160" s="930">
        <f t="shared" ref="AL160:AL162" si="105">+AG160</f>
        <v>3</v>
      </c>
      <c r="AM160" s="640"/>
      <c r="AN160" s="1052"/>
      <c r="AO160" s="931"/>
      <c r="AP160" s="931"/>
      <c r="AQ160" s="930">
        <f t="shared" ref="AQ160:AQ162" si="106">+AL160</f>
        <v>3</v>
      </c>
      <c r="AR160" s="640"/>
      <c r="AS160" s="1052"/>
      <c r="AT160" s="931"/>
      <c r="AU160" s="931"/>
      <c r="AV160" s="930">
        <f t="shared" ref="AV160:AV162" si="107">+AQ160</f>
        <v>3</v>
      </c>
      <c r="AW160" s="640"/>
      <c r="AX160" s="1052"/>
      <c r="AY160" s="931"/>
      <c r="AZ160" s="931"/>
      <c r="BA160" s="930">
        <f t="shared" ref="BA160:BA162" si="108">+AV160</f>
        <v>3</v>
      </c>
      <c r="BB160" s="640"/>
      <c r="BC160" s="1056"/>
      <c r="BI160" s="898"/>
      <c r="BJ160" s="899"/>
      <c r="BK160" s="585"/>
      <c r="BL160" s="585"/>
      <c r="BM160" s="585"/>
      <c r="BN160" s="585"/>
      <c r="BO160" s="585"/>
      <c r="BP160" s="585"/>
    </row>
    <row r="161" spans="4:68" hidden="1" outlineLevel="1">
      <c r="D161" t="s">
        <v>335</v>
      </c>
      <c r="S161" s="930">
        <f>COUNTIFS($J$94:$J$116,"Yes",S$94:S$116,"&gt;0")</f>
        <v>4</v>
      </c>
      <c r="T161" s="640"/>
      <c r="U161" s="1052"/>
      <c r="V161" s="931"/>
      <c r="W161" s="931"/>
      <c r="X161" s="638">
        <f>COUNTIFS($J$94:$J$116,"Yes",X$94:X$116,"&gt;0")</f>
        <v>2</v>
      </c>
      <c r="Y161" s="640"/>
      <c r="Z161" s="586"/>
      <c r="AA161" s="586"/>
      <c r="AB161" s="930">
        <f>COUNTIFS($J$94:$J$116,"Yes",AB$94:AB$116,"&gt;0")</f>
        <v>5</v>
      </c>
      <c r="AC161" s="640"/>
      <c r="AD161" s="1052"/>
      <c r="AE161" s="931"/>
      <c r="AF161" s="931"/>
      <c r="AG161" s="930">
        <f t="shared" si="104"/>
        <v>5</v>
      </c>
      <c r="AH161" s="640"/>
      <c r="AI161" s="1052"/>
      <c r="AJ161" s="931"/>
      <c r="AK161" s="931"/>
      <c r="AL161" s="930">
        <f t="shared" si="105"/>
        <v>5</v>
      </c>
      <c r="AM161" s="640"/>
      <c r="AN161" s="1052"/>
      <c r="AO161" s="931"/>
      <c r="AP161" s="931"/>
      <c r="AQ161" s="930">
        <f t="shared" si="106"/>
        <v>5</v>
      </c>
      <c r="AR161" s="640"/>
      <c r="AS161" s="1052"/>
      <c r="AT161" s="931"/>
      <c r="AU161" s="931"/>
      <c r="AV161" s="930">
        <f t="shared" si="107"/>
        <v>5</v>
      </c>
      <c r="AW161" s="640"/>
      <c r="AX161" s="1052"/>
      <c r="AY161" s="931"/>
      <c r="AZ161" s="931"/>
      <c r="BA161" s="930">
        <f t="shared" si="108"/>
        <v>5</v>
      </c>
      <c r="BB161" s="640"/>
      <c r="BC161" s="1056"/>
      <c r="BI161" s="898"/>
      <c r="BJ161" s="899">
        <v>2000</v>
      </c>
      <c r="BK161" s="585">
        <v>2000</v>
      </c>
      <c r="BL161" s="585">
        <v>2000</v>
      </c>
      <c r="BM161" s="585">
        <v>2000</v>
      </c>
      <c r="BN161" s="585">
        <v>2000</v>
      </c>
      <c r="BO161" s="585">
        <v>2000</v>
      </c>
      <c r="BP161" s="585">
        <v>2000</v>
      </c>
    </row>
    <row r="162" spans="4:68" hidden="1" outlineLevel="1">
      <c r="D162" t="s">
        <v>401</v>
      </c>
      <c r="S162" s="930">
        <f>COUNTIFS($K$94:$K$116,"Yes",S$94:S$116,"&gt;0")</f>
        <v>1</v>
      </c>
      <c r="T162" s="640"/>
      <c r="U162" s="1052"/>
      <c r="V162" s="931"/>
      <c r="W162" s="931"/>
      <c r="X162" s="638">
        <f>COUNTIFS($K$94:$K$116,"Yes",X$94:X$116,"&gt;0")</f>
        <v>0</v>
      </c>
      <c r="Y162" s="640"/>
      <c r="Z162" s="586"/>
      <c r="AA162" s="586"/>
      <c r="AB162" s="930">
        <f>COUNTIFS($K$94:$K$116,"Yes",AB$94:AB$116,"&gt;0")</f>
        <v>1</v>
      </c>
      <c r="AC162" s="640"/>
      <c r="AD162" s="1052"/>
      <c r="AE162" s="931"/>
      <c r="AF162" s="931"/>
      <c r="AG162" s="930">
        <f t="shared" si="104"/>
        <v>1</v>
      </c>
      <c r="AH162" s="640"/>
      <c r="AI162" s="1052"/>
      <c r="AJ162" s="931"/>
      <c r="AK162" s="931"/>
      <c r="AL162" s="930">
        <f t="shared" si="105"/>
        <v>1</v>
      </c>
      <c r="AM162" s="640"/>
      <c r="AN162" s="1052"/>
      <c r="AO162" s="931"/>
      <c r="AP162" s="931"/>
      <c r="AQ162" s="930">
        <f t="shared" si="106"/>
        <v>1</v>
      </c>
      <c r="AR162" s="640"/>
      <c r="AS162" s="1052"/>
      <c r="AT162" s="931"/>
      <c r="AU162" s="931"/>
      <c r="AV162" s="930">
        <f t="shared" si="107"/>
        <v>1</v>
      </c>
      <c r="AW162" s="640"/>
      <c r="AX162" s="1052"/>
      <c r="AY162" s="931"/>
      <c r="AZ162" s="931"/>
      <c r="BA162" s="930">
        <f t="shared" si="108"/>
        <v>1</v>
      </c>
      <c r="BB162" s="640"/>
      <c r="BC162" s="1056"/>
      <c r="BI162" s="898"/>
      <c r="BJ162" s="899">
        <v>3500</v>
      </c>
      <c r="BK162" s="585">
        <v>3500</v>
      </c>
      <c r="BL162" s="585">
        <v>3500</v>
      </c>
      <c r="BM162" s="585">
        <v>3500</v>
      </c>
      <c r="BN162" s="585">
        <v>3500</v>
      </c>
      <c r="BO162" s="585">
        <v>3500</v>
      </c>
      <c r="BP162" s="585">
        <v>3500</v>
      </c>
    </row>
    <row r="163" spans="4:68" hidden="1" outlineLevel="1">
      <c r="D163" t="s">
        <v>305</v>
      </c>
      <c r="S163" s="932">
        <f>SUM(S146:S158)</f>
        <v>12.9</v>
      </c>
      <c r="T163" s="649">
        <f>SUMPRODUCT(S146:S162,T146:T162)</f>
        <v>529935.00099999993</v>
      </c>
      <c r="U163" s="1054"/>
      <c r="V163" s="931"/>
      <c r="W163" s="931"/>
      <c r="X163" s="648">
        <f>SUM(X146:X158)</f>
        <v>7.59</v>
      </c>
      <c r="Y163" s="649">
        <f>SUMPRODUCT(X146:X162,Y146:Y162)</f>
        <v>465554.99129999999</v>
      </c>
      <c r="Z163" s="586"/>
      <c r="AA163" s="586"/>
      <c r="AB163" s="932">
        <f>SUM(AB146:AB158)</f>
        <v>15</v>
      </c>
      <c r="AC163" s="649">
        <f>SUMPRODUCT(AB146:AB162,AC146:AC162)</f>
        <v>890385.99600000004</v>
      </c>
      <c r="AD163" s="1054"/>
      <c r="AE163" s="931"/>
      <c r="AF163" s="931"/>
      <c r="AG163" s="932">
        <f>SUM(AG146:AG158)</f>
        <v>17</v>
      </c>
      <c r="AH163" s="649">
        <f>SUMPRODUCT(AG146:AG162,AH146:AH162)</f>
        <v>1026129.775</v>
      </c>
      <c r="AI163" s="1054"/>
      <c r="AJ163" s="931"/>
      <c r="AK163" s="931"/>
      <c r="AL163" s="932">
        <f>SUM(AL146:AL158)</f>
        <v>17</v>
      </c>
      <c r="AM163" s="649">
        <f>SUMPRODUCT(AL146:AL162,AM146:AM162)</f>
        <v>1080866.611</v>
      </c>
      <c r="AN163" s="1054"/>
      <c r="AO163" s="931"/>
      <c r="AP163" s="931"/>
      <c r="AQ163" s="932">
        <f>SUM(AQ146:AQ158)</f>
        <v>17</v>
      </c>
      <c r="AR163" s="649">
        <f>SUMPRODUCT(AQ146:AQ162,AR146:AR162)</f>
        <v>1139641.835</v>
      </c>
      <c r="AS163" s="1054"/>
      <c r="AT163" s="931"/>
      <c r="AU163" s="931"/>
      <c r="AV163" s="932">
        <f>SUM(AV146:AV158)</f>
        <v>17</v>
      </c>
      <c r="AW163" s="649">
        <f>SUMPRODUCT(AV146:AV162,AW146:AW162)</f>
        <v>1201142.733</v>
      </c>
      <c r="AX163" s="1054"/>
      <c r="AY163" s="931"/>
      <c r="AZ163" s="931"/>
      <c r="BA163" s="932">
        <f>SUM(BA146:BA158)</f>
        <v>17</v>
      </c>
      <c r="BB163" s="649">
        <f>SUMPRODUCT(BA146:BA162,BB146:BB162)</f>
        <v>1264675.7109999999</v>
      </c>
      <c r="BC163" s="1074"/>
      <c r="BI163" s="898"/>
      <c r="BJ163" s="899">
        <v>3000</v>
      </c>
      <c r="BK163" s="585">
        <v>3000</v>
      </c>
      <c r="BL163" s="585">
        <v>3000</v>
      </c>
      <c r="BM163" s="585">
        <v>3000</v>
      </c>
      <c r="BN163" s="585">
        <v>3000</v>
      </c>
      <c r="BO163" s="585">
        <v>3000</v>
      </c>
      <c r="BP163" s="585">
        <v>3000</v>
      </c>
    </row>
    <row r="164" spans="4:68" hidden="1" outlineLevel="1">
      <c r="D164" t="s">
        <v>309</v>
      </c>
      <c r="S164" s="932"/>
      <c r="T164" s="649"/>
      <c r="U164" s="1054"/>
      <c r="V164" s="931"/>
      <c r="W164" s="931"/>
      <c r="X164" s="648"/>
      <c r="Y164" s="649"/>
      <c r="Z164" s="586"/>
      <c r="AA164" s="586"/>
      <c r="AB164" s="932"/>
      <c r="AC164" s="649"/>
      <c r="AD164" s="1054"/>
      <c r="AE164" s="931"/>
      <c r="AF164" s="931"/>
      <c r="AG164" s="932"/>
      <c r="AH164" s="649"/>
      <c r="AI164" s="1054"/>
      <c r="AJ164" s="931"/>
      <c r="AK164" s="931"/>
      <c r="AL164" s="932"/>
      <c r="AM164" s="649"/>
      <c r="AN164" s="1054"/>
      <c r="AO164" s="931"/>
      <c r="AP164" s="931"/>
      <c r="AQ164" s="932"/>
      <c r="AR164" s="649"/>
      <c r="AS164" s="1054"/>
      <c r="AT164" s="931"/>
      <c r="AU164" s="931"/>
      <c r="AV164" s="932"/>
      <c r="AW164" s="649"/>
      <c r="AX164" s="1054"/>
      <c r="AY164" s="931"/>
      <c r="AZ164" s="931"/>
      <c r="BA164" s="932"/>
      <c r="BB164" s="649"/>
      <c r="BC164" s="1074"/>
      <c r="BI164" s="495" t="s">
        <v>1214</v>
      </c>
      <c r="BJ164" s="495"/>
      <c r="BK164" s="495"/>
      <c r="BL164" s="850">
        <v>6359</v>
      </c>
      <c r="BM164" s="495"/>
      <c r="BN164" s="495"/>
      <c r="BO164" s="495"/>
      <c r="BP164" s="495"/>
    </row>
    <row r="165" spans="4:68" hidden="1" outlineLevel="1">
      <c r="D165" t="s">
        <v>310</v>
      </c>
      <c r="S165" s="930">
        <f>+S163-SUM(S166:S169)</f>
        <v>12.9</v>
      </c>
      <c r="T165" s="640">
        <f>+T163-SUM(T166:T169)</f>
        <v>529935.00099999993</v>
      </c>
      <c r="U165" s="1052"/>
      <c r="V165" s="931"/>
      <c r="W165" s="931"/>
      <c r="X165" s="638">
        <f>+X163-SUM(X166:X169)</f>
        <v>7.59</v>
      </c>
      <c r="Y165" s="640">
        <f>+Y163-SUM(Y166:Y169)</f>
        <v>465554.99129999999</v>
      </c>
      <c r="Z165" s="586"/>
      <c r="AA165" s="586"/>
      <c r="AB165" s="930">
        <f>+AB163-SUM(AB166:AB169)</f>
        <v>15</v>
      </c>
      <c r="AC165" s="640">
        <f>+AC163-SUM(AC166:AC169)</f>
        <v>890385.99600000004</v>
      </c>
      <c r="AD165" s="1052"/>
      <c r="AE165" s="931"/>
      <c r="AF165" s="931"/>
      <c r="AG165" s="930">
        <f>+AG163-SUM(AG166:AG169)</f>
        <v>17</v>
      </c>
      <c r="AH165" s="640">
        <f>+AH163-SUM(AH166:AH169)</f>
        <v>1026129.775</v>
      </c>
      <c r="AI165" s="1052"/>
      <c r="AJ165" s="931"/>
      <c r="AK165" s="931"/>
      <c r="AL165" s="930">
        <f>+AL163-SUM(AL166:AL169)</f>
        <v>17</v>
      </c>
      <c r="AM165" s="640">
        <f>+AM163-SUM(AM166:AM169)</f>
        <v>1080866.611</v>
      </c>
      <c r="AN165" s="1052"/>
      <c r="AO165" s="931"/>
      <c r="AP165" s="931"/>
      <c r="AQ165" s="930">
        <f>+AQ163-SUM(AQ166:AQ169)</f>
        <v>17</v>
      </c>
      <c r="AR165" s="640">
        <f>+AR163-SUM(AR166:AR169)</f>
        <v>1139641.835</v>
      </c>
      <c r="AS165" s="1052"/>
      <c r="AT165" s="931"/>
      <c r="AU165" s="931"/>
      <c r="AV165" s="930">
        <f>+AV163-SUM(AV166:AV169)</f>
        <v>17</v>
      </c>
      <c r="AW165" s="640">
        <f>+AW163-SUM(AW166:AW169)</f>
        <v>1201142.733</v>
      </c>
      <c r="AX165" s="1052"/>
      <c r="AY165" s="931"/>
      <c r="AZ165" s="931"/>
      <c r="BA165" s="930">
        <f>+BA163-SUM(BA166:BA169)</f>
        <v>17</v>
      </c>
      <c r="BB165" s="640">
        <f>+BB163-SUM(BB166:BB169)</f>
        <v>1264675.7109999999</v>
      </c>
      <c r="BC165" s="1056"/>
      <c r="BI165" s="1146" t="s">
        <v>1286</v>
      </c>
      <c r="BJ165" s="1146"/>
      <c r="BK165" s="1146"/>
      <c r="BL165" s="1146"/>
      <c r="BM165" s="1146"/>
      <c r="BN165" s="1146"/>
      <c r="BO165" s="1146"/>
      <c r="BP165" s="1146"/>
    </row>
    <row r="166" spans="4:68" hidden="1" outlineLevel="1">
      <c r="D166" t="s">
        <v>311</v>
      </c>
      <c r="S166" s="641">
        <v>0</v>
      </c>
      <c r="T166" s="642">
        <v>0</v>
      </c>
      <c r="U166" s="1055"/>
      <c r="V166" s="931"/>
      <c r="W166" s="931"/>
      <c r="X166" s="641">
        <v>0</v>
      </c>
      <c r="Y166" s="642">
        <v>0</v>
      </c>
      <c r="Z166" s="586"/>
      <c r="AA166" s="586"/>
      <c r="AB166" s="641">
        <v>0</v>
      </c>
      <c r="AC166" s="642">
        <v>0</v>
      </c>
      <c r="AD166" s="1055"/>
      <c r="AE166" s="931"/>
      <c r="AF166" s="931"/>
      <c r="AG166" s="641">
        <v>0</v>
      </c>
      <c r="AH166" s="642">
        <v>0</v>
      </c>
      <c r="AI166" s="1055"/>
      <c r="AJ166" s="931"/>
      <c r="AK166" s="931"/>
      <c r="AL166" s="641">
        <v>0</v>
      </c>
      <c r="AM166" s="642">
        <v>0</v>
      </c>
      <c r="AN166" s="1055"/>
      <c r="AO166" s="931"/>
      <c r="AP166" s="931"/>
      <c r="AQ166" s="641">
        <v>0</v>
      </c>
      <c r="AR166" s="642">
        <v>0</v>
      </c>
      <c r="AS166" s="1055"/>
      <c r="AT166" s="931"/>
      <c r="AU166" s="931"/>
      <c r="AV166" s="641">
        <v>0</v>
      </c>
      <c r="AW166" s="642">
        <v>0</v>
      </c>
      <c r="AX166" s="1055"/>
      <c r="AY166" s="931"/>
      <c r="AZ166" s="931"/>
      <c r="BA166" s="641">
        <v>0</v>
      </c>
      <c r="BB166" s="642">
        <v>0</v>
      </c>
      <c r="BC166" s="1075"/>
      <c r="BI166" s="495"/>
      <c r="BJ166" s="566" t="s">
        <v>890</v>
      </c>
      <c r="BK166" s="566" t="s">
        <v>343</v>
      </c>
      <c r="BL166" s="566" t="s">
        <v>344</v>
      </c>
      <c r="BM166" s="566" t="s">
        <v>345</v>
      </c>
      <c r="BN166" s="566" t="s">
        <v>346</v>
      </c>
      <c r="BO166" s="566" t="s">
        <v>347</v>
      </c>
      <c r="BP166" s="566" t="s">
        <v>348</v>
      </c>
    </row>
    <row r="167" spans="4:68" hidden="1" outlineLevel="1">
      <c r="D167" t="s">
        <v>435</v>
      </c>
      <c r="S167" s="641">
        <v>0</v>
      </c>
      <c r="T167" s="642">
        <v>0</v>
      </c>
      <c r="U167" s="1055"/>
      <c r="V167" s="931"/>
      <c r="W167" s="931"/>
      <c r="X167" s="641">
        <v>0</v>
      </c>
      <c r="Y167" s="642">
        <v>0</v>
      </c>
      <c r="Z167" s="586"/>
      <c r="AA167" s="586"/>
      <c r="AB167" s="641">
        <v>0</v>
      </c>
      <c r="AC167" s="642">
        <v>0</v>
      </c>
      <c r="AD167" s="1055"/>
      <c r="AE167" s="931"/>
      <c r="AF167" s="931"/>
      <c r="AG167" s="641">
        <v>0</v>
      </c>
      <c r="AH167" s="642">
        <v>0</v>
      </c>
      <c r="AI167" s="1055"/>
      <c r="AJ167" s="931"/>
      <c r="AK167" s="931"/>
      <c r="AL167" s="641">
        <v>0</v>
      </c>
      <c r="AM167" s="642">
        <v>0</v>
      </c>
      <c r="AN167" s="1055"/>
      <c r="AO167" s="931"/>
      <c r="AP167" s="931"/>
      <c r="AQ167" s="641">
        <v>0</v>
      </c>
      <c r="AR167" s="642">
        <v>0</v>
      </c>
      <c r="AS167" s="1055"/>
      <c r="AT167" s="931"/>
      <c r="AU167" s="931"/>
      <c r="AV167" s="641">
        <v>0</v>
      </c>
      <c r="AW167" s="642">
        <v>0</v>
      </c>
      <c r="AX167" s="1055"/>
      <c r="AY167" s="931"/>
      <c r="AZ167" s="931"/>
      <c r="BA167" s="641">
        <v>0</v>
      </c>
      <c r="BB167" s="642">
        <v>0</v>
      </c>
      <c r="BC167" s="1075"/>
      <c r="BI167" s="495"/>
      <c r="BJ167" s="495" t="s">
        <v>421</v>
      </c>
      <c r="BK167" s="495" t="s">
        <v>422</v>
      </c>
      <c r="BL167" s="495" t="s">
        <v>423</v>
      </c>
      <c r="BM167" s="495" t="s">
        <v>439</v>
      </c>
      <c r="BN167" s="495" t="s">
        <v>871</v>
      </c>
      <c r="BO167" s="495" t="s">
        <v>1212</v>
      </c>
      <c r="BP167" s="495" t="s">
        <v>1297</v>
      </c>
    </row>
    <row r="168" spans="4:68" hidden="1" outlineLevel="1">
      <c r="D168" t="s">
        <v>433</v>
      </c>
      <c r="S168" s="641">
        <v>0</v>
      </c>
      <c r="T168" s="642">
        <v>0</v>
      </c>
      <c r="U168" s="1055"/>
      <c r="V168" s="931"/>
      <c r="W168" s="931"/>
      <c r="X168" s="641">
        <v>0</v>
      </c>
      <c r="Y168" s="642">
        <v>0</v>
      </c>
      <c r="Z168" s="586"/>
      <c r="AA168" s="586"/>
      <c r="AB168" s="641">
        <v>0</v>
      </c>
      <c r="AC168" s="642">
        <v>0</v>
      </c>
      <c r="AD168" s="1055"/>
      <c r="AE168" s="931"/>
      <c r="AF168" s="931"/>
      <c r="AG168" s="641">
        <v>0</v>
      </c>
      <c r="AH168" s="642">
        <v>0</v>
      </c>
      <c r="AI168" s="1055"/>
      <c r="AJ168" s="931"/>
      <c r="AK168" s="931"/>
      <c r="AL168" s="641">
        <v>0</v>
      </c>
      <c r="AM168" s="642">
        <v>0</v>
      </c>
      <c r="AN168" s="1055"/>
      <c r="AO168" s="931"/>
      <c r="AP168" s="931"/>
      <c r="AQ168" s="641">
        <v>0</v>
      </c>
      <c r="AR168" s="642">
        <v>0</v>
      </c>
      <c r="AS168" s="1055"/>
      <c r="AT168" s="931"/>
      <c r="AU168" s="931"/>
      <c r="AV168" s="641">
        <v>0</v>
      </c>
      <c r="AW168" s="642">
        <v>0</v>
      </c>
      <c r="AX168" s="1055"/>
      <c r="AY168" s="931"/>
      <c r="AZ168" s="931"/>
      <c r="BA168" s="641">
        <v>0</v>
      </c>
      <c r="BB168" s="642">
        <v>0</v>
      </c>
      <c r="BC168" s="1075"/>
      <c r="BI168" s="495" t="s">
        <v>241</v>
      </c>
      <c r="BJ168" s="585">
        <f t="shared" ref="BJ168:BL168" si="109">+BJ147+$BL$164</f>
        <v>47477</v>
      </c>
      <c r="BK168" s="585">
        <f t="shared" si="109"/>
        <v>47859</v>
      </c>
      <c r="BL168" s="585">
        <f t="shared" si="109"/>
        <v>49104</v>
      </c>
      <c r="BM168" s="585">
        <f t="shared" ref="BM168:BM180" si="110">ROUND(BL168*(1+$AW$12),0)</f>
        <v>50577</v>
      </c>
      <c r="BN168" s="585">
        <f>ROUND(BM168*(1+$BB$12),0)</f>
        <v>52094</v>
      </c>
      <c r="BO168" s="585">
        <f>ROUND(BN168*(1+$BB$12),0)</f>
        <v>53657</v>
      </c>
      <c r="BP168" s="585">
        <f>ROUND(BO168*(1+$BB$12),0)</f>
        <v>55267</v>
      </c>
    </row>
    <row r="169" spans="4:68" hidden="1" outlineLevel="1">
      <c r="D169" t="s">
        <v>434</v>
      </c>
      <c r="S169" s="641">
        <v>0</v>
      </c>
      <c r="T169" s="642">
        <v>0</v>
      </c>
      <c r="U169" s="1055"/>
      <c r="V169" s="931"/>
      <c r="W169" s="931"/>
      <c r="X169" s="641">
        <v>0</v>
      </c>
      <c r="Y169" s="642">
        <v>0</v>
      </c>
      <c r="Z169" s="586"/>
      <c r="AA169" s="586"/>
      <c r="AB169" s="641">
        <v>0</v>
      </c>
      <c r="AC169" s="642">
        <v>0</v>
      </c>
      <c r="AD169" s="1055"/>
      <c r="AE169" s="931"/>
      <c r="AF169" s="931"/>
      <c r="AG169" s="641">
        <v>0</v>
      </c>
      <c r="AH169" s="642">
        <v>0</v>
      </c>
      <c r="AI169" s="1055"/>
      <c r="AJ169" s="931"/>
      <c r="AK169" s="931"/>
      <c r="AL169" s="641">
        <v>0</v>
      </c>
      <c r="AM169" s="642">
        <v>0</v>
      </c>
      <c r="AN169" s="1055"/>
      <c r="AO169" s="931"/>
      <c r="AP169" s="931"/>
      <c r="AQ169" s="641">
        <v>0</v>
      </c>
      <c r="AR169" s="642">
        <v>0</v>
      </c>
      <c r="AS169" s="1055"/>
      <c r="AT169" s="931"/>
      <c r="AU169" s="931"/>
      <c r="AV169" s="641">
        <v>0</v>
      </c>
      <c r="AW169" s="642">
        <v>0</v>
      </c>
      <c r="AX169" s="1055"/>
      <c r="AY169" s="931"/>
      <c r="AZ169" s="931"/>
      <c r="BA169" s="641">
        <v>0</v>
      </c>
      <c r="BB169" s="642">
        <v>0</v>
      </c>
      <c r="BC169" s="1075"/>
      <c r="BI169" s="495" t="s">
        <v>460</v>
      </c>
      <c r="BJ169" s="585">
        <f t="shared" ref="BJ169:BL169" si="111">+BJ148+$BL$164</f>
        <v>48347</v>
      </c>
      <c r="BK169" s="585">
        <f t="shared" si="111"/>
        <v>48859</v>
      </c>
      <c r="BL169" s="585">
        <f t="shared" si="111"/>
        <v>50134</v>
      </c>
      <c r="BM169" s="585">
        <f t="shared" si="110"/>
        <v>51638</v>
      </c>
      <c r="BN169" s="585">
        <f t="shared" ref="BN169:BN180" si="112">ROUND(BM169*(1+$BB$12),0)</f>
        <v>53187</v>
      </c>
      <c r="BO169" s="585">
        <f t="shared" ref="BO169:BO180" si="113">ROUND(BN169*(1+$BB$12),0)</f>
        <v>54783</v>
      </c>
      <c r="BP169" s="585">
        <f t="shared" ref="BP169:BP180" si="114">ROUND(BO169*(1+$BB$12),0)</f>
        <v>56426</v>
      </c>
    </row>
    <row r="170" spans="4:68" hidden="1" outlineLevel="1">
      <c r="S170" s="932">
        <f>SUM(S165:S169)</f>
        <v>12.9</v>
      </c>
      <c r="T170" s="649">
        <f>SUM(T165:T169)</f>
        <v>529935.00099999993</v>
      </c>
      <c r="U170" s="1054"/>
      <c r="V170" s="931"/>
      <c r="W170" s="931"/>
      <c r="X170" s="648">
        <f>SUM(X165:X169)</f>
        <v>7.59</v>
      </c>
      <c r="Y170" s="649">
        <f>SUM(Y165:Y169)</f>
        <v>465554.99129999999</v>
      </c>
      <c r="Z170" s="586"/>
      <c r="AA170" s="586"/>
      <c r="AB170" s="932">
        <f>SUM(AB165:AB169)</f>
        <v>15</v>
      </c>
      <c r="AC170" s="649">
        <f>SUM(AC165:AC169)</f>
        <v>890385.99600000004</v>
      </c>
      <c r="AD170" s="1054"/>
      <c r="AE170" s="931"/>
      <c r="AF170" s="931"/>
      <c r="AG170" s="932">
        <f>SUM(AG165:AG169)</f>
        <v>17</v>
      </c>
      <c r="AH170" s="649">
        <f>SUM(AH165:AH169)</f>
        <v>1026129.775</v>
      </c>
      <c r="AI170" s="1054"/>
      <c r="AJ170" s="931"/>
      <c r="AK170" s="931"/>
      <c r="AL170" s="932">
        <f>SUM(AL165:AL169)</f>
        <v>17</v>
      </c>
      <c r="AM170" s="649">
        <f>SUM(AM165:AM169)</f>
        <v>1080866.611</v>
      </c>
      <c r="AN170" s="1054"/>
      <c r="AO170" s="931"/>
      <c r="AP170" s="931"/>
      <c r="AQ170" s="932">
        <f>SUM(AQ165:AQ169)</f>
        <v>17</v>
      </c>
      <c r="AR170" s="649">
        <f>SUM(AR165:AR169)</f>
        <v>1139641.835</v>
      </c>
      <c r="AS170" s="1054"/>
      <c r="AT170" s="931"/>
      <c r="AU170" s="931"/>
      <c r="AV170" s="932">
        <f>SUM(AV165:AV169)</f>
        <v>17</v>
      </c>
      <c r="AW170" s="649">
        <f>SUM(AW165:AW169)</f>
        <v>1201142.733</v>
      </c>
      <c r="AX170" s="1054"/>
      <c r="AY170" s="931"/>
      <c r="AZ170" s="931"/>
      <c r="BA170" s="932">
        <f>SUM(BA165:BA169)</f>
        <v>17</v>
      </c>
      <c r="BB170" s="649">
        <f>SUM(BB165:BB169)</f>
        <v>1264675.7109999999</v>
      </c>
      <c r="BC170" s="1074"/>
      <c r="BI170" s="495" t="s">
        <v>461</v>
      </c>
      <c r="BJ170" s="585">
        <f t="shared" ref="BJ170:BL170" si="115">+BJ149+$BL$164</f>
        <v>49219</v>
      </c>
      <c r="BK170" s="585">
        <f t="shared" si="115"/>
        <v>49859</v>
      </c>
      <c r="BL170" s="585">
        <f t="shared" si="115"/>
        <v>51164</v>
      </c>
      <c r="BM170" s="585">
        <f t="shared" si="110"/>
        <v>52699</v>
      </c>
      <c r="BN170" s="585">
        <f t="shared" si="112"/>
        <v>54280</v>
      </c>
      <c r="BO170" s="585">
        <f t="shared" si="113"/>
        <v>55908</v>
      </c>
      <c r="BP170" s="585">
        <f t="shared" si="114"/>
        <v>57585</v>
      </c>
    </row>
    <row r="171" spans="4:68" ht="14.55" hidden="1" customHeight="1" outlineLevel="1" thickBot="1">
      <c r="D171" s="569" t="s">
        <v>307</v>
      </c>
      <c r="E171" s="570"/>
      <c r="F171" s="571"/>
      <c r="G171" s="571"/>
      <c r="H171" s="571"/>
      <c r="I171" s="571"/>
      <c r="J171" s="571"/>
      <c r="K171" s="571"/>
      <c r="L171" s="571"/>
      <c r="M171" s="571"/>
      <c r="N171" s="571"/>
      <c r="O171" s="571"/>
      <c r="P171" s="571"/>
      <c r="Q171" s="571"/>
      <c r="R171" s="571"/>
      <c r="S171" s="570"/>
      <c r="T171" s="571"/>
      <c r="U171" s="1051"/>
      <c r="V171" s="571"/>
      <c r="W171" s="571"/>
      <c r="X171" s="570"/>
      <c r="Y171" s="571"/>
      <c r="Z171" s="572"/>
      <c r="AA171" s="572"/>
      <c r="AB171" s="570"/>
      <c r="AC171" s="571"/>
      <c r="AD171" s="1051"/>
      <c r="AE171" s="572"/>
      <c r="AF171" s="571"/>
      <c r="AG171" s="570"/>
      <c r="AH171" s="571"/>
      <c r="AI171" s="1051"/>
      <c r="AJ171" s="572"/>
      <c r="AK171" s="572"/>
      <c r="AL171" s="570"/>
      <c r="AM171" s="571"/>
      <c r="AN171" s="1051"/>
      <c r="AO171" s="572"/>
      <c r="AP171" s="572"/>
      <c r="AQ171" s="570"/>
      <c r="AR171" s="571"/>
      <c r="AS171" s="1051"/>
      <c r="AT171" s="572"/>
      <c r="AU171" s="572"/>
      <c r="AV171" s="570"/>
      <c r="AW171" s="571"/>
      <c r="AX171" s="1051"/>
      <c r="AY171" s="572"/>
      <c r="AZ171" s="572"/>
      <c r="BA171" s="570"/>
      <c r="BB171" s="571"/>
      <c r="BC171" s="1051"/>
      <c r="BD171" s="571"/>
      <c r="BE171" s="572"/>
      <c r="BF171" s="573"/>
      <c r="BG171" s="573"/>
      <c r="BH171" s="573"/>
      <c r="BI171" s="495" t="s">
        <v>246</v>
      </c>
      <c r="BJ171" s="585">
        <f t="shared" ref="BJ171:BL171" si="116">+BJ150+$BL$164</f>
        <v>50349</v>
      </c>
      <c r="BK171" s="585">
        <f t="shared" si="116"/>
        <v>50859</v>
      </c>
      <c r="BL171" s="585">
        <f t="shared" si="116"/>
        <v>52194</v>
      </c>
      <c r="BM171" s="585">
        <f t="shared" si="110"/>
        <v>53760</v>
      </c>
      <c r="BN171" s="585">
        <f t="shared" si="112"/>
        <v>55373</v>
      </c>
      <c r="BO171" s="585">
        <f t="shared" si="113"/>
        <v>57034</v>
      </c>
      <c r="BP171" s="585">
        <f t="shared" si="114"/>
        <v>58745</v>
      </c>
    </row>
    <row r="172" spans="4:68" ht="14.55" hidden="1" customHeight="1" outlineLevel="1" thickBot="1">
      <c r="D172" s="1184" t="s">
        <v>402</v>
      </c>
      <c r="E172" s="1158"/>
      <c r="F172" s="1158"/>
      <c r="G172" s="531"/>
      <c r="H172" s="531"/>
      <c r="I172" s="531"/>
      <c r="J172" s="531"/>
      <c r="K172" s="531"/>
      <c r="L172" s="531"/>
      <c r="M172" s="531"/>
      <c r="N172" s="531"/>
      <c r="O172" s="531"/>
      <c r="P172" s="531"/>
      <c r="Q172" s="531"/>
      <c r="R172" s="531"/>
      <c r="S172" s="1158" t="str">
        <f>S$62</f>
        <v>Current Budget
2023-2024</v>
      </c>
      <c r="T172" s="1158"/>
      <c r="U172" s="1041"/>
      <c r="V172" s="531"/>
      <c r="W172" s="531"/>
      <c r="X172" s="1158" t="str">
        <f>X$62</f>
        <v>Amended Budget
2023-2024</v>
      </c>
      <c r="Y172" s="1158"/>
      <c r="Z172" s="565"/>
      <c r="AA172" s="565"/>
      <c r="AB172" s="1158" t="str">
        <f>AB$62</f>
        <v>Budgeted
2024-2025</v>
      </c>
      <c r="AC172" s="1158"/>
      <c r="AD172" s="1041"/>
      <c r="AE172" s="565"/>
      <c r="AF172" s="531"/>
      <c r="AG172" s="1158" t="str">
        <f>AG$62</f>
        <v>Projected
2025-2026</v>
      </c>
      <c r="AH172" s="1158"/>
      <c r="AI172" s="1041"/>
      <c r="AJ172" s="565"/>
      <c r="AK172" s="565"/>
      <c r="AL172" s="1158" t="str">
        <f>AL$62</f>
        <v>Projected
2026-2027</v>
      </c>
      <c r="AM172" s="1158"/>
      <c r="AN172" s="1041"/>
      <c r="AO172" s="565"/>
      <c r="AP172" s="565"/>
      <c r="AQ172" s="1158" t="str">
        <f>AQ$62</f>
        <v>Projected
2027-2028</v>
      </c>
      <c r="AR172" s="1158"/>
      <c r="AS172" s="1041"/>
      <c r="AT172" s="565"/>
      <c r="AU172" s="565"/>
      <c r="AV172" s="1158" t="str">
        <f>AV$62</f>
        <v>Projected
2028-2029</v>
      </c>
      <c r="AW172" s="1158"/>
      <c r="AX172" s="1041"/>
      <c r="AY172" s="565"/>
      <c r="AZ172" s="565"/>
      <c r="BA172" s="1158" t="str">
        <f>BA$62</f>
        <v>Projected
2029-2030</v>
      </c>
      <c r="BB172" s="1158"/>
      <c r="BC172" s="1041"/>
      <c r="BD172" s="531"/>
      <c r="BE172" s="565"/>
      <c r="BI172" s="495" t="s">
        <v>247</v>
      </c>
      <c r="BJ172" s="585">
        <f t="shared" ref="BJ172:BL172" si="117">+BJ151+$BL$164</f>
        <v>52132</v>
      </c>
      <c r="BK172" s="585">
        <f t="shared" si="117"/>
        <v>52609</v>
      </c>
      <c r="BL172" s="585">
        <f t="shared" si="117"/>
        <v>53997</v>
      </c>
      <c r="BM172" s="585">
        <f t="shared" si="110"/>
        <v>55617</v>
      </c>
      <c r="BN172" s="585">
        <f t="shared" si="112"/>
        <v>57286</v>
      </c>
      <c r="BO172" s="585">
        <f t="shared" si="113"/>
        <v>59005</v>
      </c>
      <c r="BP172" s="585">
        <f t="shared" si="114"/>
        <v>60775</v>
      </c>
    </row>
    <row r="173" spans="4:68" hidden="1" outlineLevel="1">
      <c r="D173" s="1184"/>
      <c r="E173" s="1158"/>
      <c r="F173" s="1158"/>
      <c r="G173" s="531"/>
      <c r="H173" s="531"/>
      <c r="I173" s="531"/>
      <c r="J173" s="531"/>
      <c r="K173" s="531"/>
      <c r="L173" s="531"/>
      <c r="M173" s="531"/>
      <c r="N173" s="531"/>
      <c r="O173" s="531"/>
      <c r="P173" s="531"/>
      <c r="Q173" s="531"/>
      <c r="R173" s="531"/>
      <c r="S173" s="1158"/>
      <c r="T173" s="1158"/>
      <c r="U173" s="1041"/>
      <c r="V173" s="531"/>
      <c r="W173" s="531"/>
      <c r="X173" s="1158"/>
      <c r="Y173" s="1158"/>
      <c r="Z173" s="565"/>
      <c r="AA173" s="565"/>
      <c r="AB173" s="1158"/>
      <c r="AC173" s="1158"/>
      <c r="AD173" s="1041"/>
      <c r="AE173" s="565"/>
      <c r="AF173" s="531"/>
      <c r="AG173" s="1158"/>
      <c r="AH173" s="1158"/>
      <c r="AI173" s="1041"/>
      <c r="AJ173" s="565"/>
      <c r="AK173" s="565"/>
      <c r="AL173" s="1158"/>
      <c r="AM173" s="1158"/>
      <c r="AN173" s="1041"/>
      <c r="AO173" s="565"/>
      <c r="AP173" s="565"/>
      <c r="AQ173" s="1158"/>
      <c r="AR173" s="1158"/>
      <c r="AS173" s="1041"/>
      <c r="AT173" s="565"/>
      <c r="AU173" s="565"/>
      <c r="AV173" s="1158"/>
      <c r="AW173" s="1158"/>
      <c r="AX173" s="1041"/>
      <c r="AY173" s="565"/>
      <c r="AZ173" s="565"/>
      <c r="BA173" s="1158"/>
      <c r="BB173" s="1158"/>
      <c r="BC173" s="1041"/>
      <c r="BD173" s="531"/>
      <c r="BE173" s="565"/>
      <c r="BI173" s="495" t="s">
        <v>248</v>
      </c>
      <c r="BJ173" s="585">
        <f t="shared" ref="BJ173:BL173" si="118">+BJ152+$BL$164</f>
        <v>53914</v>
      </c>
      <c r="BK173" s="585">
        <f t="shared" si="118"/>
        <v>54359</v>
      </c>
      <c r="BL173" s="585">
        <f t="shared" si="118"/>
        <v>55799</v>
      </c>
      <c r="BM173" s="585">
        <f t="shared" si="110"/>
        <v>57473</v>
      </c>
      <c r="BN173" s="585">
        <f t="shared" si="112"/>
        <v>59197</v>
      </c>
      <c r="BO173" s="585">
        <f t="shared" si="113"/>
        <v>60973</v>
      </c>
      <c r="BP173" s="585">
        <f t="shared" si="114"/>
        <v>62802</v>
      </c>
    </row>
    <row r="174" spans="4:68" hidden="1" outlineLevel="1">
      <c r="D174" s="643" t="s">
        <v>241</v>
      </c>
      <c r="F174" s="637"/>
      <c r="G174" s="637"/>
      <c r="H174" s="637"/>
      <c r="I174" s="637"/>
      <c r="J174" s="637"/>
      <c r="K174" s="637"/>
      <c r="L174" s="637"/>
      <c r="M174" s="637"/>
      <c r="N174" s="637"/>
      <c r="O174" s="637"/>
      <c r="P174" s="637"/>
      <c r="Q174" s="637"/>
      <c r="R174" s="637"/>
      <c r="S174" s="930">
        <f t="shared" ref="S174:S186" si="119">SUMIFS(S$122:S$122,V$122:V$122,"100",W$122:W$122,$D174)</f>
        <v>0</v>
      </c>
      <c r="T174" s="639">
        <f t="shared" ref="T174:T186" si="120">IFERROR(ROUND(SUMIFS(T$122:T$122,V$122:V$122,"100",W$122:W$122,$D174)/S174,2),0)</f>
        <v>0</v>
      </c>
      <c r="U174" s="1056"/>
      <c r="X174" s="638">
        <f t="shared" ref="X174:X186" si="121">SUMIFS(X$122:X$122,Z$122:Z$122,"100",AA$122:AA$122,$D174)</f>
        <v>0</v>
      </c>
      <c r="Y174" s="639">
        <f t="shared" ref="Y174:Y186" si="122">IFERROR(ROUND(SUMIFS(Y$122:Y$122,Z$122:Z$122,"100",AA$122:AA$122,$D174)/X174,2),0)</f>
        <v>0</v>
      </c>
      <c r="AB174" s="930">
        <f t="shared" ref="AB174:AB186" si="123">SUMIFS(AB$122:AB$122,AE$122:AE$122,"100",AF$122:AF$122,$D174)</f>
        <v>0</v>
      </c>
      <c r="AC174" s="639">
        <f t="shared" ref="AC174:AC186" si="124">IFERROR(ROUND(SUMIFS(AC$122:AC$122,AE$122:AE$122,"100",AF$122:AF$122,$D174)/AB174,2),0)</f>
        <v>0</v>
      </c>
      <c r="AD174" s="1056"/>
      <c r="AG174" s="930">
        <f t="shared" ref="AG174:AG186" si="125">SUMIFS(AG$122:AG$122,AJ$122:AJ$122,"100",AK$122:AK$122,$D174)</f>
        <v>0</v>
      </c>
      <c r="AH174" s="639">
        <f t="shared" ref="AH174:AH186" si="126">IFERROR(ROUND(SUMIFS(AH$122:AH$122,AJ$122:AJ$122,"100",AK$122:AK$122,$D174)/AG174,2),0)</f>
        <v>0</v>
      </c>
      <c r="AI174" s="1056"/>
      <c r="AL174" s="930">
        <f t="shared" ref="AL174:AL186" si="127">SUMIFS(AL$122:AL$122,AO$122:AO$122,"100",AP$122:AP$122,$D174)</f>
        <v>0</v>
      </c>
      <c r="AM174" s="639">
        <f t="shared" ref="AM174:AM186" si="128">IFERROR(ROUND(SUMIFS(AM$122:AM$122,AO$122:AO$122,"100",AP$122:AP$122,$D174)/AL174,2),0)</f>
        <v>0</v>
      </c>
      <c r="AN174" s="1056"/>
      <c r="AQ174" s="930">
        <f t="shared" ref="AQ174:AQ186" si="129">SUMIFS(AQ$122:AQ$122,AT$122:AT$122,"100",AU$122:AU$122,$D174)</f>
        <v>0</v>
      </c>
      <c r="AR174" s="639">
        <f t="shared" ref="AR174:AR186" si="130">IFERROR(ROUND(SUMIFS(AR$122:AR$122,AT$122:AT$122,"100",AU$122:AU$122,$D174)/AQ174,2),0)</f>
        <v>0</v>
      </c>
      <c r="AS174" s="1056"/>
      <c r="AV174" s="930">
        <f t="shared" ref="AV174:AV186" si="131">SUMIFS(AV$122:AV$122,AY$122:AY$122,"100",AZ$122:AZ$122,$D174)</f>
        <v>0</v>
      </c>
      <c r="AW174" s="639">
        <f t="shared" ref="AW174:AW186" si="132">IFERROR(ROUND(SUMIFS(AW$122:AW$122,AY$122:AY$122,"100",AZ$122:AZ$122,$D174)/AV174,2),0)</f>
        <v>0</v>
      </c>
      <c r="AX174" s="1056"/>
      <c r="BA174" s="930">
        <f t="shared" ref="BA174:BA186" si="133">SUMIFS(BA$122:BA$122,BD$122:BD$122,"100",BE$122:BE$122,$D174)</f>
        <v>0</v>
      </c>
      <c r="BB174" s="639">
        <f t="shared" ref="BB174:BB186" si="134">IFERROR(ROUND(SUMIFS(BB$122:BB$122,BD$122:BD$122,"100",BE$122:BE$122,$D174)/BA174,2),0)</f>
        <v>0</v>
      </c>
      <c r="BC174" s="1056"/>
      <c r="BD174" s="971"/>
      <c r="BI174" s="495" t="s">
        <v>249</v>
      </c>
      <c r="BJ174" s="585">
        <f t="shared" ref="BJ174:BL174" si="135">+BJ153+$BL$164</f>
        <v>55696</v>
      </c>
      <c r="BK174" s="585">
        <f t="shared" si="135"/>
        <v>56109</v>
      </c>
      <c r="BL174" s="585">
        <f t="shared" si="135"/>
        <v>57602</v>
      </c>
      <c r="BM174" s="585">
        <f t="shared" si="110"/>
        <v>59330</v>
      </c>
      <c r="BN174" s="585">
        <f t="shared" si="112"/>
        <v>61110</v>
      </c>
      <c r="BO174" s="585">
        <f t="shared" si="113"/>
        <v>62943</v>
      </c>
      <c r="BP174" s="585">
        <f t="shared" si="114"/>
        <v>64831</v>
      </c>
    </row>
    <row r="175" spans="4:68" hidden="1" outlineLevel="1">
      <c r="D175" s="643" t="s">
        <v>460</v>
      </c>
      <c r="F175" s="637"/>
      <c r="G175" s="637"/>
      <c r="H175" s="637"/>
      <c r="I175" s="637"/>
      <c r="J175" s="637"/>
      <c r="K175" s="637"/>
      <c r="L175" s="637"/>
      <c r="M175" s="637"/>
      <c r="N175" s="637"/>
      <c r="O175" s="637"/>
      <c r="P175" s="637"/>
      <c r="Q175" s="637"/>
      <c r="R175" s="637"/>
      <c r="S175" s="930">
        <f t="shared" si="119"/>
        <v>0</v>
      </c>
      <c r="T175" s="639">
        <f t="shared" si="120"/>
        <v>0</v>
      </c>
      <c r="U175" s="1056"/>
      <c r="X175" s="638">
        <f t="shared" si="121"/>
        <v>0</v>
      </c>
      <c r="Y175" s="639">
        <f t="shared" si="122"/>
        <v>0</v>
      </c>
      <c r="AB175" s="930">
        <f t="shared" si="123"/>
        <v>0</v>
      </c>
      <c r="AC175" s="639">
        <f t="shared" si="124"/>
        <v>0</v>
      </c>
      <c r="AD175" s="1056"/>
      <c r="AG175" s="930">
        <f t="shared" si="125"/>
        <v>0</v>
      </c>
      <c r="AH175" s="639">
        <f t="shared" si="126"/>
        <v>0</v>
      </c>
      <c r="AI175" s="1056"/>
      <c r="AL175" s="930">
        <f t="shared" si="127"/>
        <v>0</v>
      </c>
      <c r="AM175" s="639">
        <f t="shared" si="128"/>
        <v>0</v>
      </c>
      <c r="AN175" s="1056"/>
      <c r="AQ175" s="930">
        <f t="shared" si="129"/>
        <v>0</v>
      </c>
      <c r="AR175" s="639">
        <f t="shared" si="130"/>
        <v>0</v>
      </c>
      <c r="AS175" s="1056"/>
      <c r="AV175" s="930">
        <f t="shared" si="131"/>
        <v>0</v>
      </c>
      <c r="AW175" s="639">
        <f t="shared" si="132"/>
        <v>0</v>
      </c>
      <c r="AX175" s="1056"/>
      <c r="BA175" s="930">
        <f t="shared" si="133"/>
        <v>0</v>
      </c>
      <c r="BB175" s="639">
        <f t="shared" si="134"/>
        <v>0</v>
      </c>
      <c r="BC175" s="1056"/>
      <c r="BD175" s="971"/>
      <c r="BI175" s="495" t="s">
        <v>250</v>
      </c>
      <c r="BJ175" s="585">
        <f t="shared" ref="BJ175:BL175" si="136">+BJ154+$BL$164</f>
        <v>57478</v>
      </c>
      <c r="BK175" s="585">
        <f t="shared" si="136"/>
        <v>57859</v>
      </c>
      <c r="BL175" s="585">
        <f t="shared" si="136"/>
        <v>59404</v>
      </c>
      <c r="BM175" s="585">
        <f t="shared" si="110"/>
        <v>61186</v>
      </c>
      <c r="BN175" s="585">
        <f t="shared" si="112"/>
        <v>63022</v>
      </c>
      <c r="BO175" s="585">
        <f t="shared" si="113"/>
        <v>64913</v>
      </c>
      <c r="BP175" s="585">
        <f t="shared" si="114"/>
        <v>66860</v>
      </c>
    </row>
    <row r="176" spans="4:68" hidden="1" outlineLevel="1">
      <c r="D176" s="643" t="s">
        <v>461</v>
      </c>
      <c r="F176" s="637"/>
      <c r="G176" s="637"/>
      <c r="H176" s="637"/>
      <c r="I176" s="637"/>
      <c r="J176" s="637"/>
      <c r="K176" s="637"/>
      <c r="L176" s="637"/>
      <c r="M176" s="637"/>
      <c r="N176" s="637"/>
      <c r="O176" s="637"/>
      <c r="P176" s="637"/>
      <c r="Q176" s="637"/>
      <c r="R176" s="637"/>
      <c r="S176" s="930">
        <f t="shared" si="119"/>
        <v>0</v>
      </c>
      <c r="T176" s="639">
        <f t="shared" si="120"/>
        <v>0</v>
      </c>
      <c r="U176" s="1056"/>
      <c r="X176" s="638">
        <f t="shared" si="121"/>
        <v>0</v>
      </c>
      <c r="Y176" s="639">
        <f t="shared" si="122"/>
        <v>0</v>
      </c>
      <c r="AB176" s="930">
        <f t="shared" si="123"/>
        <v>0</v>
      </c>
      <c r="AC176" s="639">
        <f t="shared" si="124"/>
        <v>0</v>
      </c>
      <c r="AD176" s="1056"/>
      <c r="AG176" s="930">
        <f t="shared" si="125"/>
        <v>0</v>
      </c>
      <c r="AH176" s="639">
        <f t="shared" si="126"/>
        <v>0</v>
      </c>
      <c r="AI176" s="1056"/>
      <c r="AL176" s="930">
        <f t="shared" si="127"/>
        <v>0</v>
      </c>
      <c r="AM176" s="639">
        <f t="shared" si="128"/>
        <v>0</v>
      </c>
      <c r="AN176" s="1056"/>
      <c r="AQ176" s="930">
        <f t="shared" si="129"/>
        <v>0</v>
      </c>
      <c r="AR176" s="639">
        <f t="shared" si="130"/>
        <v>0</v>
      </c>
      <c r="AS176" s="1056"/>
      <c r="AV176" s="930">
        <f t="shared" si="131"/>
        <v>0</v>
      </c>
      <c r="AW176" s="639">
        <f t="shared" si="132"/>
        <v>0</v>
      </c>
      <c r="AX176" s="1056"/>
      <c r="BA176" s="930">
        <f t="shared" si="133"/>
        <v>0</v>
      </c>
      <c r="BB176" s="639">
        <f t="shared" si="134"/>
        <v>0</v>
      </c>
      <c r="BC176" s="1056"/>
      <c r="BD176" s="971"/>
      <c r="BI176" s="495" t="s">
        <v>440</v>
      </c>
      <c r="BJ176" s="585">
        <f t="shared" ref="BJ176:BL176" si="137">+BJ155+$BL$164</f>
        <v>60592</v>
      </c>
      <c r="BK176" s="585">
        <f t="shared" si="137"/>
        <v>61359</v>
      </c>
      <c r="BL176" s="585">
        <f t="shared" si="137"/>
        <v>63009</v>
      </c>
      <c r="BM176" s="585">
        <f t="shared" si="110"/>
        <v>64899</v>
      </c>
      <c r="BN176" s="585">
        <f t="shared" si="112"/>
        <v>66846</v>
      </c>
      <c r="BO176" s="585">
        <f t="shared" si="113"/>
        <v>68851</v>
      </c>
      <c r="BP176" s="585">
        <f t="shared" si="114"/>
        <v>70917</v>
      </c>
    </row>
    <row r="177" spans="4:68" hidden="1" outlineLevel="1">
      <c r="D177" s="643" t="s">
        <v>246</v>
      </c>
      <c r="F177" s="637"/>
      <c r="G177" s="637"/>
      <c r="H177" s="637"/>
      <c r="I177" s="637"/>
      <c r="J177" s="637"/>
      <c r="K177" s="637"/>
      <c r="L177" s="637"/>
      <c r="M177" s="637"/>
      <c r="N177" s="637"/>
      <c r="O177" s="637"/>
      <c r="P177" s="637"/>
      <c r="Q177" s="637"/>
      <c r="R177" s="637"/>
      <c r="S177" s="930">
        <f t="shared" si="119"/>
        <v>0</v>
      </c>
      <c r="T177" s="639">
        <f t="shared" si="120"/>
        <v>0</v>
      </c>
      <c r="U177" s="1056"/>
      <c r="X177" s="638">
        <f t="shared" si="121"/>
        <v>0</v>
      </c>
      <c r="Y177" s="639">
        <f t="shared" si="122"/>
        <v>0</v>
      </c>
      <c r="AB177" s="930">
        <f t="shared" si="123"/>
        <v>0</v>
      </c>
      <c r="AC177" s="639">
        <f t="shared" si="124"/>
        <v>0</v>
      </c>
      <c r="AD177" s="1056"/>
      <c r="AG177" s="930">
        <f t="shared" si="125"/>
        <v>0</v>
      </c>
      <c r="AH177" s="639">
        <f t="shared" si="126"/>
        <v>0</v>
      </c>
      <c r="AI177" s="1056"/>
      <c r="AL177" s="930">
        <f t="shared" si="127"/>
        <v>0</v>
      </c>
      <c r="AM177" s="639">
        <f t="shared" si="128"/>
        <v>0</v>
      </c>
      <c r="AN177" s="1056"/>
      <c r="AQ177" s="930">
        <f t="shared" si="129"/>
        <v>0</v>
      </c>
      <c r="AR177" s="639">
        <f t="shared" si="130"/>
        <v>0</v>
      </c>
      <c r="AS177" s="1056"/>
      <c r="AV177" s="930">
        <f t="shared" si="131"/>
        <v>0</v>
      </c>
      <c r="AW177" s="639">
        <f t="shared" si="132"/>
        <v>0</v>
      </c>
      <c r="AX177" s="1056"/>
      <c r="BA177" s="930">
        <f t="shared" si="133"/>
        <v>0</v>
      </c>
      <c r="BB177" s="639">
        <f t="shared" si="134"/>
        <v>0</v>
      </c>
      <c r="BC177" s="1056"/>
      <c r="BD177" s="971"/>
      <c r="BI177" s="495" t="s">
        <v>441</v>
      </c>
      <c r="BJ177" s="585">
        <f t="shared" ref="BJ177:BL177" si="138">+BJ156+$BL$164</f>
        <v>62064</v>
      </c>
      <c r="BK177" s="585">
        <f t="shared" si="138"/>
        <v>63359</v>
      </c>
      <c r="BL177" s="585">
        <f t="shared" si="138"/>
        <v>65069</v>
      </c>
      <c r="BM177" s="585">
        <f t="shared" si="110"/>
        <v>67021</v>
      </c>
      <c r="BN177" s="585">
        <f t="shared" si="112"/>
        <v>69032</v>
      </c>
      <c r="BO177" s="585">
        <f t="shared" si="113"/>
        <v>71103</v>
      </c>
      <c r="BP177" s="585">
        <f t="shared" si="114"/>
        <v>73236</v>
      </c>
    </row>
    <row r="178" spans="4:68" hidden="1" outlineLevel="1">
      <c r="D178" s="643" t="s">
        <v>247</v>
      </c>
      <c r="F178" s="637"/>
      <c r="G178" s="637"/>
      <c r="H178" s="637"/>
      <c r="I178" s="637"/>
      <c r="J178" s="637"/>
      <c r="K178" s="637"/>
      <c r="L178" s="637"/>
      <c r="M178" s="637"/>
      <c r="N178" s="637"/>
      <c r="O178" s="637"/>
      <c r="P178" s="637"/>
      <c r="Q178" s="637"/>
      <c r="R178" s="637"/>
      <c r="S178" s="930">
        <f t="shared" si="119"/>
        <v>0</v>
      </c>
      <c r="T178" s="639">
        <f t="shared" si="120"/>
        <v>0</v>
      </c>
      <c r="U178" s="1056"/>
      <c r="X178" s="638">
        <f t="shared" si="121"/>
        <v>0</v>
      </c>
      <c r="Y178" s="639">
        <f t="shared" si="122"/>
        <v>0</v>
      </c>
      <c r="AB178" s="930">
        <f t="shared" si="123"/>
        <v>0</v>
      </c>
      <c r="AC178" s="639">
        <f t="shared" si="124"/>
        <v>0</v>
      </c>
      <c r="AD178" s="1056"/>
      <c r="AG178" s="930">
        <f t="shared" si="125"/>
        <v>0</v>
      </c>
      <c r="AH178" s="639">
        <f t="shared" si="126"/>
        <v>0</v>
      </c>
      <c r="AI178" s="1056"/>
      <c r="AL178" s="930">
        <f t="shared" si="127"/>
        <v>0</v>
      </c>
      <c r="AM178" s="639">
        <f t="shared" si="128"/>
        <v>0</v>
      </c>
      <c r="AN178" s="1056"/>
      <c r="AQ178" s="930">
        <f t="shared" si="129"/>
        <v>0</v>
      </c>
      <c r="AR178" s="639">
        <f t="shared" si="130"/>
        <v>0</v>
      </c>
      <c r="AS178" s="1056"/>
      <c r="AV178" s="930">
        <f t="shared" si="131"/>
        <v>0</v>
      </c>
      <c r="AW178" s="639">
        <f t="shared" si="132"/>
        <v>0</v>
      </c>
      <c r="AX178" s="1056"/>
      <c r="BA178" s="930">
        <f t="shared" si="133"/>
        <v>0</v>
      </c>
      <c r="BB178" s="639">
        <f t="shared" si="134"/>
        <v>0</v>
      </c>
      <c r="BC178" s="1056"/>
      <c r="BD178" s="971"/>
      <c r="BI178" s="495" t="s">
        <v>442</v>
      </c>
      <c r="BJ178" s="585">
        <f t="shared" ref="BJ178:BL178" si="139">+BJ157+$BL$164</f>
        <v>63524</v>
      </c>
      <c r="BK178" s="585">
        <f t="shared" si="139"/>
        <v>65359</v>
      </c>
      <c r="BL178" s="585">
        <f t="shared" si="139"/>
        <v>67129</v>
      </c>
      <c r="BM178" s="585">
        <f t="shared" si="110"/>
        <v>69143</v>
      </c>
      <c r="BN178" s="585">
        <f t="shared" si="112"/>
        <v>71217</v>
      </c>
      <c r="BO178" s="585">
        <f t="shared" si="113"/>
        <v>73354</v>
      </c>
      <c r="BP178" s="585">
        <f t="shared" si="114"/>
        <v>75555</v>
      </c>
    </row>
    <row r="179" spans="4:68" hidden="1" outlineLevel="1">
      <c r="D179" s="643" t="s">
        <v>248</v>
      </c>
      <c r="F179" s="637"/>
      <c r="G179" s="637"/>
      <c r="H179" s="637"/>
      <c r="I179" s="637"/>
      <c r="J179" s="637"/>
      <c r="K179" s="637"/>
      <c r="L179" s="637"/>
      <c r="M179" s="637"/>
      <c r="N179" s="637"/>
      <c r="O179" s="637"/>
      <c r="P179" s="637"/>
      <c r="Q179" s="637"/>
      <c r="R179" s="637"/>
      <c r="S179" s="930">
        <f t="shared" si="119"/>
        <v>1</v>
      </c>
      <c r="T179" s="639">
        <f t="shared" si="120"/>
        <v>61475</v>
      </c>
      <c r="U179" s="1056"/>
      <c r="X179" s="638">
        <f t="shared" si="121"/>
        <v>1</v>
      </c>
      <c r="Y179" s="639">
        <f t="shared" si="122"/>
        <v>61475</v>
      </c>
      <c r="AB179" s="930">
        <f t="shared" si="123"/>
        <v>0</v>
      </c>
      <c r="AC179" s="639">
        <f t="shared" si="124"/>
        <v>0</v>
      </c>
      <c r="AD179" s="1056"/>
      <c r="AG179" s="930">
        <f t="shared" si="125"/>
        <v>0</v>
      </c>
      <c r="AH179" s="639">
        <f t="shared" si="126"/>
        <v>0</v>
      </c>
      <c r="AI179" s="1056"/>
      <c r="AL179" s="930">
        <f t="shared" si="127"/>
        <v>0</v>
      </c>
      <c r="AM179" s="639">
        <f t="shared" si="128"/>
        <v>0</v>
      </c>
      <c r="AN179" s="1056"/>
      <c r="AQ179" s="930">
        <f t="shared" si="129"/>
        <v>0</v>
      </c>
      <c r="AR179" s="639">
        <f t="shared" si="130"/>
        <v>0</v>
      </c>
      <c r="AS179" s="1056"/>
      <c r="AV179" s="930">
        <f t="shared" si="131"/>
        <v>0</v>
      </c>
      <c r="AW179" s="639">
        <f t="shared" si="132"/>
        <v>0</v>
      </c>
      <c r="AX179" s="1056"/>
      <c r="BA179" s="930">
        <f t="shared" si="133"/>
        <v>0</v>
      </c>
      <c r="BB179" s="639">
        <f t="shared" si="134"/>
        <v>0</v>
      </c>
      <c r="BC179" s="1056"/>
      <c r="BD179" s="971"/>
      <c r="BI179" s="495" t="s">
        <v>443</v>
      </c>
      <c r="BJ179" s="585">
        <f t="shared" ref="BJ179:BL179" si="140">+BJ158+$BL$164</f>
        <v>64972</v>
      </c>
      <c r="BK179" s="585">
        <f t="shared" si="140"/>
        <v>67359</v>
      </c>
      <c r="BL179" s="585">
        <f t="shared" si="140"/>
        <v>69189</v>
      </c>
      <c r="BM179" s="585">
        <f t="shared" si="110"/>
        <v>71265</v>
      </c>
      <c r="BN179" s="585">
        <f t="shared" si="112"/>
        <v>73403</v>
      </c>
      <c r="BO179" s="585">
        <f t="shared" si="113"/>
        <v>75605</v>
      </c>
      <c r="BP179" s="585">
        <f t="shared" si="114"/>
        <v>77873</v>
      </c>
    </row>
    <row r="180" spans="4:68" hidden="1" outlineLevel="1">
      <c r="D180" s="643" t="s">
        <v>249</v>
      </c>
      <c r="F180" s="637"/>
      <c r="G180" s="637"/>
      <c r="H180" s="637"/>
      <c r="I180" s="637"/>
      <c r="J180" s="637"/>
      <c r="K180" s="637"/>
      <c r="L180" s="637"/>
      <c r="M180" s="637"/>
      <c r="N180" s="637"/>
      <c r="O180" s="637"/>
      <c r="P180" s="637"/>
      <c r="Q180" s="637"/>
      <c r="R180" s="637"/>
      <c r="S180" s="930">
        <f t="shared" si="119"/>
        <v>0</v>
      </c>
      <c r="T180" s="639">
        <f t="shared" si="120"/>
        <v>0</v>
      </c>
      <c r="U180" s="1056"/>
      <c r="X180" s="638">
        <f t="shared" si="121"/>
        <v>0</v>
      </c>
      <c r="Y180" s="639">
        <f t="shared" si="122"/>
        <v>0</v>
      </c>
      <c r="AB180" s="930">
        <f t="shared" si="123"/>
        <v>1</v>
      </c>
      <c r="AC180" s="639">
        <f t="shared" si="124"/>
        <v>71359</v>
      </c>
      <c r="AD180" s="1056"/>
      <c r="AG180" s="930">
        <f t="shared" si="125"/>
        <v>0</v>
      </c>
      <c r="AH180" s="639">
        <f t="shared" si="126"/>
        <v>0</v>
      </c>
      <c r="AI180" s="1056"/>
      <c r="AL180" s="930">
        <f t="shared" si="127"/>
        <v>0</v>
      </c>
      <c r="AM180" s="639">
        <f t="shared" si="128"/>
        <v>0</v>
      </c>
      <c r="AN180" s="1056"/>
      <c r="AQ180" s="930">
        <f t="shared" si="129"/>
        <v>0</v>
      </c>
      <c r="AR180" s="639">
        <f t="shared" si="130"/>
        <v>0</v>
      </c>
      <c r="AS180" s="1056"/>
      <c r="AV180" s="930">
        <f t="shared" si="131"/>
        <v>0</v>
      </c>
      <c r="AW180" s="639">
        <f t="shared" si="132"/>
        <v>0</v>
      </c>
      <c r="AX180" s="1056"/>
      <c r="BA180" s="930">
        <f t="shared" si="133"/>
        <v>0</v>
      </c>
      <c r="BB180" s="639">
        <f t="shared" si="134"/>
        <v>0</v>
      </c>
      <c r="BC180" s="1056"/>
      <c r="BD180" s="971"/>
      <c r="BI180" s="495" t="s">
        <v>444</v>
      </c>
      <c r="BJ180" s="585"/>
      <c r="BK180" s="585">
        <f>+BK159+$BL$164</f>
        <v>69359</v>
      </c>
      <c r="BL180" s="585">
        <f>+BL159+$BL$164</f>
        <v>71249</v>
      </c>
      <c r="BM180" s="585">
        <f t="shared" si="110"/>
        <v>73386</v>
      </c>
      <c r="BN180" s="585">
        <f t="shared" si="112"/>
        <v>75588</v>
      </c>
      <c r="BO180" s="585">
        <f t="shared" si="113"/>
        <v>77856</v>
      </c>
      <c r="BP180" s="585">
        <f t="shared" si="114"/>
        <v>80192</v>
      </c>
    </row>
    <row r="181" spans="4:68" hidden="1" outlineLevel="1">
      <c r="D181" s="643" t="s">
        <v>250</v>
      </c>
      <c r="F181" s="637"/>
      <c r="G181" s="637"/>
      <c r="H181" s="637"/>
      <c r="I181" s="637"/>
      <c r="J181" s="637"/>
      <c r="K181" s="637"/>
      <c r="L181" s="637"/>
      <c r="M181" s="637"/>
      <c r="N181" s="637"/>
      <c r="O181" s="637"/>
      <c r="P181" s="637"/>
      <c r="Q181" s="637"/>
      <c r="R181" s="637"/>
      <c r="S181" s="930">
        <f t="shared" si="119"/>
        <v>0</v>
      </c>
      <c r="T181" s="639">
        <f t="shared" si="120"/>
        <v>0</v>
      </c>
      <c r="U181" s="1056"/>
      <c r="X181" s="638">
        <f t="shared" si="121"/>
        <v>0</v>
      </c>
      <c r="Y181" s="639">
        <f t="shared" si="122"/>
        <v>0</v>
      </c>
      <c r="AB181" s="930">
        <f t="shared" si="123"/>
        <v>0</v>
      </c>
      <c r="AC181" s="639">
        <f t="shared" si="124"/>
        <v>0</v>
      </c>
      <c r="AD181" s="1056"/>
      <c r="AG181" s="930">
        <f t="shared" si="125"/>
        <v>1</v>
      </c>
      <c r="AH181" s="639">
        <f t="shared" si="126"/>
        <v>73499.77</v>
      </c>
      <c r="AI181" s="1056"/>
      <c r="AL181" s="930">
        <f t="shared" si="127"/>
        <v>0</v>
      </c>
      <c r="AM181" s="639">
        <f t="shared" si="128"/>
        <v>0</v>
      </c>
      <c r="AN181" s="1056"/>
      <c r="AQ181" s="930">
        <f t="shared" si="129"/>
        <v>0</v>
      </c>
      <c r="AR181" s="639">
        <f t="shared" si="130"/>
        <v>0</v>
      </c>
      <c r="AS181" s="1056"/>
      <c r="AV181" s="930">
        <f t="shared" si="131"/>
        <v>0</v>
      </c>
      <c r="AW181" s="639">
        <f t="shared" si="132"/>
        <v>0</v>
      </c>
      <c r="AX181" s="1056"/>
      <c r="BA181" s="930">
        <f t="shared" si="133"/>
        <v>0</v>
      </c>
      <c r="BB181" s="639">
        <f t="shared" si="134"/>
        <v>0</v>
      </c>
      <c r="BC181" s="1056"/>
      <c r="BD181" s="971"/>
      <c r="BI181" s="495"/>
      <c r="BJ181" s="585"/>
      <c r="BK181" s="585"/>
      <c r="BL181" s="585"/>
      <c r="BM181" s="585"/>
      <c r="BN181" s="585"/>
      <c r="BO181" s="585"/>
      <c r="BP181" s="585"/>
    </row>
    <row r="182" spans="4:68" hidden="1" outlineLevel="1">
      <c r="D182" s="643" t="s">
        <v>440</v>
      </c>
      <c r="F182" s="637"/>
      <c r="G182" s="637"/>
      <c r="H182" s="637"/>
      <c r="I182" s="637"/>
      <c r="J182" s="637"/>
      <c r="K182" s="637"/>
      <c r="L182" s="637"/>
      <c r="M182" s="637"/>
      <c r="N182" s="637"/>
      <c r="O182" s="637"/>
      <c r="P182" s="637"/>
      <c r="Q182" s="637"/>
      <c r="R182" s="637"/>
      <c r="S182" s="930">
        <f t="shared" si="119"/>
        <v>0</v>
      </c>
      <c r="T182" s="639">
        <f t="shared" si="120"/>
        <v>0</v>
      </c>
      <c r="U182" s="1056"/>
      <c r="X182" s="638">
        <f t="shared" si="121"/>
        <v>0</v>
      </c>
      <c r="Y182" s="639">
        <f t="shared" si="122"/>
        <v>0</v>
      </c>
      <c r="AB182" s="930">
        <f t="shared" si="123"/>
        <v>0</v>
      </c>
      <c r="AC182" s="639">
        <f t="shared" si="124"/>
        <v>0</v>
      </c>
      <c r="AD182" s="1056"/>
      <c r="AG182" s="930">
        <f t="shared" si="125"/>
        <v>0</v>
      </c>
      <c r="AH182" s="639">
        <f t="shared" si="126"/>
        <v>0</v>
      </c>
      <c r="AI182" s="1056"/>
      <c r="AL182" s="930">
        <f t="shared" si="127"/>
        <v>1</v>
      </c>
      <c r="AM182" s="639">
        <f t="shared" si="128"/>
        <v>75704.759999999995</v>
      </c>
      <c r="AN182" s="1056"/>
      <c r="AQ182" s="930">
        <f t="shared" si="129"/>
        <v>0</v>
      </c>
      <c r="AR182" s="639">
        <f t="shared" si="130"/>
        <v>0</v>
      </c>
      <c r="AS182" s="1056"/>
      <c r="AV182" s="930">
        <f t="shared" si="131"/>
        <v>0</v>
      </c>
      <c r="AW182" s="639">
        <f t="shared" si="132"/>
        <v>0</v>
      </c>
      <c r="AX182" s="1056"/>
      <c r="BA182" s="930">
        <f t="shared" si="133"/>
        <v>0</v>
      </c>
      <c r="BB182" s="639">
        <f t="shared" si="134"/>
        <v>0</v>
      </c>
      <c r="BC182" s="1056"/>
      <c r="BD182" s="971"/>
      <c r="BI182" s="588" t="s">
        <v>340</v>
      </c>
      <c r="BJ182" s="585">
        <v>2000</v>
      </c>
      <c r="BK182" s="585">
        <v>2000</v>
      </c>
      <c r="BL182" s="585">
        <v>2000</v>
      </c>
      <c r="BM182" s="585">
        <v>2000</v>
      </c>
      <c r="BN182" s="585">
        <v>2000</v>
      </c>
      <c r="BO182" s="585">
        <v>2000</v>
      </c>
      <c r="BP182" s="585">
        <v>2000</v>
      </c>
    </row>
    <row r="183" spans="4:68" hidden="1" outlineLevel="1">
      <c r="D183" s="643" t="s">
        <v>441</v>
      </c>
      <c r="F183" s="637"/>
      <c r="G183" s="637"/>
      <c r="H183" s="637"/>
      <c r="I183" s="637"/>
      <c r="J183" s="637"/>
      <c r="K183" s="637"/>
      <c r="L183" s="637"/>
      <c r="M183" s="637"/>
      <c r="N183" s="637"/>
      <c r="O183" s="637"/>
      <c r="P183" s="637"/>
      <c r="Q183" s="637"/>
      <c r="R183" s="637"/>
      <c r="S183" s="930">
        <f t="shared" si="119"/>
        <v>0</v>
      </c>
      <c r="T183" s="639">
        <f t="shared" si="120"/>
        <v>0</v>
      </c>
      <c r="U183" s="1056"/>
      <c r="X183" s="638">
        <f t="shared" si="121"/>
        <v>0</v>
      </c>
      <c r="Y183" s="639">
        <f t="shared" si="122"/>
        <v>0</v>
      </c>
      <c r="AB183" s="930">
        <f t="shared" si="123"/>
        <v>0</v>
      </c>
      <c r="AC183" s="639">
        <f t="shared" si="124"/>
        <v>0</v>
      </c>
      <c r="AD183" s="1056"/>
      <c r="AG183" s="930">
        <f t="shared" si="125"/>
        <v>0</v>
      </c>
      <c r="AH183" s="639">
        <f t="shared" si="126"/>
        <v>0</v>
      </c>
      <c r="AI183" s="1056"/>
      <c r="AL183" s="930">
        <f t="shared" si="127"/>
        <v>0</v>
      </c>
      <c r="AM183" s="639">
        <f t="shared" si="128"/>
        <v>0</v>
      </c>
      <c r="AN183" s="1056"/>
      <c r="AQ183" s="930">
        <f t="shared" si="129"/>
        <v>1</v>
      </c>
      <c r="AR183" s="639">
        <f t="shared" si="130"/>
        <v>77975.91</v>
      </c>
      <c r="AS183" s="1056"/>
      <c r="AV183" s="930">
        <f t="shared" si="131"/>
        <v>0</v>
      </c>
      <c r="AW183" s="639">
        <f t="shared" si="132"/>
        <v>0</v>
      </c>
      <c r="AX183" s="1056"/>
      <c r="BA183" s="930">
        <f t="shared" si="133"/>
        <v>0</v>
      </c>
      <c r="BB183" s="639">
        <f t="shared" si="134"/>
        <v>0</v>
      </c>
      <c r="BC183" s="1056"/>
      <c r="BD183" s="971"/>
      <c r="BI183" s="588" t="s">
        <v>341</v>
      </c>
      <c r="BJ183" s="585">
        <v>3500</v>
      </c>
      <c r="BK183" s="585">
        <v>3500</v>
      </c>
      <c r="BL183" s="585">
        <v>3500</v>
      </c>
      <c r="BM183" s="585">
        <v>3500</v>
      </c>
      <c r="BN183" s="585">
        <v>3500</v>
      </c>
      <c r="BO183" s="585">
        <v>3500</v>
      </c>
      <c r="BP183" s="585">
        <v>3500</v>
      </c>
    </row>
    <row r="184" spans="4:68" hidden="1" outlineLevel="1">
      <c r="D184" s="643" t="s">
        <v>442</v>
      </c>
      <c r="F184" s="637"/>
      <c r="G184" s="637"/>
      <c r="H184" s="637"/>
      <c r="I184" s="637"/>
      <c r="J184" s="637"/>
      <c r="K184" s="637"/>
      <c r="L184" s="637"/>
      <c r="M184" s="637"/>
      <c r="N184" s="637"/>
      <c r="O184" s="637"/>
      <c r="P184" s="637"/>
      <c r="Q184" s="637"/>
      <c r="R184" s="637"/>
      <c r="S184" s="930">
        <f t="shared" si="119"/>
        <v>0</v>
      </c>
      <c r="T184" s="639">
        <f t="shared" si="120"/>
        <v>0</v>
      </c>
      <c r="U184" s="1056"/>
      <c r="X184" s="638">
        <f t="shared" si="121"/>
        <v>0</v>
      </c>
      <c r="Y184" s="639">
        <f t="shared" si="122"/>
        <v>0</v>
      </c>
      <c r="AB184" s="930">
        <f t="shared" si="123"/>
        <v>0</v>
      </c>
      <c r="AC184" s="639">
        <f t="shared" si="124"/>
        <v>0</v>
      </c>
      <c r="AD184" s="1056"/>
      <c r="AG184" s="930">
        <f t="shared" si="125"/>
        <v>0</v>
      </c>
      <c r="AH184" s="639">
        <f t="shared" si="126"/>
        <v>0</v>
      </c>
      <c r="AI184" s="1056"/>
      <c r="AL184" s="930">
        <f t="shared" si="127"/>
        <v>0</v>
      </c>
      <c r="AM184" s="639">
        <f t="shared" si="128"/>
        <v>0</v>
      </c>
      <c r="AN184" s="1056"/>
      <c r="AQ184" s="930">
        <f t="shared" si="129"/>
        <v>0</v>
      </c>
      <c r="AR184" s="639">
        <f t="shared" si="130"/>
        <v>0</v>
      </c>
      <c r="AS184" s="1056"/>
      <c r="AV184" s="930">
        <f t="shared" si="131"/>
        <v>1</v>
      </c>
      <c r="AW184" s="639">
        <f t="shared" si="132"/>
        <v>80315.179999999993</v>
      </c>
      <c r="AX184" s="1056"/>
      <c r="BA184" s="930">
        <f t="shared" si="133"/>
        <v>0</v>
      </c>
      <c r="BB184" s="639">
        <f t="shared" si="134"/>
        <v>0</v>
      </c>
      <c r="BC184" s="1056"/>
      <c r="BD184" s="971"/>
      <c r="BI184" s="495" t="s">
        <v>420</v>
      </c>
      <c r="BJ184" s="585">
        <v>3000</v>
      </c>
      <c r="BK184" s="585">
        <v>3000</v>
      </c>
      <c r="BL184" s="585">
        <v>3000</v>
      </c>
      <c r="BM184" s="585">
        <v>3000</v>
      </c>
      <c r="BN184" s="585">
        <v>3000</v>
      </c>
      <c r="BO184" s="585">
        <v>3000</v>
      </c>
      <c r="BP184" s="585">
        <v>3000</v>
      </c>
    </row>
    <row r="185" spans="4:68" hidden="1" outlineLevel="1">
      <c r="D185" s="643" t="s">
        <v>443</v>
      </c>
      <c r="F185" s="637"/>
      <c r="G185" s="637"/>
      <c r="H185" s="637"/>
      <c r="I185" s="637"/>
      <c r="J185" s="637"/>
      <c r="K185" s="637"/>
      <c r="L185" s="637"/>
      <c r="M185" s="637"/>
      <c r="N185" s="637"/>
      <c r="O185" s="637"/>
      <c r="P185" s="637"/>
      <c r="Q185" s="637"/>
      <c r="R185" s="637"/>
      <c r="S185" s="930">
        <f t="shared" si="119"/>
        <v>0</v>
      </c>
      <c r="T185" s="639">
        <f t="shared" si="120"/>
        <v>0</v>
      </c>
      <c r="U185" s="1056"/>
      <c r="X185" s="638">
        <f t="shared" si="121"/>
        <v>0</v>
      </c>
      <c r="Y185" s="639">
        <f t="shared" si="122"/>
        <v>0</v>
      </c>
      <c r="AB185" s="930">
        <f t="shared" si="123"/>
        <v>0</v>
      </c>
      <c r="AC185" s="639">
        <f t="shared" si="124"/>
        <v>0</v>
      </c>
      <c r="AD185" s="1056"/>
      <c r="AG185" s="930">
        <f t="shared" si="125"/>
        <v>0</v>
      </c>
      <c r="AH185" s="639">
        <f t="shared" si="126"/>
        <v>0</v>
      </c>
      <c r="AI185" s="1056"/>
      <c r="AL185" s="930">
        <f t="shared" si="127"/>
        <v>0</v>
      </c>
      <c r="AM185" s="639">
        <f t="shared" si="128"/>
        <v>0</v>
      </c>
      <c r="AN185" s="1056"/>
      <c r="AQ185" s="930">
        <f t="shared" si="129"/>
        <v>0</v>
      </c>
      <c r="AR185" s="639">
        <f t="shared" si="130"/>
        <v>0</v>
      </c>
      <c r="AS185" s="1056"/>
      <c r="AV185" s="930">
        <f t="shared" si="131"/>
        <v>0</v>
      </c>
      <c r="AW185" s="639">
        <f t="shared" si="132"/>
        <v>0</v>
      </c>
      <c r="AX185" s="1056"/>
      <c r="BA185" s="930">
        <f t="shared" si="133"/>
        <v>1</v>
      </c>
      <c r="BB185" s="639">
        <f t="shared" si="134"/>
        <v>82724.639999999999</v>
      </c>
      <c r="BC185" s="1056"/>
      <c r="BD185" s="971"/>
      <c r="BI185" s="1146" t="s">
        <v>1285</v>
      </c>
      <c r="BJ185" s="1146"/>
      <c r="BK185" s="1146"/>
      <c r="BL185" s="1146"/>
      <c r="BM185" s="1146"/>
      <c r="BN185" s="1146"/>
      <c r="BO185" s="1146"/>
      <c r="BP185" s="1146"/>
    </row>
    <row r="186" spans="4:68" hidden="1" outlineLevel="1">
      <c r="D186" s="643" t="s">
        <v>444</v>
      </c>
      <c r="F186" s="637"/>
      <c r="G186" s="637"/>
      <c r="H186" s="637"/>
      <c r="I186" s="637"/>
      <c r="J186" s="637"/>
      <c r="K186" s="637"/>
      <c r="L186" s="637"/>
      <c r="M186" s="637"/>
      <c r="N186" s="637"/>
      <c r="O186" s="637"/>
      <c r="P186" s="637"/>
      <c r="Q186" s="637"/>
      <c r="R186" s="637"/>
      <c r="S186" s="930">
        <f t="shared" si="119"/>
        <v>0</v>
      </c>
      <c r="T186" s="639">
        <f t="shared" si="120"/>
        <v>0</v>
      </c>
      <c r="U186" s="1056"/>
      <c r="X186" s="638">
        <f t="shared" si="121"/>
        <v>0</v>
      </c>
      <c r="Y186" s="639">
        <f t="shared" si="122"/>
        <v>0</v>
      </c>
      <c r="AB186" s="930">
        <f t="shared" si="123"/>
        <v>0</v>
      </c>
      <c r="AC186" s="639">
        <f t="shared" si="124"/>
        <v>0</v>
      </c>
      <c r="AD186" s="1056"/>
      <c r="AG186" s="930">
        <f t="shared" si="125"/>
        <v>0</v>
      </c>
      <c r="AH186" s="639">
        <f t="shared" si="126"/>
        <v>0</v>
      </c>
      <c r="AI186" s="1056"/>
      <c r="AL186" s="930">
        <f t="shared" si="127"/>
        <v>0</v>
      </c>
      <c r="AM186" s="639">
        <f t="shared" si="128"/>
        <v>0</v>
      </c>
      <c r="AN186" s="1056"/>
      <c r="AQ186" s="930">
        <f t="shared" si="129"/>
        <v>0</v>
      </c>
      <c r="AR186" s="639">
        <f t="shared" si="130"/>
        <v>0</v>
      </c>
      <c r="AS186" s="1056"/>
      <c r="AV186" s="930">
        <f t="shared" si="131"/>
        <v>0</v>
      </c>
      <c r="AW186" s="639">
        <f t="shared" si="132"/>
        <v>0</v>
      </c>
      <c r="AX186" s="1056"/>
      <c r="BA186" s="930">
        <f t="shared" si="133"/>
        <v>0</v>
      </c>
      <c r="BB186" s="639">
        <f t="shared" si="134"/>
        <v>0</v>
      </c>
      <c r="BC186" s="1056"/>
      <c r="BD186" s="971"/>
      <c r="BI186" s="495"/>
      <c r="BJ186" s="566" t="s">
        <v>890</v>
      </c>
      <c r="BK186" s="566" t="s">
        <v>343</v>
      </c>
      <c r="BL186" s="566" t="s">
        <v>344</v>
      </c>
      <c r="BM186" s="566" t="s">
        <v>345</v>
      </c>
      <c r="BN186" s="566" t="s">
        <v>346</v>
      </c>
      <c r="BO186" s="566" t="s">
        <v>347</v>
      </c>
      <c r="BP186" s="566" t="s">
        <v>348</v>
      </c>
    </row>
    <row r="187" spans="4:68" hidden="1" outlineLevel="1">
      <c r="F187" s="637"/>
      <c r="G187" s="637"/>
      <c r="H187" s="637"/>
      <c r="I187" s="637"/>
      <c r="J187" s="637"/>
      <c r="K187" s="637"/>
      <c r="L187" s="637"/>
      <c r="M187" s="637"/>
      <c r="N187" s="637"/>
      <c r="O187" s="637"/>
      <c r="P187" s="637"/>
      <c r="Q187" s="637"/>
      <c r="R187" s="637"/>
      <c r="BI187" s="495"/>
      <c r="BJ187" s="495" t="s">
        <v>421</v>
      </c>
      <c r="BK187" s="495" t="s">
        <v>422</v>
      </c>
      <c r="BL187" s="495" t="s">
        <v>423</v>
      </c>
      <c r="BM187" s="495" t="s">
        <v>439</v>
      </c>
      <c r="BN187" s="495" t="s">
        <v>871</v>
      </c>
      <c r="BO187" s="495" t="s">
        <v>1212</v>
      </c>
      <c r="BP187" s="495" t="s">
        <v>1297</v>
      </c>
    </row>
    <row r="188" spans="4:68" hidden="1" outlineLevel="1">
      <c r="D188" t="s">
        <v>334</v>
      </c>
      <c r="S188" s="930">
        <f>COUNTIFS($I$122:$I$122,"Yes",S$122:S$122,"&gt;0")</f>
        <v>1</v>
      </c>
      <c r="T188" s="640"/>
      <c r="U188" s="1056"/>
      <c r="X188" s="638">
        <f>COUNTIFS($I$122:$I$122,"Yes",X$122:X$122,"&gt;0")</f>
        <v>1</v>
      </c>
      <c r="Y188" s="640"/>
      <c r="AB188" s="930">
        <f>COUNTIFS($I$122:$I$122,"Yes",AB$122:AB$122,"&gt;0")</f>
        <v>1</v>
      </c>
      <c r="AC188" s="640"/>
      <c r="AD188" s="1056"/>
      <c r="AG188" s="930">
        <f>COUNTIFS($I$122:$I$122,"Yes",AG$122:AG$122,"&gt;0")</f>
        <v>1</v>
      </c>
      <c r="AH188" s="640"/>
      <c r="AI188" s="1056"/>
      <c r="AL188" s="930">
        <f>COUNTIFS($I$122:$I$122,"Yes",AL$122:AL$122,"&gt;0")</f>
        <v>1</v>
      </c>
      <c r="AM188" s="640"/>
      <c r="AN188" s="1056"/>
      <c r="AQ188" s="930">
        <f>COUNTIFS($I$122:$I$122,"Yes",AQ$122:AQ$122,"&gt;0")</f>
        <v>1</v>
      </c>
      <c r="AR188" s="640"/>
      <c r="AS188" s="1056"/>
      <c r="AV188" s="930">
        <f>COUNTIFS($I$122:$I$122,"Yes",AV$122:AV$122,"&gt;0")</f>
        <v>1</v>
      </c>
      <c r="AW188" s="640"/>
      <c r="AX188" s="1056"/>
      <c r="BA188" s="930">
        <f>COUNTIFS($I$122:$I$122,"Yes",BA$122:BA$122,"&gt;0")</f>
        <v>1</v>
      </c>
      <c r="BB188" s="640"/>
      <c r="BC188" s="1056"/>
      <c r="BD188" s="971"/>
      <c r="BI188" s="495" t="s">
        <v>241</v>
      </c>
      <c r="BJ188" s="585">
        <f t="shared" ref="BJ188:BO188" si="141">+BJ168</f>
        <v>47477</v>
      </c>
      <c r="BK188" s="585">
        <f t="shared" si="141"/>
        <v>47859</v>
      </c>
      <c r="BL188" s="585">
        <f t="shared" si="141"/>
        <v>49104</v>
      </c>
      <c r="BM188" s="585">
        <f t="shared" si="141"/>
        <v>50577</v>
      </c>
      <c r="BN188" s="585">
        <f t="shared" si="141"/>
        <v>52094</v>
      </c>
      <c r="BO188" s="585">
        <f t="shared" si="141"/>
        <v>53657</v>
      </c>
      <c r="BP188" s="585">
        <f t="shared" ref="BP188:BP198" si="142">+BP168</f>
        <v>55267</v>
      </c>
    </row>
    <row r="189" spans="4:68" hidden="1" outlineLevel="1">
      <c r="D189" t="s">
        <v>335</v>
      </c>
      <c r="S189" s="930">
        <f>COUNTIFS($J$122:$J$122,"Yes",S$122:S$122,"&gt;0")</f>
        <v>1</v>
      </c>
      <c r="T189" s="640"/>
      <c r="U189" s="1056"/>
      <c r="X189" s="638">
        <f>COUNTIFS($J$122:$J$122,"Yes",X$122:X$122,"&gt;0")</f>
        <v>1</v>
      </c>
      <c r="Y189" s="640"/>
      <c r="AB189" s="930">
        <f>COUNTIFS($J$122:$J$122,"Yes",AB$122:AB$122,"&gt;0")</f>
        <v>1</v>
      </c>
      <c r="AC189" s="640"/>
      <c r="AD189" s="1056"/>
      <c r="AG189" s="930">
        <f>COUNTIFS($J$122:$J$122,"Yes",AG$122:AG$122,"&gt;0")</f>
        <v>1</v>
      </c>
      <c r="AH189" s="640"/>
      <c r="AI189" s="1056"/>
      <c r="AL189" s="930">
        <f>COUNTIFS($J$122:$J$122,"Yes",AL$122:AL$122,"&gt;0")</f>
        <v>1</v>
      </c>
      <c r="AM189" s="640"/>
      <c r="AN189" s="1056"/>
      <c r="AQ189" s="930">
        <f>COUNTIFS($J$122:$J$122,"Yes",AQ$122:AQ$122,"&gt;0")</f>
        <v>1</v>
      </c>
      <c r="AR189" s="640"/>
      <c r="AS189" s="1056"/>
      <c r="AV189" s="930">
        <f>COUNTIFS($J$122:$J$122,"Yes",AV$122:AV$122,"&gt;0")</f>
        <v>1</v>
      </c>
      <c r="AW189" s="640"/>
      <c r="AX189" s="1056"/>
      <c r="BA189" s="930">
        <f>COUNTIFS($J$122:$J$122,"Yes",BA$122:BA$122,"&gt;0")</f>
        <v>1</v>
      </c>
      <c r="BB189" s="640"/>
      <c r="BC189" s="1056"/>
      <c r="BD189" s="971"/>
      <c r="BI189" s="495" t="s">
        <v>460</v>
      </c>
      <c r="BJ189" s="585">
        <f t="shared" ref="BJ189:BO189" si="143">+BJ169</f>
        <v>48347</v>
      </c>
      <c r="BK189" s="585">
        <f t="shared" si="143"/>
        <v>48859</v>
      </c>
      <c r="BL189" s="585">
        <f t="shared" si="143"/>
        <v>50134</v>
      </c>
      <c r="BM189" s="585">
        <f t="shared" si="143"/>
        <v>51638</v>
      </c>
      <c r="BN189" s="585">
        <f t="shared" si="143"/>
        <v>53187</v>
      </c>
      <c r="BO189" s="585">
        <f t="shared" si="143"/>
        <v>54783</v>
      </c>
      <c r="BP189" s="585">
        <f t="shared" si="142"/>
        <v>56426</v>
      </c>
    </row>
    <row r="190" spans="4:68" hidden="1" outlineLevel="1">
      <c r="D190" t="s">
        <v>401</v>
      </c>
      <c r="S190" s="930">
        <f>COUNTIFS($K$122:$K$122,"Yes",S$122:S$122,"&gt;0")</f>
        <v>0</v>
      </c>
      <c r="T190" s="640"/>
      <c r="U190" s="1056"/>
      <c r="X190" s="638">
        <f>COUNTIFS($K$122:$K$122,"Yes",X$122:X$122,"&gt;0")</f>
        <v>0</v>
      </c>
      <c r="Y190" s="640"/>
      <c r="AB190" s="930">
        <f>COUNTIFS($K$122:$K$122,"Yes",AB$122:AB$122,"&gt;0")</f>
        <v>0</v>
      </c>
      <c r="AC190" s="640"/>
      <c r="AD190" s="1056"/>
      <c r="AG190" s="930">
        <f>COUNTIFS($K$122:$K$122,"Yes",AG$122:AG$122,"&gt;0")</f>
        <v>0</v>
      </c>
      <c r="AH190" s="640"/>
      <c r="AI190" s="1056"/>
      <c r="AL190" s="930">
        <f>COUNTIFS($K$122:$K$122,"Yes",AL$122:AL$122,"&gt;0")</f>
        <v>0</v>
      </c>
      <c r="AM190" s="640"/>
      <c r="AN190" s="1056"/>
      <c r="AQ190" s="930">
        <f>COUNTIFS($K$122:$K$122,"Yes",AQ$122:AQ$122,"&gt;0")</f>
        <v>0</v>
      </c>
      <c r="AR190" s="640"/>
      <c r="AS190" s="1056"/>
      <c r="AV190" s="930">
        <f>COUNTIFS($K$122:$K$122,"Yes",AV$122:AV$122,"&gt;0")</f>
        <v>0</v>
      </c>
      <c r="AW190" s="640"/>
      <c r="AX190" s="1056"/>
      <c r="BA190" s="930">
        <f>COUNTIFS($K$122:$K$122,"Yes",BA$122:BA$122,"&gt;0")</f>
        <v>0</v>
      </c>
      <c r="BB190" s="640"/>
      <c r="BC190" s="1056"/>
      <c r="BD190" s="971"/>
      <c r="BI190" s="495" t="s">
        <v>461</v>
      </c>
      <c r="BJ190" s="585">
        <f t="shared" ref="BJ190:BO190" si="144">+BJ170</f>
        <v>49219</v>
      </c>
      <c r="BK190" s="585">
        <f t="shared" si="144"/>
        <v>49859</v>
      </c>
      <c r="BL190" s="585">
        <f t="shared" si="144"/>
        <v>51164</v>
      </c>
      <c r="BM190" s="585">
        <f t="shared" si="144"/>
        <v>52699</v>
      </c>
      <c r="BN190" s="585">
        <f t="shared" si="144"/>
        <v>54280</v>
      </c>
      <c r="BO190" s="585">
        <f t="shared" si="144"/>
        <v>55908</v>
      </c>
      <c r="BP190" s="585">
        <f t="shared" si="142"/>
        <v>57585</v>
      </c>
    </row>
    <row r="191" spans="4:68" hidden="1" outlineLevel="1">
      <c r="F191" s="459" t="s">
        <v>308</v>
      </c>
      <c r="G191" s="459"/>
      <c r="H191" s="459"/>
      <c r="I191" s="459"/>
      <c r="J191" s="459"/>
      <c r="K191" s="459"/>
      <c r="L191" s="459"/>
      <c r="M191" s="459"/>
      <c r="N191" s="459"/>
      <c r="O191" s="459"/>
      <c r="P191" s="459"/>
      <c r="Q191" s="459"/>
      <c r="R191" s="459"/>
      <c r="S191" s="933">
        <f>SUM(S174:S186)</f>
        <v>1</v>
      </c>
      <c r="T191" s="460">
        <f>SUMPRODUCT(S174:S190,T174:T190)</f>
        <v>61475</v>
      </c>
      <c r="U191" s="1057"/>
      <c r="V191" s="962"/>
      <c r="W191" s="962"/>
      <c r="X191" s="254">
        <f>SUM(X174:X186)</f>
        <v>1</v>
      </c>
      <c r="Y191" s="460">
        <f>SUMPRODUCT(X174:X190,Y174:Y190)</f>
        <v>61475</v>
      </c>
      <c r="Z191" s="479"/>
      <c r="AA191" s="479"/>
      <c r="AB191" s="933">
        <f>SUM(AB174:AB186)</f>
        <v>1</v>
      </c>
      <c r="AC191" s="460">
        <f>SUMPRODUCT(AB174:AB190,AC174:AC190)</f>
        <v>71359</v>
      </c>
      <c r="AD191" s="1057"/>
      <c r="AE191" s="962"/>
      <c r="AF191" s="998"/>
      <c r="AG191" s="933">
        <f>SUM(AG174:AG186)</f>
        <v>1</v>
      </c>
      <c r="AH191" s="460">
        <f>SUMPRODUCT(AG174:AG190,AH174:AH190)</f>
        <v>73499.77</v>
      </c>
      <c r="AI191" s="1057"/>
      <c r="AJ191" s="962"/>
      <c r="AK191" s="962"/>
      <c r="AL191" s="933">
        <f>SUM(AL174:AL186)</f>
        <v>1</v>
      </c>
      <c r="AM191" s="460">
        <f>SUMPRODUCT(AL174:AL190,AM174:AM190)</f>
        <v>75704.759999999995</v>
      </c>
      <c r="AN191" s="1057"/>
      <c r="AO191" s="962"/>
      <c r="AP191" s="962"/>
      <c r="AQ191" s="933">
        <f>SUM(AQ174:AQ186)</f>
        <v>1</v>
      </c>
      <c r="AR191" s="460">
        <f>SUMPRODUCT(AQ174:AQ190,AR174:AR190)</f>
        <v>77975.91</v>
      </c>
      <c r="AS191" s="1057"/>
      <c r="AT191" s="962"/>
      <c r="AU191" s="962"/>
      <c r="AV191" s="933">
        <f>SUM(AV174:AV186)</f>
        <v>1</v>
      </c>
      <c r="AW191" s="460">
        <f>SUMPRODUCT(AV174:AV190,AW174:AW190)</f>
        <v>80315.179999999993</v>
      </c>
      <c r="AX191" s="1057"/>
      <c r="AY191" s="962"/>
      <c r="AZ191" s="962"/>
      <c r="BA191" s="933">
        <f>SUM(BA174:BA186)</f>
        <v>1</v>
      </c>
      <c r="BB191" s="460">
        <f>SUMPRODUCT(BA174:BA190,BB174:BB190)</f>
        <v>82724.639999999999</v>
      </c>
      <c r="BC191" s="1057"/>
      <c r="BD191" s="998"/>
      <c r="BE191" s="962"/>
      <c r="BI191" s="495" t="s">
        <v>246</v>
      </c>
      <c r="BJ191" s="585">
        <f t="shared" ref="BJ191:BO191" si="145">+BJ171</f>
        <v>50349</v>
      </c>
      <c r="BK191" s="585">
        <f t="shared" si="145"/>
        <v>50859</v>
      </c>
      <c r="BL191" s="585">
        <f t="shared" si="145"/>
        <v>52194</v>
      </c>
      <c r="BM191" s="585">
        <f t="shared" si="145"/>
        <v>53760</v>
      </c>
      <c r="BN191" s="585">
        <f t="shared" si="145"/>
        <v>55373</v>
      </c>
      <c r="BO191" s="585">
        <f t="shared" si="145"/>
        <v>57034</v>
      </c>
      <c r="BP191" s="585">
        <f t="shared" si="142"/>
        <v>58745</v>
      </c>
    </row>
    <row r="192" spans="4:68" hidden="1" outlineLevel="1">
      <c r="BI192" s="495" t="s">
        <v>247</v>
      </c>
      <c r="BJ192" s="585">
        <f t="shared" ref="BJ192:BO192" si="146">+BJ172</f>
        <v>52132</v>
      </c>
      <c r="BK192" s="585">
        <f t="shared" si="146"/>
        <v>52609</v>
      </c>
      <c r="BL192" s="585">
        <f t="shared" si="146"/>
        <v>53997</v>
      </c>
      <c r="BM192" s="585">
        <f t="shared" si="146"/>
        <v>55617</v>
      </c>
      <c r="BN192" s="585">
        <f t="shared" si="146"/>
        <v>57286</v>
      </c>
      <c r="BO192" s="585">
        <f t="shared" si="146"/>
        <v>59005</v>
      </c>
      <c r="BP192" s="585">
        <f t="shared" si="142"/>
        <v>60775</v>
      </c>
    </row>
    <row r="193" spans="4:68" ht="15" hidden="1" outlineLevel="1" thickBot="1">
      <c r="D193" s="250" t="s">
        <v>917</v>
      </c>
      <c r="S193" s="934">
        <f>SUMIF(V128:V140,100,S128:S140)</f>
        <v>7.25</v>
      </c>
      <c r="T193" s="465">
        <f>SUMIF(V128:V140,100,T128:T140)</f>
        <v>168782</v>
      </c>
      <c r="U193" s="1058"/>
      <c r="V193" s="963"/>
      <c r="W193" s="983"/>
      <c r="X193" s="464">
        <f>SUMIF(Z128:Z140,100,X128:X140)</f>
        <v>7.25</v>
      </c>
      <c r="Y193" s="465">
        <f>SUMIF(Z128:Z140,100,Y128:Y140)</f>
        <v>168782</v>
      </c>
      <c r="Z193" s="473"/>
      <c r="AA193" s="473"/>
      <c r="AB193" s="934">
        <f>SUMIF(AE128:AE140,100,AB128:AB140)</f>
        <v>8.1</v>
      </c>
      <c r="AC193" s="465">
        <f>SUMIF(AE128:AE140,100,AC128:AC140)</f>
        <v>198987.5</v>
      </c>
      <c r="AD193" s="1058"/>
      <c r="AE193" s="963"/>
      <c r="AF193" s="983"/>
      <c r="AG193" s="934">
        <f>SUMIF(AJ128:AJ140,100,AG128:AG140)</f>
        <v>12.1</v>
      </c>
      <c r="AH193" s="465">
        <f>SUMIF(AJ128:AJ140,100,AH128:AH140)</f>
        <v>285917</v>
      </c>
      <c r="AI193" s="1058"/>
      <c r="AJ193" s="963"/>
      <c r="AK193" s="963"/>
      <c r="AL193" s="934">
        <f>SUMIF(AO128:AO140,100,AL128:AL140)</f>
        <v>12.1</v>
      </c>
      <c r="AM193" s="465">
        <f>SUMIF(AO128:AO140,100,AM128:AM140)</f>
        <v>294495</v>
      </c>
      <c r="AN193" s="1058"/>
      <c r="AO193" s="963"/>
      <c r="AP193" s="963"/>
      <c r="AQ193" s="934">
        <f>SUMIF(AT128:AT140,100,AQ128:AQ140)</f>
        <v>12.1</v>
      </c>
      <c r="AR193" s="465">
        <f>SUMIF(AT128:AT140,100,AR128:AR140)</f>
        <v>303328</v>
      </c>
      <c r="AS193" s="1058"/>
      <c r="AT193" s="963"/>
      <c r="AU193" s="963"/>
      <c r="AV193" s="934">
        <f>SUMIF(AY128:AY140,100,AV128:AV140)</f>
        <v>12.1</v>
      </c>
      <c r="AW193" s="465">
        <f>SUMIF(AY128:AY140,100,AW128:AW140)</f>
        <v>312425</v>
      </c>
      <c r="AX193" s="1058"/>
      <c r="AY193" s="963"/>
      <c r="AZ193" s="963"/>
      <c r="BA193" s="934">
        <f>SUMIF(BD128:BD140,100,BA128:BA140)</f>
        <v>12.1</v>
      </c>
      <c r="BB193" s="465">
        <f>SUMIF(BD128:BD140,100,BB128:BB140)</f>
        <v>321796</v>
      </c>
      <c r="BC193" s="1071"/>
      <c r="BI193" s="495" t="s">
        <v>248</v>
      </c>
      <c r="BJ193" s="585">
        <f t="shared" ref="BJ193:BO193" si="147">+BJ173</f>
        <v>53914</v>
      </c>
      <c r="BK193" s="585">
        <f t="shared" si="147"/>
        <v>54359</v>
      </c>
      <c r="BL193" s="585">
        <f t="shared" si="147"/>
        <v>55799</v>
      </c>
      <c r="BM193" s="585">
        <f t="shared" si="147"/>
        <v>57473</v>
      </c>
      <c r="BN193" s="585">
        <f t="shared" si="147"/>
        <v>59197</v>
      </c>
      <c r="BO193" s="585">
        <f t="shared" si="147"/>
        <v>60973</v>
      </c>
      <c r="BP193" s="585">
        <f t="shared" si="142"/>
        <v>62802</v>
      </c>
    </row>
    <row r="194" spans="4:68" ht="15" collapsed="1" thickBot="1">
      <c r="D194" s="481"/>
      <c r="F194" s="61"/>
      <c r="G194" s="61"/>
      <c r="H194" s="61"/>
      <c r="I194" s="61"/>
      <c r="J194" s="61"/>
      <c r="K194" s="61"/>
      <c r="L194" s="61"/>
      <c r="M194" s="61"/>
      <c r="N194" s="61"/>
      <c r="O194" s="61"/>
      <c r="P194" s="61"/>
      <c r="Q194" s="61"/>
      <c r="R194" s="61"/>
      <c r="T194" s="61"/>
      <c r="V194" s="964"/>
      <c r="W194" s="964"/>
      <c r="Y194" s="61"/>
      <c r="Z194" s="469"/>
      <c r="AA194" s="469"/>
      <c r="AC194" s="61"/>
      <c r="AE194" s="988"/>
      <c r="AF194" s="964"/>
      <c r="AH194" s="61"/>
      <c r="AJ194" s="988"/>
      <c r="AK194" s="988"/>
      <c r="AM194" s="61"/>
      <c r="AO194" s="988"/>
      <c r="AP194" s="988"/>
      <c r="AR194" s="61"/>
      <c r="AT194" s="988"/>
      <c r="AU194" s="988"/>
      <c r="AW194" s="61"/>
      <c r="AY194" s="988"/>
      <c r="AZ194" s="988"/>
      <c r="BB194" s="61"/>
      <c r="BD194" s="964"/>
      <c r="BE194" s="988"/>
      <c r="BI194" s="495" t="s">
        <v>249</v>
      </c>
      <c r="BJ194" s="585">
        <f t="shared" ref="BJ194:BO194" si="148">+BJ174</f>
        <v>55696</v>
      </c>
      <c r="BK194" s="585">
        <f t="shared" si="148"/>
        <v>56109</v>
      </c>
      <c r="BL194" s="585">
        <f t="shared" si="148"/>
        <v>57602</v>
      </c>
      <c r="BM194" s="585">
        <f t="shared" si="148"/>
        <v>59330</v>
      </c>
      <c r="BN194" s="585">
        <f t="shared" si="148"/>
        <v>61110</v>
      </c>
      <c r="BO194" s="585">
        <f t="shared" si="148"/>
        <v>62943</v>
      </c>
      <c r="BP194" s="585">
        <f t="shared" si="142"/>
        <v>64831</v>
      </c>
    </row>
    <row r="195" spans="4:68" ht="15" thickBot="1">
      <c r="D195" s="635" t="s">
        <v>913</v>
      </c>
      <c r="E195" s="636"/>
      <c r="F195" s="636"/>
      <c r="G195" s="636"/>
      <c r="H195" s="636"/>
      <c r="I195" s="636"/>
      <c r="J195" s="636"/>
      <c r="K195" s="636"/>
      <c r="L195" s="636"/>
      <c r="M195" s="636"/>
      <c r="N195" s="636"/>
      <c r="O195" s="636"/>
      <c r="P195" s="636"/>
      <c r="Q195" s="636"/>
      <c r="R195" s="636"/>
      <c r="S195" s="908"/>
      <c r="T195" s="636"/>
      <c r="U195" s="1027"/>
      <c r="V195" s="908"/>
      <c r="W195" s="908"/>
      <c r="X195" s="636"/>
      <c r="Y195" s="636"/>
      <c r="Z195" s="636"/>
      <c r="AA195" s="636"/>
      <c r="AB195" s="908"/>
      <c r="AC195" s="636"/>
      <c r="AD195" s="1027"/>
      <c r="AE195" s="908"/>
      <c r="AF195" s="908"/>
      <c r="AG195" s="908"/>
      <c r="AH195" s="636"/>
      <c r="AI195" s="1027"/>
      <c r="AJ195" s="908"/>
      <c r="AK195" s="908"/>
      <c r="AL195" s="908"/>
      <c r="AM195" s="636"/>
      <c r="AN195" s="1027"/>
      <c r="AO195" s="908"/>
      <c r="AP195" s="908"/>
      <c r="AQ195" s="908"/>
      <c r="AR195" s="636"/>
      <c r="AS195" s="1027"/>
      <c r="AT195" s="908"/>
      <c r="AU195" s="908"/>
      <c r="AV195" s="908"/>
      <c r="AW195" s="636"/>
      <c r="AX195" s="1027"/>
      <c r="AY195" s="908"/>
      <c r="AZ195" s="908"/>
      <c r="BA195" s="908"/>
      <c r="BB195" s="636"/>
      <c r="BC195" s="1027"/>
      <c r="BD195" s="908"/>
      <c r="BE195" s="1014"/>
      <c r="BI195" s="495" t="s">
        <v>250</v>
      </c>
      <c r="BJ195" s="585">
        <f t="shared" ref="BJ195:BO195" si="149">+BJ175</f>
        <v>57478</v>
      </c>
      <c r="BK195" s="585">
        <f t="shared" si="149"/>
        <v>57859</v>
      </c>
      <c r="BL195" s="585">
        <f t="shared" si="149"/>
        <v>59404</v>
      </c>
      <c r="BM195" s="585">
        <f t="shared" si="149"/>
        <v>61186</v>
      </c>
      <c r="BN195" s="585">
        <f t="shared" si="149"/>
        <v>63022</v>
      </c>
      <c r="BO195" s="585">
        <f t="shared" si="149"/>
        <v>64913</v>
      </c>
      <c r="BP195" s="585">
        <f t="shared" si="142"/>
        <v>66860</v>
      </c>
    </row>
    <row r="196" spans="4:68">
      <c r="D196" s="483" t="s">
        <v>417</v>
      </c>
      <c r="E196" s="190"/>
      <c r="F196" s="497"/>
      <c r="G196" s="497"/>
      <c r="H196" s="497"/>
      <c r="I196" s="497"/>
      <c r="J196" s="497"/>
      <c r="K196" s="497"/>
      <c r="L196" s="497"/>
      <c r="M196" s="497"/>
      <c r="N196" s="497"/>
      <c r="O196" s="497"/>
      <c r="P196" s="497"/>
      <c r="Q196" s="497"/>
      <c r="R196" s="497"/>
      <c r="S196" s="935"/>
      <c r="T196" s="191">
        <f>ROUND(+T11*T19,0)</f>
        <v>463399</v>
      </c>
      <c r="U196" s="1059"/>
      <c r="V196" s="965"/>
      <c r="W196" s="965"/>
      <c r="X196" s="190"/>
      <c r="Y196" s="191">
        <f>ROUND(+Y11*Y19,0)</f>
        <v>441642</v>
      </c>
      <c r="Z196" s="474"/>
      <c r="AA196" s="474"/>
      <c r="AB196" s="935"/>
      <c r="AC196" s="191">
        <f>ROUND(+AC11*AC19,0)</f>
        <v>601547</v>
      </c>
      <c r="AD196" s="1059"/>
      <c r="AE196" s="989"/>
      <c r="AF196" s="965"/>
      <c r="AG196" s="935"/>
      <c r="AH196" s="191">
        <f>ROUND(+AH11*AH19,0)</f>
        <v>768320</v>
      </c>
      <c r="AI196" s="1059"/>
      <c r="AJ196" s="989"/>
      <c r="AK196" s="989"/>
      <c r="AL196" s="935"/>
      <c r="AM196" s="191">
        <f>ROUND(+AM11*AM19,0)</f>
        <v>827931</v>
      </c>
      <c r="AN196" s="1059"/>
      <c r="AO196" s="989"/>
      <c r="AP196" s="989"/>
      <c r="AQ196" s="935"/>
      <c r="AR196" s="191">
        <f>ROUND(+AR11*AR19,0)</f>
        <v>855146</v>
      </c>
      <c r="AS196" s="1059"/>
      <c r="AT196" s="989"/>
      <c r="AU196" s="989"/>
      <c r="AV196" s="935"/>
      <c r="AW196" s="191">
        <f>ROUND(+AW11*AW19,0)</f>
        <v>859688</v>
      </c>
      <c r="AX196" s="1059"/>
      <c r="AY196" s="989"/>
      <c r="AZ196" s="989"/>
      <c r="BA196" s="935"/>
      <c r="BB196" s="191">
        <f>ROUND(+BB11*BB19,0)</f>
        <v>1028088</v>
      </c>
      <c r="BC196" s="1059"/>
      <c r="BD196" s="965"/>
      <c r="BE196" s="989"/>
      <c r="BI196" s="495" t="s">
        <v>440</v>
      </c>
      <c r="BJ196" s="585">
        <f t="shared" ref="BJ196:BO196" si="150">+BJ176</f>
        <v>60592</v>
      </c>
      <c r="BK196" s="585">
        <f t="shared" si="150"/>
        <v>61359</v>
      </c>
      <c r="BL196" s="585">
        <f t="shared" si="150"/>
        <v>63009</v>
      </c>
      <c r="BM196" s="585">
        <f t="shared" si="150"/>
        <v>64899</v>
      </c>
      <c r="BN196" s="585">
        <f t="shared" si="150"/>
        <v>66846</v>
      </c>
      <c r="BO196" s="585">
        <f t="shared" si="150"/>
        <v>68851</v>
      </c>
      <c r="BP196" s="585">
        <f t="shared" si="142"/>
        <v>70917</v>
      </c>
    </row>
    <row r="197" spans="4:68">
      <c r="D197" t="s">
        <v>192</v>
      </c>
      <c r="E197" s="186"/>
      <c r="F197" s="61"/>
      <c r="G197" s="61"/>
      <c r="H197" s="61"/>
      <c r="I197" s="61"/>
      <c r="J197" s="61"/>
      <c r="K197" s="61"/>
      <c r="L197" s="61"/>
      <c r="M197" s="61"/>
      <c r="N197" s="61"/>
      <c r="O197" s="61"/>
      <c r="P197" s="61"/>
      <c r="Q197" s="61"/>
      <c r="R197" s="61"/>
      <c r="S197" s="936">
        <f>+'AdminIndex (2)'!$H$40</f>
        <v>1</v>
      </c>
      <c r="T197" s="61">
        <f>+'Charter SBA (1)'!$W$43</f>
        <v>48882.26188125</v>
      </c>
      <c r="V197" s="964"/>
      <c r="W197" s="964"/>
      <c r="X197" s="186">
        <f>+'AdminIndex (2)'!$H$40</f>
        <v>1</v>
      </c>
      <c r="Y197" s="61">
        <f>+'Charter SBA (2)'!$W$43</f>
        <v>46362.109713149999</v>
      </c>
      <c r="Z197" s="469"/>
      <c r="AA197" s="469"/>
      <c r="AB197" s="936">
        <f>+'AdminIndex (3)'!$H$40</f>
        <v>2</v>
      </c>
      <c r="AC197" s="61">
        <f>+'Charter SBA (3)'!$W$43</f>
        <v>60682.720487549996</v>
      </c>
      <c r="AE197" s="988"/>
      <c r="AF197" s="964"/>
      <c r="AG197" s="936">
        <f>+'AdminIndex (4)'!$H$40</f>
        <v>1</v>
      </c>
      <c r="AH197" s="61">
        <f>+'Charter SBA (4)'!$W$43</f>
        <v>84844.086194250005</v>
      </c>
      <c r="AJ197" s="988"/>
      <c r="AK197" s="988"/>
      <c r="AL197" s="936">
        <f>+'AdminIndex (5)'!$H$40</f>
        <v>1</v>
      </c>
      <c r="AM197" s="61">
        <f>+'Charter SBA (5)'!$W$43</f>
        <v>94855.007662799995</v>
      </c>
      <c r="AO197" s="988"/>
      <c r="AP197" s="988"/>
      <c r="AQ197" s="936">
        <f>+'AdminIndex (6)'!$H$40</f>
        <v>1</v>
      </c>
      <c r="AR197" s="61">
        <f>+'Charter SBA (6)'!$W$43</f>
        <v>101647.10061675002</v>
      </c>
      <c r="AT197" s="988"/>
      <c r="AU197" s="988"/>
      <c r="AV197" s="936">
        <f>+'AdminIndex (7)'!$H$40</f>
        <v>1</v>
      </c>
      <c r="AW197" s="61">
        <f>+'Charter SBA (7)'!$W$43</f>
        <v>106017.00624839999</v>
      </c>
      <c r="AY197" s="988"/>
      <c r="AZ197" s="988"/>
      <c r="BA197" s="936">
        <f>+'AdminIndex (8)'!$H$40</f>
        <v>1</v>
      </c>
      <c r="BB197" s="61">
        <f>+'Charter SBA (8)'!$W$43</f>
        <v>131537.60186062497</v>
      </c>
      <c r="BD197" s="964"/>
      <c r="BE197" s="988"/>
      <c r="BI197" s="495" t="s">
        <v>441</v>
      </c>
      <c r="BJ197" s="585">
        <f t="shared" ref="BJ197:BO197" si="151">+BJ177</f>
        <v>62064</v>
      </c>
      <c r="BK197" s="585">
        <f t="shared" si="151"/>
        <v>63359</v>
      </c>
      <c r="BL197" s="585">
        <f t="shared" si="151"/>
        <v>65069</v>
      </c>
      <c r="BM197" s="585">
        <f t="shared" si="151"/>
        <v>67021</v>
      </c>
      <c r="BN197" s="585">
        <f t="shared" si="151"/>
        <v>69032</v>
      </c>
      <c r="BO197" s="585">
        <f t="shared" si="151"/>
        <v>71103</v>
      </c>
      <c r="BP197" s="585">
        <f t="shared" si="142"/>
        <v>73236</v>
      </c>
    </row>
    <row r="198" spans="4:68">
      <c r="D198" t="s">
        <v>193</v>
      </c>
      <c r="E198" s="186"/>
      <c r="F198" s="61"/>
      <c r="G198" s="61"/>
      <c r="H198" s="61"/>
      <c r="I198" s="61"/>
      <c r="J198" s="61"/>
      <c r="K198" s="61"/>
      <c r="L198" s="61"/>
      <c r="M198" s="61"/>
      <c r="N198" s="61"/>
      <c r="O198" s="61"/>
      <c r="P198" s="61"/>
      <c r="Q198" s="61"/>
      <c r="R198" s="61"/>
      <c r="S198" s="936">
        <f>+'Instructional fte (2)'!$B$26</f>
        <v>7.59</v>
      </c>
      <c r="T198" s="61">
        <f>+'Charter SBA (1)'!$W$45</f>
        <v>667520.12424418598</v>
      </c>
      <c r="V198" s="964"/>
      <c r="W198" s="964"/>
      <c r="X198" s="186">
        <f>+'Instructional fte (2)'!$B$26</f>
        <v>7.59</v>
      </c>
      <c r="Y198" s="61">
        <f>+'Charter SBA (2)'!$W$45</f>
        <v>613537.17175681156</v>
      </c>
      <c r="Z198" s="469"/>
      <c r="AA198" s="469"/>
      <c r="AB198" s="936">
        <f>+'Instructional fte (3)'!$B$26</f>
        <v>15</v>
      </c>
      <c r="AC198" s="61">
        <f>+'Charter SBA (3)'!$W$45</f>
        <v>838003.11720999982</v>
      </c>
      <c r="AE198" s="988"/>
      <c r="AF198" s="964"/>
      <c r="AG198" s="936">
        <f>+'Instructional fte (4)'!$B$26</f>
        <v>17</v>
      </c>
      <c r="AH198" s="61">
        <f>+'Charter SBA (4)'!$W$45</f>
        <v>1095325.8054670587</v>
      </c>
      <c r="AJ198" s="988"/>
      <c r="AK198" s="988"/>
      <c r="AL198" s="936">
        <f>+'Instructional fte (5)'!$B$26</f>
        <v>17</v>
      </c>
      <c r="AM198" s="61">
        <f>+'Charter SBA (5)'!$W$45</f>
        <v>1205382.2156492353</v>
      </c>
      <c r="AO198" s="988"/>
      <c r="AP198" s="988"/>
      <c r="AQ198" s="936">
        <f>+'Instructional fte (6)'!$B$26</f>
        <v>17</v>
      </c>
      <c r="AR198" s="61">
        <f>+'Charter SBA (6)'!$W$45</f>
        <v>1272741.588029294</v>
      </c>
      <c r="AT198" s="988"/>
      <c r="AU198" s="988"/>
      <c r="AV198" s="936">
        <f>+'Instructional fte (7)'!$B$26</f>
        <v>17</v>
      </c>
      <c r="AW198" s="61">
        <f>+'Charter SBA (7)'!$W$45</f>
        <v>1307577.3920080001</v>
      </c>
      <c r="AY198" s="988"/>
      <c r="AZ198" s="988"/>
      <c r="BA198" s="936">
        <f>+'Instructional fte (8)'!$B$26</f>
        <v>17</v>
      </c>
      <c r="BB198" s="61">
        <f>+'Charter SBA (8)'!$W$45</f>
        <v>1596533.5566018233</v>
      </c>
      <c r="BD198" s="964"/>
      <c r="BE198" s="988"/>
      <c r="BI198" s="495" t="s">
        <v>442</v>
      </c>
      <c r="BJ198" s="585">
        <f t="shared" ref="BJ198:BO198" si="152">+BJ178</f>
        <v>63524</v>
      </c>
      <c r="BK198" s="585">
        <f t="shared" si="152"/>
        <v>65359</v>
      </c>
      <c r="BL198" s="585">
        <f t="shared" si="152"/>
        <v>67129</v>
      </c>
      <c r="BM198" s="585">
        <f t="shared" si="152"/>
        <v>69143</v>
      </c>
      <c r="BN198" s="585">
        <f t="shared" si="152"/>
        <v>71217</v>
      </c>
      <c r="BO198" s="585">
        <f t="shared" si="152"/>
        <v>73354</v>
      </c>
      <c r="BP198" s="585">
        <f t="shared" si="142"/>
        <v>75555</v>
      </c>
    </row>
    <row r="199" spans="4:68">
      <c r="D199" t="s">
        <v>194</v>
      </c>
      <c r="E199" s="186"/>
      <c r="F199" s="61"/>
      <c r="G199" s="61"/>
      <c r="H199" s="61"/>
      <c r="I199" s="61"/>
      <c r="J199" s="61"/>
      <c r="K199" s="61"/>
      <c r="L199" s="61"/>
      <c r="M199" s="61"/>
      <c r="N199" s="61"/>
      <c r="O199" s="61"/>
      <c r="P199" s="61"/>
      <c r="Q199" s="61"/>
      <c r="R199" s="61"/>
      <c r="S199" s="936">
        <f>+'Pupil Services fte (2)'!$L$44</f>
        <v>1</v>
      </c>
      <c r="T199" s="61">
        <f>+'Charter SBA (1)'!$W$47</f>
        <v>52804.192500000005</v>
      </c>
      <c r="V199" s="964"/>
      <c r="W199" s="964"/>
      <c r="X199" s="186">
        <f>+'Pupil Services fte (2)'!$L$44</f>
        <v>1</v>
      </c>
      <c r="Y199" s="61">
        <f>+'Charter SBA (2)'!$W$47</f>
        <v>50081.84302</v>
      </c>
      <c r="Z199" s="469"/>
      <c r="AA199" s="469"/>
      <c r="AB199" s="936">
        <f>+'Pupil Services fte (3)'!$L$44</f>
        <v>1</v>
      </c>
      <c r="AC199" s="61">
        <f>+'Charter SBA (3)'!$W$47</f>
        <v>67117.460689999993</v>
      </c>
      <c r="AE199" s="988"/>
      <c r="AF199" s="964"/>
      <c r="AG199" s="936">
        <f>+'Pupil Services fte (4)'!$L$44</f>
        <v>1</v>
      </c>
      <c r="AH199" s="61">
        <f>+'Charter SBA (4)'!$W$47</f>
        <v>87678.813600000009</v>
      </c>
      <c r="AJ199" s="988"/>
      <c r="AK199" s="988"/>
      <c r="AL199" s="936">
        <f>+'Pupil Services fte (5)'!$L$44</f>
        <v>1</v>
      </c>
      <c r="AM199" s="61">
        <f>+'Charter SBA (5)'!$W$47</f>
        <v>99495.610690000001</v>
      </c>
      <c r="AO199" s="988"/>
      <c r="AP199" s="988"/>
      <c r="AQ199" s="936">
        <f>+'Pupil Services fte (6)'!$L$44</f>
        <v>1</v>
      </c>
      <c r="AR199" s="61">
        <f>+'Charter SBA (6)'!$W$47</f>
        <v>105631.22232000002</v>
      </c>
      <c r="AT199" s="988"/>
      <c r="AU199" s="988"/>
      <c r="AV199" s="936">
        <f>+'Pupil Services fte (7)'!$L$44</f>
        <v>1</v>
      </c>
      <c r="AW199" s="61">
        <f>+'Charter SBA (7)'!$W$47</f>
        <v>109077.94966000001</v>
      </c>
      <c r="AY199" s="988"/>
      <c r="AZ199" s="988"/>
      <c r="BA199" s="936">
        <f>+'Pupil Services fte (8)'!$L$44</f>
        <v>1</v>
      </c>
      <c r="BB199" s="61">
        <f>+'Charter SBA (8)'!$W$47</f>
        <v>133902.87411</v>
      </c>
      <c r="BD199" s="964"/>
      <c r="BE199" s="988"/>
      <c r="BI199" s="495" t="s">
        <v>443</v>
      </c>
      <c r="BJ199" s="585">
        <f t="shared" ref="BJ199:BO199" si="153">+BJ179</f>
        <v>64972</v>
      </c>
      <c r="BK199" s="585">
        <f t="shared" si="153"/>
        <v>67359</v>
      </c>
      <c r="BL199" s="585">
        <f t="shared" si="153"/>
        <v>69189</v>
      </c>
      <c r="BM199" s="585">
        <f t="shared" si="153"/>
        <v>71265</v>
      </c>
      <c r="BN199" s="585">
        <f t="shared" si="153"/>
        <v>73403</v>
      </c>
      <c r="BO199" s="585">
        <f t="shared" si="153"/>
        <v>75605</v>
      </c>
      <c r="BP199" s="585">
        <f t="shared" ref="BP199" si="154">+BP179</f>
        <v>77873</v>
      </c>
    </row>
    <row r="200" spans="4:68">
      <c r="D200" t="s">
        <v>195</v>
      </c>
      <c r="E200" s="186"/>
      <c r="F200" s="61"/>
      <c r="G200" s="61"/>
      <c r="H200" s="61"/>
      <c r="I200" s="61"/>
      <c r="J200" s="61"/>
      <c r="K200" s="61"/>
      <c r="L200" s="61"/>
      <c r="M200" s="61"/>
      <c r="N200" s="61"/>
      <c r="O200" s="61"/>
      <c r="P200" s="61"/>
      <c r="Q200" s="61"/>
      <c r="R200" s="61"/>
      <c r="S200" s="936">
        <f>+S193</f>
        <v>7.25</v>
      </c>
      <c r="T200" s="61">
        <f>+'Charter SBA (1)'!$W$49</f>
        <v>163695.9375</v>
      </c>
      <c r="V200" s="964"/>
      <c r="W200" s="964"/>
      <c r="X200" s="186">
        <f>+X193</f>
        <v>7.25</v>
      </c>
      <c r="Y200" s="61">
        <f>+'Charter SBA (2)'!$W$49</f>
        <v>155256.5025</v>
      </c>
      <c r="Z200" s="469"/>
      <c r="AA200" s="469"/>
      <c r="AB200" s="936">
        <f>+AB193</f>
        <v>8.1</v>
      </c>
      <c r="AC200" s="61">
        <f>+'Charter SBA (3)'!$W$49</f>
        <v>206674.17749999999</v>
      </c>
      <c r="AE200" s="988"/>
      <c r="AF200" s="964"/>
      <c r="AG200" s="936">
        <f>+AG193</f>
        <v>12.1</v>
      </c>
      <c r="AH200" s="61">
        <f>+'Charter SBA (4)'!$W$49</f>
        <v>263970.5625</v>
      </c>
      <c r="AJ200" s="988"/>
      <c r="AK200" s="988"/>
      <c r="AL200" s="936">
        <f>+AL193</f>
        <v>12.1</v>
      </c>
      <c r="AM200" s="61">
        <f>+'Charter SBA (5)'!$W$49</f>
        <v>284451</v>
      </c>
      <c r="AO200" s="988"/>
      <c r="AP200" s="988"/>
      <c r="AQ200" s="936">
        <f>+AQ193</f>
        <v>12.1</v>
      </c>
      <c r="AR200" s="61">
        <f>+'Charter SBA (6)'!$W$49</f>
        <v>293803.38000000006</v>
      </c>
      <c r="AT200" s="988"/>
      <c r="AU200" s="988"/>
      <c r="AV200" s="936">
        <f>+AV193</f>
        <v>12.1</v>
      </c>
      <c r="AW200" s="61">
        <f>+'Charter SBA (7)'!$W$49</f>
        <v>295363.0575</v>
      </c>
      <c r="AY200" s="988"/>
      <c r="AZ200" s="988"/>
      <c r="BA200" s="936">
        <f>+BA193</f>
        <v>12.1</v>
      </c>
      <c r="BB200" s="61">
        <f>+'Charter SBA (8)'!$W$49</f>
        <v>353215.96124999999</v>
      </c>
      <c r="BD200" s="964"/>
      <c r="BE200" s="988"/>
      <c r="BI200" s="495" t="s">
        <v>444</v>
      </c>
      <c r="BJ200" s="585"/>
      <c r="BK200" s="585">
        <f t="shared" ref="BK200:BP200" si="155">+BK180</f>
        <v>69359</v>
      </c>
      <c r="BL200" s="585">
        <f t="shared" si="155"/>
        <v>71249</v>
      </c>
      <c r="BM200" s="585">
        <f t="shared" si="155"/>
        <v>73386</v>
      </c>
      <c r="BN200" s="585">
        <f t="shared" si="155"/>
        <v>75588</v>
      </c>
      <c r="BO200" s="585">
        <f t="shared" si="155"/>
        <v>77856</v>
      </c>
      <c r="BP200" s="585">
        <f t="shared" si="155"/>
        <v>80192</v>
      </c>
    </row>
    <row r="201" spans="4:68">
      <c r="D201" s="483" t="s">
        <v>267</v>
      </c>
      <c r="E201" s="190"/>
      <c r="F201" s="191"/>
      <c r="G201" s="191"/>
      <c r="H201" s="191"/>
      <c r="I201" s="191"/>
      <c r="J201" s="191"/>
      <c r="K201" s="191"/>
      <c r="L201" s="191"/>
      <c r="M201" s="191"/>
      <c r="N201" s="191"/>
      <c r="O201" s="191"/>
      <c r="P201" s="191"/>
      <c r="Q201" s="191"/>
      <c r="R201" s="191"/>
      <c r="S201" s="935"/>
      <c r="T201" s="191">
        <f>ROUND(+'Charter SBA (1)'!$W$51,0)</f>
        <v>932903</v>
      </c>
      <c r="U201" s="1059"/>
      <c r="V201" s="965"/>
      <c r="W201" s="965"/>
      <c r="X201" s="190"/>
      <c r="Y201" s="191">
        <v>875646</v>
      </c>
      <c r="Z201" s="474"/>
      <c r="AA201" s="474"/>
      <c r="AB201" s="935"/>
      <c r="AC201" s="191">
        <f>ROUND(+'Charter SBA (3)'!$W$51,0)</f>
        <v>1172477</v>
      </c>
      <c r="AD201" s="1059"/>
      <c r="AE201" s="989"/>
      <c r="AF201" s="965"/>
      <c r="AG201" s="935"/>
      <c r="AH201" s="191">
        <f>ROUND(+'Charter SBA (4)'!$W$51,0)</f>
        <v>1531819</v>
      </c>
      <c r="AI201" s="1059"/>
      <c r="AJ201" s="989"/>
      <c r="AK201" s="989"/>
      <c r="AL201" s="935"/>
      <c r="AM201" s="191">
        <f>ROUND(+'Charter SBA (5)'!$W$51,0)</f>
        <v>1684184</v>
      </c>
      <c r="AN201" s="1059"/>
      <c r="AO201" s="989"/>
      <c r="AP201" s="989"/>
      <c r="AQ201" s="935"/>
      <c r="AR201" s="191">
        <f>ROUND(+'Charter SBA (6)'!$W$51,0)</f>
        <v>1773823</v>
      </c>
      <c r="AS201" s="1059"/>
      <c r="AT201" s="989"/>
      <c r="AU201" s="989"/>
      <c r="AV201" s="935"/>
      <c r="AW201" s="191">
        <f>ROUND(+'Charter SBA (7)'!$W$51,0)</f>
        <v>1818035</v>
      </c>
      <c r="AX201" s="1059"/>
      <c r="AY201" s="989"/>
      <c r="AZ201" s="989"/>
      <c r="BA201" s="935"/>
      <c r="BB201" s="191">
        <f>ROUND(+'Charter SBA (8)'!$W$51,0)</f>
        <v>2215190</v>
      </c>
      <c r="BC201" s="1059"/>
      <c r="BD201" s="965"/>
      <c r="BE201" s="989"/>
      <c r="BI201" s="495"/>
      <c r="BJ201" s="585"/>
      <c r="BK201" s="585"/>
      <c r="BL201" s="585"/>
      <c r="BM201" s="585"/>
      <c r="BN201" s="585"/>
      <c r="BO201" s="585"/>
      <c r="BP201" s="585"/>
    </row>
    <row r="202" spans="4:68" ht="5.55" customHeight="1">
      <c r="E202" s="505"/>
      <c r="F202" s="506"/>
      <c r="G202" s="506"/>
      <c r="H202" s="506"/>
      <c r="I202" s="506"/>
      <c r="J202" s="506"/>
      <c r="K202" s="506"/>
      <c r="L202" s="506"/>
      <c r="M202" s="506"/>
      <c r="N202" s="506"/>
      <c r="O202" s="506"/>
      <c r="P202" s="506"/>
      <c r="Q202" s="506"/>
      <c r="R202" s="506"/>
      <c r="S202" s="937"/>
      <c r="T202" s="506"/>
      <c r="U202" s="1060"/>
      <c r="V202" s="966"/>
      <c r="W202" s="966"/>
      <c r="X202" s="505"/>
      <c r="Y202" s="506"/>
      <c r="Z202" s="507"/>
      <c r="AA202" s="507"/>
      <c r="AB202" s="937"/>
      <c r="AC202" s="506"/>
      <c r="AD202" s="1060"/>
      <c r="AE202" s="990"/>
      <c r="AF202" s="966"/>
      <c r="AG202" s="937"/>
      <c r="AH202" s="506"/>
      <c r="AI202" s="1060"/>
      <c r="AJ202" s="990"/>
      <c r="AK202" s="990"/>
      <c r="AL202" s="937"/>
      <c r="AM202" s="506"/>
      <c r="AN202" s="1060"/>
      <c r="AO202" s="990"/>
      <c r="AP202" s="990"/>
      <c r="AQ202" s="937"/>
      <c r="AR202" s="506"/>
      <c r="AS202" s="1060"/>
      <c r="AT202" s="990"/>
      <c r="AU202" s="990"/>
      <c r="AV202" s="937"/>
      <c r="AW202" s="506"/>
      <c r="AX202" s="1060"/>
      <c r="AY202" s="990"/>
      <c r="AZ202" s="990"/>
      <c r="BA202" s="937"/>
      <c r="BB202" s="506"/>
      <c r="BC202" s="1060"/>
      <c r="BD202" s="966"/>
      <c r="BE202" s="990"/>
    </row>
    <row r="203" spans="4:68">
      <c r="D203" s="483" t="s">
        <v>268</v>
      </c>
      <c r="E203" s="190"/>
      <c r="F203" s="191"/>
      <c r="G203" s="191"/>
      <c r="H203" s="191"/>
      <c r="I203" s="191"/>
      <c r="J203" s="191"/>
      <c r="K203" s="191"/>
      <c r="L203" s="191"/>
      <c r="M203" s="191"/>
      <c r="N203" s="191"/>
      <c r="O203" s="191"/>
      <c r="P203" s="191"/>
      <c r="Q203" s="191"/>
      <c r="R203" s="191"/>
      <c r="S203" s="935"/>
      <c r="T203" s="191">
        <f>ROUND(+'Charter SBA (1)'!$M$51,0)</f>
        <v>166161</v>
      </c>
      <c r="U203" s="1059"/>
      <c r="V203" s="965"/>
      <c r="W203" s="965"/>
      <c r="X203" s="190"/>
      <c r="Y203" s="191">
        <v>175762</v>
      </c>
      <c r="Z203" s="474"/>
      <c r="AA203" s="474"/>
      <c r="AB203" s="935"/>
      <c r="AC203" s="191">
        <f>ROUND(+'Charter SBA (3)'!$M$51,0)</f>
        <v>238482</v>
      </c>
      <c r="AD203" s="1059"/>
      <c r="AE203" s="989"/>
      <c r="AF203" s="965"/>
      <c r="AG203" s="935"/>
      <c r="AH203" s="191">
        <f>ROUND(+'Charter SBA (4)'!$M$51,0)</f>
        <v>323673</v>
      </c>
      <c r="AI203" s="1059"/>
      <c r="AJ203" s="989"/>
      <c r="AK203" s="989"/>
      <c r="AL203" s="935"/>
      <c r="AM203" s="191">
        <f>ROUND(+'Charter SBA (5)'!$M$51,0)</f>
        <v>373780</v>
      </c>
      <c r="AN203" s="1059"/>
      <c r="AO203" s="989"/>
      <c r="AP203" s="989"/>
      <c r="AQ203" s="935"/>
      <c r="AR203" s="191">
        <f>ROUND(+'Charter SBA (6)'!$M$51,0)</f>
        <v>431292</v>
      </c>
      <c r="AS203" s="1059"/>
      <c r="AT203" s="989"/>
      <c r="AU203" s="989"/>
      <c r="AV203" s="935"/>
      <c r="AW203" s="191">
        <f>ROUND(+'Charter SBA (7)'!$M$51,0)</f>
        <v>451066</v>
      </c>
      <c r="AX203" s="1059"/>
      <c r="AY203" s="989"/>
      <c r="AZ203" s="989"/>
      <c r="BA203" s="935"/>
      <c r="BB203" s="191">
        <f>ROUND(+'Charter SBA (8)'!$M$51,0)</f>
        <v>471481</v>
      </c>
      <c r="BC203" s="1059"/>
      <c r="BD203" s="965"/>
      <c r="BE203" s="989"/>
      <c r="BI203" s="588" t="s">
        <v>340</v>
      </c>
      <c r="BJ203" s="585">
        <v>2000</v>
      </c>
      <c r="BK203" s="585">
        <v>2000</v>
      </c>
      <c r="BL203" s="585">
        <v>2000</v>
      </c>
      <c r="BM203" s="585">
        <v>2000</v>
      </c>
      <c r="BN203" s="585">
        <v>2000</v>
      </c>
      <c r="BO203" s="585">
        <v>2000</v>
      </c>
      <c r="BP203" s="585">
        <v>2000</v>
      </c>
    </row>
    <row r="204" spans="4:68" ht="5.55" customHeight="1">
      <c r="E204" s="505"/>
      <c r="F204" s="506"/>
      <c r="G204" s="506"/>
      <c r="H204" s="506"/>
      <c r="I204" s="506"/>
      <c r="J204" s="506"/>
      <c r="K204" s="506"/>
      <c r="L204" s="506"/>
      <c r="M204" s="506"/>
      <c r="N204" s="506"/>
      <c r="O204" s="506"/>
      <c r="P204" s="506"/>
      <c r="Q204" s="506"/>
      <c r="R204" s="506"/>
      <c r="S204" s="937"/>
      <c r="T204" s="506"/>
      <c r="U204" s="1060"/>
      <c r="V204" s="966"/>
      <c r="W204" s="966"/>
      <c r="X204" s="505"/>
      <c r="Y204" s="506"/>
      <c r="Z204" s="507"/>
      <c r="AA204" s="507"/>
      <c r="AB204" s="937"/>
      <c r="AC204" s="506"/>
      <c r="AD204" s="1060"/>
      <c r="AE204" s="990"/>
      <c r="AF204" s="966"/>
      <c r="AG204" s="937"/>
      <c r="AH204" s="506"/>
      <c r="AI204" s="1060"/>
      <c r="AJ204" s="990"/>
      <c r="AK204" s="990"/>
      <c r="AL204" s="937"/>
      <c r="AM204" s="506"/>
      <c r="AN204" s="1060"/>
      <c r="AO204" s="990"/>
      <c r="AP204" s="990"/>
      <c r="AQ204" s="937"/>
      <c r="AR204" s="506"/>
      <c r="AS204" s="1060"/>
      <c r="AT204" s="990"/>
      <c r="AU204" s="990"/>
      <c r="AV204" s="937"/>
      <c r="AW204" s="506"/>
      <c r="AX204" s="1060"/>
      <c r="AY204" s="990"/>
      <c r="AZ204" s="990"/>
      <c r="BA204" s="937"/>
      <c r="BB204" s="506"/>
      <c r="BC204" s="1060"/>
      <c r="BD204" s="966"/>
      <c r="BE204" s="990"/>
    </row>
    <row r="205" spans="4:68">
      <c r="D205" s="483" t="s">
        <v>432</v>
      </c>
      <c r="E205" s="190"/>
      <c r="F205" s="191"/>
      <c r="G205" s="191"/>
      <c r="H205" s="191"/>
      <c r="I205" s="191"/>
      <c r="J205" s="191"/>
      <c r="K205" s="191"/>
      <c r="L205" s="191"/>
      <c r="M205" s="191"/>
      <c r="N205" s="191"/>
      <c r="O205" s="191"/>
      <c r="P205" s="191"/>
      <c r="Q205" s="191"/>
      <c r="R205" s="191"/>
      <c r="S205" s="935"/>
      <c r="T205" s="191">
        <f>ROUND(0.75*T413,0)</f>
        <v>3750</v>
      </c>
      <c r="U205" s="1059"/>
      <c r="V205" s="965"/>
      <c r="W205" s="965"/>
      <c r="X205" s="190"/>
      <c r="Y205" s="191">
        <f>ROUND(0.75*Y413,0)</f>
        <v>0</v>
      </c>
      <c r="Z205" s="474"/>
      <c r="AA205" s="474"/>
      <c r="AB205" s="935"/>
      <c r="AC205" s="191">
        <v>0</v>
      </c>
      <c r="AD205" s="1059"/>
      <c r="AE205" s="989"/>
      <c r="AF205" s="965"/>
      <c r="AG205" s="935"/>
      <c r="AH205" s="191">
        <f>ROUND(0.75*AH413,0)</f>
        <v>3863</v>
      </c>
      <c r="AI205" s="1059"/>
      <c r="AJ205" s="989"/>
      <c r="AK205" s="989"/>
      <c r="AL205" s="935"/>
      <c r="AM205" s="191">
        <f>ROUND(0.75*AM413,0)</f>
        <v>3979</v>
      </c>
      <c r="AN205" s="1059"/>
      <c r="AO205" s="989"/>
      <c r="AP205" s="989"/>
      <c r="AQ205" s="935"/>
      <c r="AR205" s="191">
        <f>ROUND(0.75*AR413,0)</f>
        <v>4098</v>
      </c>
      <c r="AS205" s="1059"/>
      <c r="AT205" s="989"/>
      <c r="AU205" s="989"/>
      <c r="AV205" s="935"/>
      <c r="AW205" s="191">
        <f>ROUND(0.75*AW413,0)</f>
        <v>4221</v>
      </c>
      <c r="AX205" s="1059"/>
      <c r="AY205" s="989"/>
      <c r="AZ205" s="989"/>
      <c r="BA205" s="935"/>
      <c r="BB205" s="191">
        <f>ROUND(0.75*BB413,0)</f>
        <v>4348</v>
      </c>
      <c r="BC205" s="1059"/>
      <c r="BD205" s="965"/>
      <c r="BE205" s="989"/>
      <c r="BI205" s="588" t="s">
        <v>341</v>
      </c>
      <c r="BJ205" s="585">
        <v>3500</v>
      </c>
      <c r="BK205" s="585">
        <v>3500</v>
      </c>
      <c r="BL205" s="585">
        <v>3500</v>
      </c>
      <c r="BM205" s="585">
        <v>3500</v>
      </c>
      <c r="BN205" s="585">
        <v>3500</v>
      </c>
      <c r="BO205" s="585">
        <v>3500</v>
      </c>
      <c r="BP205" s="585">
        <v>3500</v>
      </c>
    </row>
    <row r="206" spans="4:68" ht="5.55" customHeight="1">
      <c r="E206" s="505"/>
      <c r="F206" s="506"/>
      <c r="G206" s="506"/>
      <c r="H206" s="506"/>
      <c r="I206" s="506"/>
      <c r="J206" s="506"/>
      <c r="K206" s="506"/>
      <c r="L206" s="506"/>
      <c r="M206" s="506"/>
      <c r="N206" s="506"/>
      <c r="O206" s="506"/>
      <c r="P206" s="506"/>
      <c r="Q206" s="506"/>
      <c r="R206" s="506"/>
      <c r="S206" s="937"/>
      <c r="T206" s="506"/>
      <c r="U206" s="1060"/>
      <c r="V206" s="966"/>
      <c r="W206" s="966"/>
      <c r="X206" s="505"/>
      <c r="Y206" s="506"/>
      <c r="Z206" s="507"/>
      <c r="AA206" s="507"/>
      <c r="AB206" s="937"/>
      <c r="AC206" s="506"/>
      <c r="AD206" s="1060"/>
      <c r="AE206" s="990"/>
      <c r="AF206" s="966"/>
      <c r="AG206" s="937"/>
      <c r="AH206" s="506"/>
      <c r="AI206" s="1060"/>
      <c r="AJ206" s="990"/>
      <c r="AK206" s="990"/>
      <c r="AL206" s="937"/>
      <c r="AM206" s="506"/>
      <c r="AN206" s="1060"/>
      <c r="AO206" s="990"/>
      <c r="AP206" s="990"/>
      <c r="AQ206" s="937"/>
      <c r="AR206" s="506"/>
      <c r="AS206" s="1060"/>
      <c r="AT206" s="990"/>
      <c r="AU206" s="990"/>
      <c r="AV206" s="937"/>
      <c r="AW206" s="506"/>
      <c r="AX206" s="1060"/>
      <c r="AY206" s="990"/>
      <c r="AZ206" s="990"/>
      <c r="BA206" s="937"/>
      <c r="BB206" s="506"/>
      <c r="BC206" s="1060"/>
      <c r="BD206" s="966"/>
      <c r="BE206" s="990"/>
    </row>
    <row r="207" spans="4:68">
      <c r="D207" s="483" t="s">
        <v>424</v>
      </c>
      <c r="E207" s="190"/>
      <c r="F207" s="249"/>
      <c r="G207" s="249"/>
      <c r="H207" s="249"/>
      <c r="I207" s="249"/>
      <c r="J207" s="249"/>
      <c r="K207" s="249"/>
      <c r="L207" s="249"/>
      <c r="M207" s="249"/>
      <c r="N207" s="249"/>
      <c r="O207" s="249"/>
      <c r="P207" s="249"/>
      <c r="Q207" s="249"/>
      <c r="R207" s="249"/>
      <c r="S207" s="935"/>
      <c r="T207" s="191">
        <f>T463</f>
        <v>0</v>
      </c>
      <c r="U207" s="1059"/>
      <c r="V207" s="965"/>
      <c r="W207" s="965"/>
      <c r="X207" s="190"/>
      <c r="Y207" s="191">
        <f>Y463</f>
        <v>0</v>
      </c>
      <c r="Z207" s="474"/>
      <c r="AA207" s="474"/>
      <c r="AB207" s="935"/>
      <c r="AC207" s="191">
        <f>AC463</f>
        <v>0</v>
      </c>
      <c r="AD207" s="1059"/>
      <c r="AE207" s="989"/>
      <c r="AF207" s="965"/>
      <c r="AG207" s="935"/>
      <c r="AH207" s="191">
        <f>AH463</f>
        <v>0</v>
      </c>
      <c r="AI207" s="1059"/>
      <c r="AJ207" s="989"/>
      <c r="AK207" s="989"/>
      <c r="AL207" s="935"/>
      <c r="AM207" s="191">
        <f>AM463</f>
        <v>0</v>
      </c>
      <c r="AN207" s="1059"/>
      <c r="AO207" s="989"/>
      <c r="AP207" s="989"/>
      <c r="AQ207" s="935"/>
      <c r="AR207" s="191">
        <f>AR463</f>
        <v>0</v>
      </c>
      <c r="AS207" s="1059"/>
      <c r="AT207" s="989"/>
      <c r="AU207" s="989"/>
      <c r="AV207" s="935"/>
      <c r="AW207" s="191">
        <f>AW463</f>
        <v>0</v>
      </c>
      <c r="AX207" s="1059"/>
      <c r="AY207" s="989"/>
      <c r="AZ207" s="989"/>
      <c r="BA207" s="935"/>
      <c r="BB207" s="191">
        <f>BB463</f>
        <v>0</v>
      </c>
      <c r="BC207" s="1059"/>
      <c r="BD207" s="965"/>
      <c r="BE207" s="989"/>
      <c r="BI207" s="495" t="s">
        <v>420</v>
      </c>
      <c r="BJ207" s="585">
        <v>3000</v>
      </c>
      <c r="BK207" s="585">
        <v>3000</v>
      </c>
      <c r="BL207" s="585">
        <v>3000</v>
      </c>
      <c r="BM207" s="585">
        <v>3000</v>
      </c>
      <c r="BN207" s="585">
        <v>3000</v>
      </c>
      <c r="BO207" s="585">
        <v>3000</v>
      </c>
      <c r="BP207" s="585">
        <v>3000</v>
      </c>
    </row>
    <row r="208" spans="4:68" ht="5.55" customHeight="1" thickBot="1">
      <c r="E208" s="505"/>
      <c r="F208" s="506"/>
      <c r="G208" s="506"/>
      <c r="H208" s="506"/>
      <c r="I208" s="506"/>
      <c r="J208" s="506"/>
      <c r="K208" s="506"/>
      <c r="L208" s="506"/>
      <c r="M208" s="506"/>
      <c r="N208" s="506"/>
      <c r="O208" s="506"/>
      <c r="P208" s="506"/>
      <c r="Q208" s="506"/>
      <c r="R208" s="506"/>
      <c r="S208" s="937"/>
      <c r="T208" s="506"/>
      <c r="U208" s="1060"/>
      <c r="V208" s="966"/>
      <c r="W208" s="966"/>
      <c r="X208" s="505"/>
      <c r="Y208" s="506"/>
      <c r="Z208" s="507"/>
      <c r="AA208" s="507"/>
      <c r="AB208" s="937"/>
      <c r="AC208" s="506"/>
      <c r="AD208" s="1060"/>
      <c r="AE208" s="990"/>
      <c r="AF208" s="966"/>
      <c r="AG208" s="937"/>
      <c r="AH208" s="506"/>
      <c r="AI208" s="1060"/>
      <c r="AJ208" s="990"/>
      <c r="AK208" s="990"/>
      <c r="AL208" s="937"/>
      <c r="AM208" s="506"/>
      <c r="AN208" s="1060"/>
      <c r="AO208" s="990"/>
      <c r="AP208" s="990"/>
      <c r="AQ208" s="937"/>
      <c r="AR208" s="506"/>
      <c r="AS208" s="1060"/>
      <c r="AT208" s="990"/>
      <c r="AU208" s="990"/>
      <c r="AV208" s="937"/>
      <c r="AW208" s="506"/>
      <c r="AX208" s="1060"/>
      <c r="AY208" s="990"/>
      <c r="AZ208" s="990"/>
      <c r="BA208" s="937"/>
      <c r="BB208" s="506"/>
      <c r="BC208" s="1060"/>
      <c r="BD208" s="966"/>
      <c r="BE208" s="990"/>
    </row>
    <row r="209" spans="4:57" ht="16.2" thickBot="1">
      <c r="D209" s="482" t="s">
        <v>914</v>
      </c>
      <c r="E209" s="187"/>
      <c r="F209" s="248"/>
      <c r="G209" s="248"/>
      <c r="H209" s="248"/>
      <c r="I209" s="248"/>
      <c r="J209" s="248"/>
      <c r="K209" s="248"/>
      <c r="L209" s="248"/>
      <c r="M209" s="248"/>
      <c r="N209" s="248"/>
      <c r="O209" s="248"/>
      <c r="P209" s="248"/>
      <c r="Q209" s="248"/>
      <c r="R209" s="248"/>
      <c r="S209" s="938"/>
      <c r="T209" s="248"/>
      <c r="U209" s="1061"/>
      <c r="V209" s="967"/>
      <c r="W209" s="967"/>
      <c r="X209" s="187"/>
      <c r="Y209" s="248"/>
      <c r="Z209" s="248"/>
      <c r="AA209" s="248"/>
      <c r="AB209" s="938"/>
      <c r="AC209" s="248"/>
      <c r="AD209" s="1061"/>
      <c r="AE209" s="967"/>
      <c r="AF209" s="967"/>
      <c r="AG209" s="938"/>
      <c r="AH209" s="248"/>
      <c r="AI209" s="1061"/>
      <c r="AJ209" s="967"/>
      <c r="AK209" s="967"/>
      <c r="AL209" s="938"/>
      <c r="AM209" s="248"/>
      <c r="AN209" s="1061"/>
      <c r="AO209" s="967"/>
      <c r="AP209" s="967"/>
      <c r="AQ209" s="938"/>
      <c r="AR209" s="248"/>
      <c r="AS209" s="1061"/>
      <c r="AT209" s="967"/>
      <c r="AU209" s="967"/>
      <c r="AV209" s="938"/>
      <c r="AW209" s="248"/>
      <c r="AX209" s="1061"/>
      <c r="AY209" s="967"/>
      <c r="AZ209" s="967"/>
      <c r="BA209" s="938"/>
      <c r="BB209" s="248"/>
      <c r="BC209" s="1061"/>
      <c r="BD209" s="967"/>
      <c r="BE209" s="967"/>
    </row>
    <row r="210" spans="4:57" ht="13.05" customHeight="1">
      <c r="D210" s="1182" t="s">
        <v>1177</v>
      </c>
      <c r="E210" s="1182"/>
      <c r="F210" s="1182"/>
      <c r="G210" s="1182"/>
      <c r="H210" s="1182"/>
      <c r="I210" s="1182"/>
      <c r="J210" s="1182"/>
      <c r="K210" s="1182"/>
      <c r="L210" s="61"/>
      <c r="M210" s="61"/>
      <c r="N210" s="61"/>
      <c r="O210" s="61"/>
      <c r="P210" s="61"/>
      <c r="Q210" s="61"/>
      <c r="R210" s="61"/>
      <c r="S210" s="936"/>
      <c r="T210" s="189" t="s">
        <v>116</v>
      </c>
      <c r="U210" s="1062"/>
      <c r="X210" s="186"/>
      <c r="Y210" s="189" t="s">
        <v>116</v>
      </c>
      <c r="Z210" s="508"/>
      <c r="AA210" s="508"/>
      <c r="AB210" s="939"/>
      <c r="AC210" s="189" t="s">
        <v>116</v>
      </c>
      <c r="AD210" s="1062"/>
      <c r="AE210" s="508"/>
      <c r="AF210" s="510"/>
      <c r="AG210" s="936"/>
      <c r="AH210" s="189" t="s">
        <v>116</v>
      </c>
      <c r="AI210" s="1062"/>
      <c r="AJ210" s="508"/>
      <c r="AK210" s="508"/>
      <c r="AL210" s="936"/>
      <c r="AM210" s="189" t="s">
        <v>116</v>
      </c>
      <c r="AN210" s="1062"/>
      <c r="AO210" s="508"/>
      <c r="AP210" s="508"/>
      <c r="AQ210" s="936"/>
      <c r="AR210" s="189" t="s">
        <v>116</v>
      </c>
      <c r="AS210" s="1062"/>
      <c r="AT210" s="508"/>
      <c r="AU210" s="508"/>
      <c r="AV210" s="936"/>
      <c r="AW210" s="189" t="s">
        <v>116</v>
      </c>
      <c r="AX210" s="1062"/>
      <c r="AY210" s="508"/>
      <c r="AZ210" s="508"/>
      <c r="BA210" s="936"/>
      <c r="BB210" s="189" t="s">
        <v>116</v>
      </c>
      <c r="BC210" s="1062"/>
      <c r="BD210" s="508"/>
      <c r="BE210" s="508"/>
    </row>
    <row r="211" spans="4:57" ht="13.05" customHeight="1">
      <c r="D211" s="1183"/>
      <c r="E211" s="1183"/>
      <c r="F211" s="1183"/>
      <c r="G211" s="1183"/>
      <c r="H211" s="1183"/>
      <c r="I211" s="1183"/>
      <c r="J211" s="1183"/>
      <c r="K211" s="1183"/>
      <c r="L211" s="61"/>
      <c r="M211" s="61"/>
      <c r="N211" s="61"/>
      <c r="O211" s="61"/>
      <c r="P211" s="61"/>
      <c r="Q211" s="61"/>
      <c r="R211" s="61"/>
      <c r="S211" s="936"/>
      <c r="T211" s="669"/>
      <c r="U211" s="1062"/>
      <c r="X211" s="509"/>
      <c r="Y211" s="669"/>
      <c r="Z211" s="508"/>
      <c r="AA211" s="508"/>
      <c r="AB211" s="939"/>
      <c r="AC211" s="669"/>
      <c r="AD211" s="1062"/>
      <c r="AE211" s="508"/>
      <c r="AF211" s="510"/>
      <c r="AG211" s="939"/>
      <c r="AH211" s="669"/>
      <c r="AI211" s="1062"/>
      <c r="AJ211" s="508"/>
      <c r="AK211" s="508"/>
      <c r="AL211" s="939"/>
      <c r="AM211" s="669"/>
      <c r="AN211" s="1062"/>
      <c r="AO211" s="508"/>
      <c r="AP211" s="508"/>
      <c r="AQ211" s="939"/>
      <c r="AR211" s="669"/>
      <c r="AS211" s="1062"/>
      <c r="AT211" s="508"/>
      <c r="AU211" s="508"/>
      <c r="AV211" s="939"/>
      <c r="AW211" s="669"/>
      <c r="AX211" s="1062"/>
      <c r="AY211" s="508"/>
      <c r="AZ211" s="508"/>
      <c r="BA211" s="939"/>
      <c r="BB211" s="669"/>
      <c r="BC211" s="1062"/>
      <c r="BD211" s="508"/>
      <c r="BE211" s="508"/>
    </row>
    <row r="212" spans="4:57">
      <c r="D212" t="s">
        <v>915</v>
      </c>
      <c r="E212" s="509"/>
      <c r="F212" t="s">
        <v>1310</v>
      </c>
      <c r="L212" s="660"/>
      <c r="M212" s="660"/>
      <c r="N212" s="660"/>
      <c r="O212" s="660"/>
      <c r="P212" s="660"/>
      <c r="Q212" s="660"/>
      <c r="R212" s="660"/>
      <c r="S212" s="939"/>
      <c r="T212" s="660">
        <f>ROUND(400*T77*T8,0)</f>
        <v>58900</v>
      </c>
      <c r="U212" s="1063"/>
      <c r="V212" s="969"/>
      <c r="W212" s="969"/>
      <c r="X212" s="509"/>
      <c r="Y212" s="660">
        <f>$J$212*Y79</f>
        <v>0</v>
      </c>
      <c r="Z212" s="661"/>
      <c r="AA212" s="661"/>
      <c r="AB212" s="939"/>
      <c r="AC212" s="660">
        <f>ROUND(400*AC77*AC8,0)</f>
        <v>78584</v>
      </c>
      <c r="AD212" s="1063"/>
      <c r="AE212" s="1087"/>
      <c r="AF212" s="969"/>
      <c r="AG212" s="939"/>
      <c r="AH212" s="660">
        <f>ROUND(400*AH77*AH8,0)</f>
        <v>96520</v>
      </c>
      <c r="AI212" s="1063"/>
      <c r="AJ212" s="1087"/>
      <c r="AK212" s="1087"/>
      <c r="AL212" s="939"/>
      <c r="AM212" s="660">
        <f>ROUND(400*AM77*AM8,0)</f>
        <v>100320</v>
      </c>
      <c r="AN212" s="1063"/>
      <c r="AO212" s="1087"/>
      <c r="AP212" s="1087"/>
      <c r="AQ212" s="939"/>
      <c r="AR212" s="660">
        <f>ROUND(400*AR77*AR8,0)</f>
        <v>100320</v>
      </c>
      <c r="AS212" s="1063"/>
      <c r="AT212" s="1087"/>
      <c r="AU212" s="1087"/>
      <c r="AV212" s="939"/>
      <c r="AW212" s="660">
        <f>ROUND(400*AW77*AW8,0)</f>
        <v>98800</v>
      </c>
      <c r="AX212" s="1063"/>
      <c r="AY212" s="1087"/>
      <c r="AZ212" s="1087"/>
      <c r="BA212" s="939"/>
      <c r="BB212" s="660">
        <f>ROUND(400*BB77*BB8,0)</f>
        <v>123500</v>
      </c>
      <c r="BC212" s="1063"/>
      <c r="BD212" s="1087"/>
      <c r="BE212" s="1087"/>
    </row>
    <row r="213" spans="4:57">
      <c r="D213" t="s">
        <v>418</v>
      </c>
      <c r="E213" s="509"/>
      <c r="F213" s="660" t="s">
        <v>1311</v>
      </c>
      <c r="G213" s="660"/>
      <c r="H213" s="660"/>
      <c r="I213" s="660"/>
      <c r="J213" s="660"/>
      <c r="K213" s="660"/>
      <c r="L213" s="660"/>
      <c r="M213" s="660"/>
      <c r="N213" s="660"/>
      <c r="O213" s="660"/>
      <c r="P213" s="660"/>
      <c r="Q213" s="660"/>
      <c r="R213" s="660"/>
      <c r="S213" s="939"/>
      <c r="T213" s="660">
        <f>IF(SUM(T72:T76)&lt;100,IF(SUM(T72:T76)&gt;9000,SUM(T72:T76)*180,9000),IF(SUM(T72:T76)*62&gt;18000,SUM(T72:T76)*62,18000))</f>
        <v>9000</v>
      </c>
      <c r="U213" s="1063"/>
      <c r="V213" s="969"/>
      <c r="W213" s="969"/>
      <c r="X213" s="509"/>
      <c r="Y213" s="660">
        <v>10620</v>
      </c>
      <c r="Z213" s="661"/>
      <c r="AA213" s="661"/>
      <c r="AB213" s="939"/>
      <c r="AC213" s="660">
        <f>IF(SUM(AC72:AC76)=0,0,IF(SUM(AC72:AC76)&lt;100,IF(SUM(AC72:AC76)&gt;9000,SUM(AC72:AC76)*180,9000),IF(SUM(AC72:AC76)*62&gt;18000,SUM(AC72:AC76)*62,18000)))</f>
        <v>9000</v>
      </c>
      <c r="AD213" s="1063"/>
      <c r="AE213" s="1087"/>
      <c r="AF213" s="969"/>
      <c r="AG213" s="939"/>
      <c r="AH213" s="660">
        <f>IF(SUM(AC72:AC76)=0,0,IF(SUM(AC72:AC76)&lt;100,IF(SUM(AC72:AC76)&gt;9000,SUM(AC72:AC76)*180,9000),IF(SUM(AC72:AC76)*62&gt;18000,SUM(AC72:AC76)*62,18000)))</f>
        <v>9000</v>
      </c>
      <c r="AI213" s="1063"/>
      <c r="AJ213" s="1087"/>
      <c r="AK213" s="1087"/>
      <c r="AL213" s="939"/>
      <c r="AM213" s="660">
        <f>IF(SUM(AC72:AC76)=0,0,IF(SUM(AC72:AC76)&lt;100,IF(SUM(AC72:AC76)&gt;9000,SUM(AC72:AC76)*180,9000),IF(SUM(AC72:AC76)*62&gt;18000,SUM(AC72:AC76)*62,18000)))</f>
        <v>9000</v>
      </c>
      <c r="AN213" s="1063"/>
      <c r="AO213" s="1087"/>
      <c r="AP213" s="1087"/>
      <c r="AQ213" s="939"/>
      <c r="AR213" s="660">
        <f>IF(SUM(AC72:AC76)=0,0,IF(SUM(AC72:AC76)&lt;100,IF(SUM(AC72:AC76)&gt;9000,SUM(AC72:AC76)*180,9000),IF(SUM(AC72:AC76)*62&gt;18000,SUM(AC72:AC76)*62,18000)))</f>
        <v>9000</v>
      </c>
      <c r="AS213" s="1063"/>
      <c r="AT213" s="1087"/>
      <c r="AU213" s="1087"/>
      <c r="AV213" s="939"/>
      <c r="AW213" s="660">
        <f>IF(SUM(AC72:AC76)=0,0,IF(SUM(AC72:AC76)&lt;100,IF(SUM(AC72:AC76)&gt;9000,SUM(AC72:AC76)*180,9000),IF(SUM(AC72:AC76)*62&gt;18000,SUM(AC72:AC76)*62,18000)))</f>
        <v>9000</v>
      </c>
      <c r="AX213" s="1063"/>
      <c r="AY213" s="1087"/>
      <c r="AZ213" s="1087"/>
      <c r="BA213" s="939"/>
      <c r="BB213" s="660">
        <f>IF(SUM(AC72:AC76)=0,0,IF(SUM(AC72:AC76)&lt;100,IF(SUM(AC72:AC76)&gt;9000,SUM(AC72:AC76)*180,9000),IF(SUM(AC72:AC76)*62&gt;18000,SUM(AC72:AC76)*62,18000)))</f>
        <v>9000</v>
      </c>
      <c r="BC213" s="1063"/>
      <c r="BD213" s="1087"/>
      <c r="BE213" s="1087"/>
    </row>
    <row r="214" spans="4:57">
      <c r="D214" t="s">
        <v>1217</v>
      </c>
      <c r="E214" s="509"/>
      <c r="F214" s="660" t="s">
        <v>1176</v>
      </c>
      <c r="G214" s="660"/>
      <c r="H214" s="660"/>
      <c r="I214" s="660"/>
      <c r="J214" s="660"/>
      <c r="K214" s="660"/>
      <c r="L214" s="660"/>
      <c r="M214" s="660"/>
      <c r="N214" s="660"/>
      <c r="O214" s="660"/>
      <c r="P214" s="660"/>
      <c r="Q214" s="660"/>
      <c r="R214" s="660"/>
      <c r="S214" s="939" t="s">
        <v>1219</v>
      </c>
      <c r="T214" s="660">
        <v>6600</v>
      </c>
      <c r="U214" s="1063"/>
      <c r="V214" s="969"/>
      <c r="W214" s="969"/>
      <c r="X214" s="509"/>
      <c r="Y214" s="660">
        <v>1155</v>
      </c>
      <c r="Z214" s="661"/>
      <c r="AA214" s="661"/>
      <c r="AB214" s="939"/>
      <c r="AC214" s="660">
        <v>6600</v>
      </c>
      <c r="AD214" s="1063"/>
      <c r="AE214" s="1087"/>
      <c r="AF214" s="969"/>
      <c r="AG214" s="939"/>
      <c r="AH214" s="660">
        <v>6600</v>
      </c>
      <c r="AI214" s="1063"/>
      <c r="AJ214" s="1087"/>
      <c r="AK214" s="1087"/>
      <c r="AL214" s="939"/>
      <c r="AM214" s="660">
        <v>6600</v>
      </c>
      <c r="AN214" s="1063"/>
      <c r="AO214" s="1087"/>
      <c r="AP214" s="1087"/>
      <c r="AQ214" s="939"/>
      <c r="AR214" s="660">
        <v>6600</v>
      </c>
      <c r="AS214" s="1063"/>
      <c r="AT214" s="1087"/>
      <c r="AU214" s="1087"/>
      <c r="AV214" s="939"/>
      <c r="AW214" s="660">
        <v>6600</v>
      </c>
      <c r="AX214" s="1063"/>
      <c r="AY214" s="1087"/>
      <c r="AZ214" s="1087"/>
      <c r="BA214" s="939"/>
      <c r="BB214" s="660">
        <v>6600</v>
      </c>
      <c r="BC214" s="1063"/>
      <c r="BD214" s="1087"/>
      <c r="BE214" s="1087"/>
    </row>
    <row r="215" spans="4:57" ht="15" thickBot="1">
      <c r="D215" s="1094" t="s">
        <v>1312</v>
      </c>
      <c r="E215" s="509"/>
      <c r="F215" s="1094" t="s">
        <v>1313</v>
      </c>
      <c r="G215" s="1094"/>
      <c r="H215" s="1094"/>
      <c r="I215" s="1094"/>
      <c r="J215" s="1094"/>
      <c r="K215" s="1094"/>
      <c r="L215" s="1094"/>
      <c r="M215" s="1094"/>
      <c r="N215" s="1094"/>
      <c r="O215" s="1094"/>
      <c r="P215" s="1094"/>
      <c r="Q215" s="1094"/>
      <c r="R215" s="1094"/>
      <c r="S215" s="1095"/>
      <c r="T215" s="1094"/>
      <c r="U215" s="1096"/>
      <c r="V215" s="1097"/>
      <c r="W215" s="1097"/>
      <c r="X215" s="1098"/>
      <c r="Y215" s="1094">
        <v>2060</v>
      </c>
      <c r="Z215" s="1099"/>
      <c r="AA215" s="1099"/>
      <c r="AB215" s="1095"/>
      <c r="AC215" s="1094">
        <f>ROUND(1700+73*AC19,0)</f>
        <v>2707</v>
      </c>
      <c r="AD215" s="1096"/>
      <c r="AE215" s="1100"/>
      <c r="AF215" s="1097"/>
      <c r="AG215" s="1095"/>
      <c r="AH215" s="1094">
        <f>ROUND(1700+73*AH19,0)</f>
        <v>2948</v>
      </c>
      <c r="AI215" s="1096"/>
      <c r="AJ215" s="1100"/>
      <c r="AK215" s="1100"/>
      <c r="AL215" s="1095"/>
      <c r="AM215" s="1094">
        <f>ROUND(1700+73*AM19,0)</f>
        <v>3006</v>
      </c>
      <c r="AN215" s="1096"/>
      <c r="AO215" s="1100"/>
      <c r="AP215" s="1100"/>
      <c r="AQ215" s="1095"/>
      <c r="AR215" s="1094">
        <f>ROUND(1700+73*AR19,0)</f>
        <v>3010</v>
      </c>
      <c r="AS215" s="1096"/>
      <c r="AT215" s="1100"/>
      <c r="AU215" s="1100"/>
      <c r="AV215" s="1095"/>
      <c r="AW215" s="1094">
        <f>ROUND(1700+73*AW19,0)</f>
        <v>2978</v>
      </c>
      <c r="AX215" s="1096"/>
      <c r="AY215" s="1100"/>
      <c r="AZ215" s="1100"/>
      <c r="BA215" s="1095"/>
      <c r="BB215" s="1094">
        <f>ROUND(1700+73*BB19,0)</f>
        <v>3184</v>
      </c>
      <c r="BC215" s="1096"/>
      <c r="BD215" s="1100"/>
      <c r="BE215" s="1100"/>
    </row>
    <row r="216" spans="4:57" ht="15" thickBot="1">
      <c r="D216" t="s">
        <v>1218</v>
      </c>
      <c r="E216" s="186"/>
      <c r="F216" s="61" t="s">
        <v>1314</v>
      </c>
      <c r="G216" s="61"/>
      <c r="H216" s="660"/>
      <c r="I216" s="660"/>
      <c r="J216" s="660"/>
      <c r="K216" s="660"/>
      <c r="L216" s="660"/>
      <c r="M216" s="660"/>
      <c r="N216" s="660"/>
      <c r="O216" s="660"/>
      <c r="P216" s="660"/>
      <c r="Q216" s="660"/>
      <c r="R216" s="660"/>
      <c r="Y216" s="660">
        <v>716</v>
      </c>
      <c r="Z216" s="661"/>
      <c r="AA216" s="661"/>
      <c r="AB216" s="984">
        <v>1</v>
      </c>
      <c r="AC216" s="660">
        <f>+AB216*227</f>
        <v>227</v>
      </c>
      <c r="AD216" s="1063"/>
      <c r="AE216" s="988"/>
      <c r="AF216" s="964"/>
      <c r="AG216" s="984">
        <v>1</v>
      </c>
      <c r="AH216" s="660">
        <f>+AG216*227</f>
        <v>227</v>
      </c>
      <c r="AI216" s="1063"/>
      <c r="AJ216" s="988"/>
      <c r="AK216" s="988"/>
      <c r="AL216" s="984">
        <v>1</v>
      </c>
      <c r="AM216" s="660">
        <f>+AL216*227</f>
        <v>227</v>
      </c>
      <c r="AN216" s="1063"/>
      <c r="AO216" s="988"/>
      <c r="AP216" s="988"/>
      <c r="AQ216" s="984">
        <v>1</v>
      </c>
      <c r="AR216" s="660">
        <f>+AQ216*227</f>
        <v>227</v>
      </c>
      <c r="AS216" s="1063"/>
      <c r="AT216" s="988"/>
      <c r="AU216" s="988"/>
      <c r="AV216" s="984">
        <v>1</v>
      </c>
      <c r="AW216" s="660">
        <f>+AV216*227</f>
        <v>227</v>
      </c>
      <c r="AX216" s="1063"/>
      <c r="AY216" s="988"/>
      <c r="AZ216" s="988"/>
      <c r="BA216" s="984">
        <v>1</v>
      </c>
      <c r="BB216" s="660">
        <f>+BA216*227</f>
        <v>227</v>
      </c>
      <c r="BC216" s="1063"/>
      <c r="BD216" s="988"/>
      <c r="BE216" s="988"/>
    </row>
    <row r="217" spans="4:57">
      <c r="D217" s="1088" t="s">
        <v>1200</v>
      </c>
      <c r="E217" s="825" t="s">
        <v>1315</v>
      </c>
      <c r="F217" s="825"/>
      <c r="G217" s="825"/>
      <c r="H217" s="825"/>
      <c r="I217" s="825"/>
      <c r="J217" s="825"/>
      <c r="K217" s="825"/>
      <c r="L217" s="825"/>
      <c r="M217" s="825"/>
      <c r="N217" s="825"/>
      <c r="O217" s="825"/>
      <c r="P217" s="825"/>
      <c r="Q217" s="825"/>
      <c r="R217" s="825"/>
      <c r="S217" s="940"/>
      <c r="T217" s="825">
        <v>0</v>
      </c>
      <c r="U217" s="1079"/>
      <c r="V217" s="970"/>
      <c r="W217" s="970"/>
      <c r="X217" s="826"/>
      <c r="Y217" s="825">
        <v>0</v>
      </c>
      <c r="Z217" s="827"/>
      <c r="AA217" s="827"/>
      <c r="AB217" s="940"/>
      <c r="AC217" s="825">
        <f>ROUND(SUM(AC64:AC67)*387+390*AC218+(390*0.75)*AC219,0)</f>
        <v>14706</v>
      </c>
      <c r="AD217" s="1089"/>
      <c r="AE217" s="1089"/>
      <c r="AF217" s="970"/>
      <c r="AG217" s="940"/>
      <c r="AH217" s="825">
        <f>ROUND(SUM(AH64:AH67)*387+390*AH218+(390*0.75)*AH219,0)</f>
        <v>25929</v>
      </c>
      <c r="AI217" s="1089"/>
      <c r="AJ217" s="1089"/>
      <c r="AK217" s="1089"/>
      <c r="AL217" s="940"/>
      <c r="AM217" s="825">
        <f>ROUND(SUM(AM64:AM67)*387+390*AM218+(390*0.75)*AM219,0)</f>
        <v>29799</v>
      </c>
      <c r="AN217" s="1089"/>
      <c r="AO217" s="1089"/>
      <c r="AP217" s="1089"/>
      <c r="AQ217" s="940"/>
      <c r="AR217" s="825">
        <f>ROUND(SUM(AR64:AR67)*387+390*AR218+(390*0.75)*AR219,0)</f>
        <v>31734</v>
      </c>
      <c r="AS217" s="1089"/>
      <c r="AT217" s="1089"/>
      <c r="AU217" s="1089"/>
      <c r="AV217" s="940"/>
      <c r="AW217" s="825">
        <f>ROUND(SUM(AW64:AW67)*387+390*AW218+(390*0.75)*AW219,0)</f>
        <v>30960</v>
      </c>
      <c r="AX217" s="1089"/>
      <c r="AY217" s="1089"/>
      <c r="AZ217" s="1089"/>
      <c r="BA217" s="940"/>
      <c r="BB217" s="825">
        <f>ROUND(SUM(BB64:BB67)*387+390*BB218+(390*0.75)*BB219,0)</f>
        <v>38700</v>
      </c>
      <c r="BC217" s="1089"/>
      <c r="BD217" s="1089"/>
      <c r="BE217" s="1090"/>
    </row>
    <row r="218" spans="4:57">
      <c r="D218" s="828"/>
      <c r="E218" s="505"/>
      <c r="F218" s="506" t="s">
        <v>1201</v>
      </c>
      <c r="G218" s="506"/>
      <c r="H218" s="644"/>
      <c r="I218" s="644"/>
      <c r="J218" s="644"/>
      <c r="K218" s="644"/>
      <c r="L218" s="644"/>
      <c r="M218" s="644"/>
      <c r="N218" s="644"/>
      <c r="O218" s="644"/>
      <c r="P218" s="644"/>
      <c r="Q218" s="644"/>
      <c r="R218" s="644"/>
      <c r="S218" s="941"/>
      <c r="T218" s="644"/>
      <c r="U218" s="1056"/>
      <c r="V218" s="971"/>
      <c r="W218" s="971"/>
      <c r="X218" s="829"/>
      <c r="Y218" s="644"/>
      <c r="Z218" s="830"/>
      <c r="AA218" s="830"/>
      <c r="AB218" s="831" t="s">
        <v>1203</v>
      </c>
      <c r="AC218" s="832">
        <v>0</v>
      </c>
      <c r="AD218" s="990"/>
      <c r="AE218" s="990"/>
      <c r="AF218" s="966"/>
      <c r="AG218" s="831" t="s">
        <v>1203</v>
      </c>
      <c r="AH218" s="832">
        <v>0</v>
      </c>
      <c r="AI218" s="990"/>
      <c r="AJ218" s="990"/>
      <c r="AK218" s="990"/>
      <c r="AL218" s="831" t="s">
        <v>1203</v>
      </c>
      <c r="AM218" s="832">
        <v>0</v>
      </c>
      <c r="AN218" s="990"/>
      <c r="AO218" s="990"/>
      <c r="AP218" s="990"/>
      <c r="AQ218" s="831" t="s">
        <v>1203</v>
      </c>
      <c r="AR218" s="832">
        <v>0</v>
      </c>
      <c r="AS218" s="990"/>
      <c r="AT218" s="990"/>
      <c r="AU218" s="990"/>
      <c r="AV218" s="831" t="s">
        <v>1203</v>
      </c>
      <c r="AW218" s="832">
        <v>0</v>
      </c>
      <c r="AX218" s="990"/>
      <c r="AY218" s="990"/>
      <c r="AZ218" s="990"/>
      <c r="BA218" s="831" t="s">
        <v>1203</v>
      </c>
      <c r="BB218" s="832">
        <v>0</v>
      </c>
      <c r="BC218" s="990"/>
      <c r="BD218" s="990"/>
      <c r="BE218" s="1023"/>
    </row>
    <row r="219" spans="4:57" ht="15" thickBot="1">
      <c r="D219" s="833"/>
      <c r="E219" s="834"/>
      <c r="F219" s="835" t="s">
        <v>1202</v>
      </c>
      <c r="G219" s="835"/>
      <c r="H219" s="836"/>
      <c r="I219" s="836"/>
      <c r="J219" s="836"/>
      <c r="K219" s="836"/>
      <c r="L219" s="836"/>
      <c r="M219" s="836"/>
      <c r="N219" s="836"/>
      <c r="O219" s="836"/>
      <c r="P219" s="836"/>
      <c r="Q219" s="836"/>
      <c r="R219" s="836"/>
      <c r="S219" s="942"/>
      <c r="T219" s="836"/>
      <c r="U219" s="1080"/>
      <c r="V219" s="972"/>
      <c r="W219" s="972"/>
      <c r="X219" s="837"/>
      <c r="Y219" s="836"/>
      <c r="Z219" s="838"/>
      <c r="AA219" s="838"/>
      <c r="AB219" s="839" t="s">
        <v>1203</v>
      </c>
      <c r="AC219" s="840">
        <v>0</v>
      </c>
      <c r="AD219" s="992"/>
      <c r="AE219" s="992"/>
      <c r="AF219" s="999"/>
      <c r="AG219" s="839" t="s">
        <v>1203</v>
      </c>
      <c r="AH219" s="840">
        <v>0</v>
      </c>
      <c r="AI219" s="992"/>
      <c r="AJ219" s="992"/>
      <c r="AK219" s="992"/>
      <c r="AL219" s="839" t="s">
        <v>1203</v>
      </c>
      <c r="AM219" s="840">
        <v>0</v>
      </c>
      <c r="AN219" s="992"/>
      <c r="AO219" s="992"/>
      <c r="AP219" s="992"/>
      <c r="AQ219" s="839" t="s">
        <v>1203</v>
      </c>
      <c r="AR219" s="840">
        <v>0</v>
      </c>
      <c r="AS219" s="992"/>
      <c r="AT219" s="992"/>
      <c r="AU219" s="992"/>
      <c r="AV219" s="839" t="s">
        <v>1203</v>
      </c>
      <c r="AW219" s="840">
        <v>0</v>
      </c>
      <c r="AX219" s="992"/>
      <c r="AY219" s="992"/>
      <c r="AZ219" s="992"/>
      <c r="BA219" s="839" t="s">
        <v>1203</v>
      </c>
      <c r="BB219" s="840">
        <v>0</v>
      </c>
      <c r="BC219" s="992"/>
      <c r="BD219" s="992"/>
      <c r="BE219" s="1024"/>
    </row>
    <row r="220" spans="4:57">
      <c r="D220" t="s">
        <v>114</v>
      </c>
      <c r="E220" s="509"/>
      <c r="F220" s="660" t="s">
        <v>1320</v>
      </c>
      <c r="G220" s="660"/>
      <c r="H220" s="660"/>
      <c r="I220" s="660"/>
      <c r="J220" s="660"/>
      <c r="K220" s="660"/>
      <c r="L220" s="660"/>
      <c r="M220" s="660"/>
      <c r="N220" s="660"/>
      <c r="O220" s="660"/>
      <c r="P220" s="660"/>
      <c r="Q220" s="660"/>
      <c r="R220" s="660"/>
      <c r="S220" s="939"/>
      <c r="T220" s="660">
        <f>IF(SUM(T73:T76)=0,0,IF(SUM(T73:T76)&lt;99,34000,IF(SUM(T73:T76)&lt;159,3000,IF(SUM(T73:T76)&lt;319,7700,IF(SUM(T73:T76)&lt;639,55800,75500)))))</f>
        <v>34000</v>
      </c>
      <c r="U220" s="1063"/>
      <c r="V220" s="969"/>
      <c r="W220" s="969"/>
      <c r="X220" s="509"/>
      <c r="Y220" s="660">
        <f>IF(SUM(Y73:Y76)=0,0,IF(SUM(Y73:Y76)&lt;99,34000,IF(SUM(Y73:Y76)&lt;159,3000,IF(SUM(Y73:Y76)&lt;319,7700,IF(SUM(Y73:Y76)&lt;639,55800,75500)))))</f>
        <v>34000</v>
      </c>
      <c r="Z220" s="661"/>
      <c r="AA220" s="661"/>
      <c r="AB220" s="939"/>
      <c r="AC220" s="660">
        <f>IF(SUM(AC73:AC76)=0,0,IF(SUM(AC73:AC76)&lt;99,59700,IF(SUM(AC73:AC76)&lt;159,5300,IF(SUM(AC73:AC76)&lt;319,13600,IF(SUM(AC73:AC76)&lt;639,66800,100800)))))</f>
        <v>59700</v>
      </c>
      <c r="AD220" s="1087"/>
      <c r="AE220" s="1087"/>
      <c r="AF220" s="969"/>
      <c r="AG220" s="939"/>
      <c r="AH220" s="660">
        <f>IF(SUM(AH73:AH76)=0,0,IF(SUM(AH73:AH76)&lt;99,59700,IF(SUM(AH73:AH76)&lt;159,5300,IF(SUM(AH73:AH76)&lt;319,13600,IF(SUM(AH73:AH76)&lt;639,66800,100800)))))</f>
        <v>59700</v>
      </c>
      <c r="AI220" s="1087"/>
      <c r="AJ220" s="1087"/>
      <c r="AK220" s="1087"/>
      <c r="AL220" s="939"/>
      <c r="AM220" s="660">
        <f>IF(SUM(AM73:AM76)=0,0,IF(SUM(AM73:AM76)&lt;99,59700,IF(SUM(AM73:AM76)&lt;159,5300,IF(SUM(AM73:AM76)&lt;319,13600,IF(SUM(AM73:AM76)&lt;639,66800,100800)))))</f>
        <v>59700</v>
      </c>
      <c r="AN220" s="1087"/>
      <c r="AO220" s="1087"/>
      <c r="AP220" s="1087"/>
      <c r="AQ220" s="939"/>
      <c r="AR220" s="660">
        <f>IF(SUM(AR73:AR76)=0,0,IF(SUM(AR73:AR76)&lt;99,59700,IF(SUM(AR73:AR76)&lt;159,5300,IF(SUM(AR73:AR76)&lt;319,13600,IF(SUM(AR73:AR76)&lt;639,66800,100800)))))</f>
        <v>5300</v>
      </c>
      <c r="AS220" s="1087"/>
      <c r="AT220" s="1087"/>
      <c r="AU220" s="1087"/>
      <c r="AV220" s="939"/>
      <c r="AW220" s="660">
        <f>IF(SUM(AW73:AW76)=0,0,IF(SUM(AW73:AW76)&lt;99,59700,IF(SUM(AW73:AW76)&lt;159,5300,IF(SUM(AW73:AW76)&lt;319,13600,IF(SUM(AW73:AW76)&lt;639,66800,100800)))))</f>
        <v>59700</v>
      </c>
      <c r="AX220" s="1087"/>
      <c r="AY220" s="1087"/>
      <c r="AZ220" s="1087"/>
      <c r="BA220" s="939"/>
      <c r="BB220" s="660">
        <f>IF(SUM(BB73:BB76)=0,0,IF(SUM(BB73:BB76)&lt;99,59700,IF(SUM(BB73:BB76)&lt;159,5300,IF(SUM(BB73:BB76)&lt;319,13600,IF(SUM(BB73:BB76)&lt;639,66800,100800)))))</f>
        <v>5300</v>
      </c>
      <c r="BC220" s="1087"/>
      <c r="BD220" s="1087"/>
      <c r="BE220" s="1087"/>
    </row>
    <row r="221" spans="4:57" ht="15" customHeight="1">
      <c r="D221" t="s">
        <v>1221</v>
      </c>
      <c r="E221" s="186"/>
      <c r="F221" s="61" t="s">
        <v>1305</v>
      </c>
      <c r="G221" s="61"/>
      <c r="H221" s="61"/>
      <c r="I221" s="61"/>
      <c r="J221" s="61"/>
      <c r="K221" s="61"/>
      <c r="L221" s="61"/>
      <c r="M221" s="61"/>
      <c r="N221" s="61"/>
      <c r="O221" s="61"/>
      <c r="P221" s="61"/>
      <c r="Q221" s="61"/>
      <c r="R221" s="61"/>
      <c r="S221" s="936"/>
      <c r="T221" s="660">
        <v>0</v>
      </c>
      <c r="U221" s="1063"/>
      <c r="V221" s="969"/>
      <c r="W221" s="969"/>
      <c r="X221" s="509"/>
      <c r="Y221" s="660">
        <v>0</v>
      </c>
      <c r="Z221" s="661"/>
      <c r="AA221" s="661"/>
      <c r="AB221" s="1093" t="s">
        <v>1309</v>
      </c>
      <c r="AC221" s="1092"/>
      <c r="AD221" s="988"/>
      <c r="AE221" s="988"/>
      <c r="AF221" s="964"/>
      <c r="AG221" s="1093" t="s">
        <v>1309</v>
      </c>
      <c r="AH221" s="1092"/>
      <c r="AI221" s="988"/>
      <c r="AJ221" s="988"/>
      <c r="AK221" s="988"/>
      <c r="AL221" s="1093" t="s">
        <v>1309</v>
      </c>
      <c r="AM221" s="1092"/>
      <c r="AN221" s="988"/>
      <c r="AO221" s="988"/>
      <c r="AP221" s="988"/>
      <c r="AQ221" s="1093" t="s">
        <v>1309</v>
      </c>
      <c r="AR221" s="1092"/>
      <c r="AS221" s="988"/>
      <c r="AT221" s="988"/>
      <c r="AU221" s="988"/>
      <c r="AV221" s="1093" t="s">
        <v>1309</v>
      </c>
      <c r="AW221" s="1092"/>
      <c r="AX221" s="988"/>
      <c r="AY221" s="988"/>
      <c r="AZ221" s="988"/>
      <c r="BA221" s="1093" t="s">
        <v>1309</v>
      </c>
      <c r="BB221" s="1092"/>
      <c r="BC221" s="988"/>
      <c r="BD221" s="988"/>
      <c r="BE221" s="988"/>
    </row>
    <row r="222" spans="4:57">
      <c r="D222" t="s">
        <v>115</v>
      </c>
      <c r="E222" s="509"/>
      <c r="F222" s="660" t="s">
        <v>1306</v>
      </c>
      <c r="G222" s="660"/>
      <c r="H222" s="660"/>
      <c r="I222" s="660"/>
      <c r="J222" s="660"/>
      <c r="K222" s="660"/>
      <c r="L222" s="660"/>
      <c r="M222" s="660"/>
      <c r="N222" s="660"/>
      <c r="O222" s="660"/>
      <c r="P222" s="660"/>
      <c r="Q222" s="660"/>
      <c r="R222" s="660"/>
      <c r="S222" s="939"/>
      <c r="T222" s="660">
        <f>8000+(475*(S117+S123))</f>
        <v>14602.5</v>
      </c>
      <c r="U222" s="1063"/>
      <c r="V222" s="969"/>
      <c r="W222" s="969"/>
      <c r="X222" s="509"/>
      <c r="Y222" s="660">
        <v>10786</v>
      </c>
      <c r="Z222" s="661"/>
      <c r="AA222" s="661"/>
      <c r="AB222" s="939"/>
      <c r="AC222" s="660">
        <f>ROUND(8000+(452*(AB117+AB123)),0)</f>
        <v>15232</v>
      </c>
      <c r="AD222" s="1087"/>
      <c r="AE222" s="1087"/>
      <c r="AF222" s="969"/>
      <c r="AG222" s="939"/>
      <c r="AH222" s="660">
        <f>ROUND(8000+(452*(AG117+AG123)),0)</f>
        <v>16136</v>
      </c>
      <c r="AI222" s="1087"/>
      <c r="AJ222" s="1087"/>
      <c r="AK222" s="1087"/>
      <c r="AL222" s="939"/>
      <c r="AM222" s="660">
        <f>ROUND(8000+(452*(AL117+AL123)),0)</f>
        <v>16136</v>
      </c>
      <c r="AN222" s="1087"/>
      <c r="AO222" s="1087"/>
      <c r="AP222" s="1087"/>
      <c r="AQ222" s="939"/>
      <c r="AR222" s="660">
        <f>ROUND(8000+(452*(AQ117+AQ123)),0)</f>
        <v>16136</v>
      </c>
      <c r="AS222" s="1087"/>
      <c r="AT222" s="1087"/>
      <c r="AU222" s="1087"/>
      <c r="AV222" s="939"/>
      <c r="AW222" s="660">
        <f>ROUND(8000+(452*(AV117+AV123)),0)</f>
        <v>16136</v>
      </c>
      <c r="AX222" s="1087"/>
      <c r="AY222" s="1087"/>
      <c r="AZ222" s="1087"/>
      <c r="BA222" s="939"/>
      <c r="BB222" s="660">
        <f>ROUND(8000+(452*(BA117+BA123)),0)</f>
        <v>16136</v>
      </c>
      <c r="BC222" s="1087"/>
      <c r="BD222" s="1087"/>
      <c r="BE222" s="1087"/>
    </row>
    <row r="223" spans="4:57" ht="15" thickBot="1">
      <c r="D223" t="s">
        <v>1220</v>
      </c>
      <c r="E223" s="509"/>
      <c r="F223" s="660" t="s">
        <v>1307</v>
      </c>
      <c r="G223" s="660"/>
      <c r="H223" s="660"/>
      <c r="I223" s="660"/>
      <c r="J223" s="660"/>
      <c r="K223" s="660"/>
      <c r="L223" s="660"/>
      <c r="M223" s="660"/>
      <c r="N223" s="660"/>
      <c r="O223" s="660"/>
      <c r="P223" s="660"/>
      <c r="Q223" s="660"/>
      <c r="R223" s="660"/>
      <c r="S223" s="939"/>
      <c r="T223" s="660"/>
      <c r="U223" s="1063"/>
      <c r="V223" s="969"/>
      <c r="W223" s="969"/>
      <c r="X223" s="509"/>
      <c r="Y223" s="660">
        <v>2430</v>
      </c>
      <c r="Z223" s="661"/>
      <c r="AA223" s="661"/>
      <c r="AB223" s="939"/>
      <c r="AC223" s="660">
        <f>ROUND(1500+126*(AB117+AB123),0)</f>
        <v>3516</v>
      </c>
      <c r="AD223" s="1087"/>
      <c r="AE223" s="1087"/>
      <c r="AF223" s="969"/>
      <c r="AG223" s="939"/>
      <c r="AH223" s="660">
        <f>ROUND(1500+126*(AG117+AG123),0)</f>
        <v>3768</v>
      </c>
      <c r="AI223" s="1087"/>
      <c r="AJ223" s="1087"/>
      <c r="AK223" s="1087"/>
      <c r="AL223" s="939"/>
      <c r="AM223" s="660">
        <f>ROUND(1500+126*(AL117+AL123),0)</f>
        <v>3768</v>
      </c>
      <c r="AN223" s="1087"/>
      <c r="AO223" s="1087"/>
      <c r="AP223" s="1087"/>
      <c r="AQ223" s="939"/>
      <c r="AR223" s="660">
        <f>ROUND(1500+126*(AQ117+AQ123),0)</f>
        <v>3768</v>
      </c>
      <c r="AS223" s="1087"/>
      <c r="AT223" s="1087"/>
      <c r="AU223" s="1087"/>
      <c r="AV223" s="939"/>
      <c r="AW223" s="660">
        <f>ROUND(1500+126*(AV117+AV123),0)</f>
        <v>3768</v>
      </c>
      <c r="AX223" s="1087"/>
      <c r="AY223" s="1087"/>
      <c r="AZ223" s="1087"/>
      <c r="BA223" s="939"/>
      <c r="BB223" s="660">
        <f>ROUND(1500+126*(BA117+BA123),0)</f>
        <v>3768</v>
      </c>
      <c r="BC223" s="1087"/>
      <c r="BD223" s="1087"/>
      <c r="BE223" s="1087"/>
    </row>
    <row r="224" spans="4:57" ht="14.55" customHeight="1">
      <c r="D224" s="1101" t="s">
        <v>483</v>
      </c>
      <c r="E224" s="1102"/>
      <c r="F224" s="1180" t="s">
        <v>1308</v>
      </c>
      <c r="G224" s="1180"/>
      <c r="H224" s="1180"/>
      <c r="I224" s="1180"/>
      <c r="J224" s="1180"/>
      <c r="K224" s="1180"/>
      <c r="L224" s="1103"/>
      <c r="M224" s="1103"/>
      <c r="N224" s="1103"/>
      <c r="O224" s="1103"/>
      <c r="P224" s="1103"/>
      <c r="Q224" s="1103"/>
      <c r="R224" s="1103"/>
      <c r="S224" s="1104"/>
      <c r="T224" s="1103">
        <v>0</v>
      </c>
      <c r="U224" s="1105"/>
      <c r="V224" s="1106"/>
      <c r="W224" s="1106"/>
      <c r="X224" s="1102"/>
      <c r="Y224" s="1103">
        <v>3627</v>
      </c>
      <c r="Z224" s="1107"/>
      <c r="AA224" s="1107"/>
      <c r="AB224" s="1108" t="s">
        <v>1309</v>
      </c>
      <c r="AC224" s="1109"/>
      <c r="AD224" s="1110"/>
      <c r="AE224" s="1110"/>
      <c r="AF224" s="1106"/>
      <c r="AG224" s="1108" t="s">
        <v>1309</v>
      </c>
      <c r="AH224" s="1109"/>
      <c r="AI224" s="1110"/>
      <c r="AJ224" s="1110"/>
      <c r="AK224" s="1110"/>
      <c r="AL224" s="1108" t="s">
        <v>1309</v>
      </c>
      <c r="AM224" s="1109"/>
      <c r="AN224" s="1110"/>
      <c r="AO224" s="1110"/>
      <c r="AP224" s="1110"/>
      <c r="AQ224" s="1108" t="s">
        <v>1309</v>
      </c>
      <c r="AR224" s="1109"/>
      <c r="AS224" s="1110"/>
      <c r="AT224" s="1110"/>
      <c r="AU224" s="1110"/>
      <c r="AV224" s="1108" t="s">
        <v>1309</v>
      </c>
      <c r="AW224" s="1109"/>
      <c r="AX224" s="1110"/>
      <c r="AY224" s="1110"/>
      <c r="AZ224" s="1110"/>
      <c r="BA224" s="1108" t="s">
        <v>1309</v>
      </c>
      <c r="BB224" s="1109"/>
      <c r="BC224" s="1110"/>
      <c r="BD224" s="1110"/>
      <c r="BE224" s="1111"/>
    </row>
    <row r="225" spans="4:68" ht="15" thickBot="1">
      <c r="D225" s="1112"/>
      <c r="E225" s="1113"/>
      <c r="F225" s="1181"/>
      <c r="G225" s="1181"/>
      <c r="H225" s="1181"/>
      <c r="I225" s="1181"/>
      <c r="J225" s="1181"/>
      <c r="K225" s="1181"/>
      <c r="L225" s="1114"/>
      <c r="M225" s="1114"/>
      <c r="N225" s="1114"/>
      <c r="O225" s="1114"/>
      <c r="P225" s="1114"/>
      <c r="Q225" s="1114"/>
      <c r="R225" s="1114"/>
      <c r="S225" s="1115"/>
      <c r="T225" s="1114"/>
      <c r="U225" s="1116"/>
      <c r="V225" s="1117"/>
      <c r="W225" s="1117"/>
      <c r="X225" s="1113"/>
      <c r="Y225" s="1114"/>
      <c r="Z225" s="1118"/>
      <c r="AA225" s="1118"/>
      <c r="AB225" s="1115"/>
      <c r="AC225" s="1114"/>
      <c r="AD225" s="1119"/>
      <c r="AE225" s="1119"/>
      <c r="AF225" s="1117"/>
      <c r="AG225" s="1115"/>
      <c r="AH225" s="1114"/>
      <c r="AI225" s="1119"/>
      <c r="AJ225" s="1119"/>
      <c r="AK225" s="1119"/>
      <c r="AL225" s="1115"/>
      <c r="AM225" s="1114"/>
      <c r="AN225" s="1119"/>
      <c r="AO225" s="1119"/>
      <c r="AP225" s="1119"/>
      <c r="AQ225" s="1115"/>
      <c r="AR225" s="1114"/>
      <c r="AS225" s="1119"/>
      <c r="AT225" s="1119"/>
      <c r="AU225" s="1119"/>
      <c r="AV225" s="1115"/>
      <c r="AW225" s="1114"/>
      <c r="AX225" s="1119"/>
      <c r="AY225" s="1119"/>
      <c r="AZ225" s="1119"/>
      <c r="BA225" s="1115"/>
      <c r="BB225" s="1114"/>
      <c r="BC225" s="1119"/>
      <c r="BD225" s="1119"/>
      <c r="BE225" s="1120"/>
    </row>
    <row r="226" spans="4:68">
      <c r="D226" t="s">
        <v>916</v>
      </c>
      <c r="E226" s="509"/>
      <c r="F226" s="660" t="s">
        <v>1321</v>
      </c>
      <c r="G226" s="660"/>
      <c r="H226" s="660"/>
      <c r="I226" s="660"/>
      <c r="J226" s="660"/>
      <c r="L226" s="660"/>
      <c r="M226" s="660"/>
      <c r="N226" s="660"/>
      <c r="O226" s="660"/>
      <c r="P226" s="660"/>
      <c r="Q226" s="660"/>
      <c r="R226" s="660"/>
      <c r="S226" s="939"/>
      <c r="T226" s="660">
        <f>ROUND(IF(T210="Y",0,2000+11.5*Q80),0)</f>
        <v>2000</v>
      </c>
      <c r="U226" s="1063"/>
      <c r="V226" s="969"/>
      <c r="W226" s="969"/>
      <c r="X226" s="509"/>
      <c r="Y226" s="660">
        <v>3767</v>
      </c>
      <c r="Z226" s="661"/>
      <c r="AA226" s="661"/>
      <c r="AB226" s="939"/>
      <c r="AC226" s="660">
        <f>ROUND(IF(AC210="Y",0,2000+13*Y80),0)</f>
        <v>3754</v>
      </c>
      <c r="AD226" s="1087"/>
      <c r="AE226" s="1087"/>
      <c r="AF226" s="969"/>
      <c r="AG226" s="939"/>
      <c r="AH226" s="660">
        <f>ROUND(IF(AH210="Y",0,2000+13*AC80),0)</f>
        <v>4554</v>
      </c>
      <c r="AI226" s="1087"/>
      <c r="AJ226" s="1087"/>
      <c r="AK226" s="1087"/>
      <c r="AL226" s="939"/>
      <c r="AM226" s="660">
        <f>ROUND(IF(AM210="Y",0,2000+13*AH80),0)</f>
        <v>5137</v>
      </c>
      <c r="AN226" s="1087"/>
      <c r="AO226" s="1087"/>
      <c r="AP226" s="1087"/>
      <c r="AQ226" s="939"/>
      <c r="AR226" s="660">
        <f>ROUND(IF(AR210="Y",0,2000+13*AM80),0)</f>
        <v>5260</v>
      </c>
      <c r="AS226" s="1087"/>
      <c r="AT226" s="1087"/>
      <c r="AU226" s="1087"/>
      <c r="AV226" s="939"/>
      <c r="AW226" s="660">
        <f>ROUND(IF(AW210="Y",0,2000+13*AR80),0)</f>
        <v>5260</v>
      </c>
      <c r="AX226" s="1087"/>
      <c r="AY226" s="1087"/>
      <c r="AZ226" s="1087"/>
      <c r="BA226" s="939"/>
      <c r="BB226" s="660">
        <f>ROUND(IF(BB210="Y",0,2000+13*AW80),0)</f>
        <v>5211</v>
      </c>
      <c r="BC226" s="1087"/>
      <c r="BD226" s="1087"/>
      <c r="BE226" s="1087"/>
    </row>
    <row r="227" spans="4:68">
      <c r="D227" t="s">
        <v>1322</v>
      </c>
      <c r="E227" s="509"/>
      <c r="F227" s="1091" t="s">
        <v>1287</v>
      </c>
      <c r="G227" s="895" t="s">
        <v>1288</v>
      </c>
      <c r="H227" s="1091">
        <v>91</v>
      </c>
      <c r="J227" t="s">
        <v>1303</v>
      </c>
      <c r="L227" s="660"/>
      <c r="M227" s="660"/>
      <c r="N227" s="660"/>
      <c r="O227" s="660"/>
      <c r="P227" s="660"/>
      <c r="Q227" s="660"/>
      <c r="R227" s="660"/>
      <c r="S227" s="939"/>
      <c r="T227" s="660">
        <f>IFERROR(ROUND(IF(T210="Y",0,$F$227*Q80),0),0)</f>
        <v>0</v>
      </c>
      <c r="U227" s="1063"/>
      <c r="V227" s="969"/>
      <c r="W227" s="969"/>
      <c r="X227" s="509"/>
      <c r="Y227" s="660">
        <v>12777</v>
      </c>
      <c r="Z227" s="661"/>
      <c r="AA227" s="661"/>
      <c r="AB227" s="939"/>
      <c r="AC227" s="856"/>
      <c r="AD227" s="988" t="s">
        <v>1199</v>
      </c>
      <c r="AE227" s="988"/>
      <c r="AF227" s="964"/>
      <c r="AG227" s="936"/>
      <c r="AH227" s="856"/>
      <c r="AI227" s="988" t="s">
        <v>1199</v>
      </c>
      <c r="AJ227" s="988"/>
      <c r="AK227" s="988"/>
      <c r="AL227" s="936"/>
      <c r="AM227" s="856"/>
      <c r="AN227" s="988" t="s">
        <v>1199</v>
      </c>
      <c r="AO227" s="988"/>
      <c r="AP227" s="988"/>
      <c r="AQ227" s="936"/>
      <c r="AR227" s="856"/>
      <c r="AS227" s="988" t="s">
        <v>1199</v>
      </c>
      <c r="AT227" s="988"/>
      <c r="AU227" s="988"/>
      <c r="AV227" s="936"/>
      <c r="AW227" s="856"/>
      <c r="AX227" s="988" t="s">
        <v>1199</v>
      </c>
      <c r="AY227" s="988"/>
      <c r="AZ227" s="988"/>
      <c r="BA227" s="936"/>
      <c r="BB227" s="856"/>
      <c r="BC227" s="988" t="s">
        <v>1199</v>
      </c>
      <c r="BD227" s="988"/>
      <c r="BE227" s="1087"/>
    </row>
    <row r="228" spans="4:68" s="542" customFormat="1">
      <c r="D228" s="542" t="s">
        <v>1304</v>
      </c>
      <c r="G228" s="857"/>
      <c r="H228" s="857"/>
      <c r="I228" s="857"/>
      <c r="J228" s="857"/>
      <c r="K228" s="857"/>
      <c r="L228" s="857"/>
      <c r="M228" s="857"/>
      <c r="N228" s="857"/>
      <c r="O228" s="857"/>
      <c r="P228" s="857"/>
      <c r="Q228" s="857"/>
      <c r="R228" s="857"/>
      <c r="S228" s="943"/>
      <c r="T228" s="859"/>
      <c r="U228" s="1064"/>
      <c r="V228" s="973"/>
      <c r="W228" s="973"/>
      <c r="X228" s="858"/>
      <c r="Y228" s="859"/>
      <c r="Z228" s="860"/>
      <c r="AA228" s="860"/>
      <c r="AB228" s="943"/>
      <c r="AC228" s="856"/>
      <c r="AD228" s="988" t="s">
        <v>1199</v>
      </c>
      <c r="AE228" s="988"/>
      <c r="AF228" s="964"/>
      <c r="AG228" s="936"/>
      <c r="AH228" s="856"/>
      <c r="AI228" s="988" t="s">
        <v>1199</v>
      </c>
      <c r="AJ228" s="988"/>
      <c r="AK228" s="988"/>
      <c r="AL228" s="936"/>
      <c r="AM228" s="856"/>
      <c r="AN228" s="988" t="s">
        <v>1199</v>
      </c>
      <c r="AO228" s="988"/>
      <c r="AP228" s="988"/>
      <c r="AQ228" s="936"/>
      <c r="AR228" s="856"/>
      <c r="AS228" s="988" t="s">
        <v>1199</v>
      </c>
      <c r="AT228" s="988"/>
      <c r="AU228" s="988"/>
      <c r="AV228" s="936"/>
      <c r="AW228" s="856"/>
      <c r="AX228" s="988" t="s">
        <v>1199</v>
      </c>
      <c r="AY228" s="988"/>
      <c r="AZ228" s="988"/>
      <c r="BA228" s="936"/>
      <c r="BB228" s="856"/>
      <c r="BC228" s="988" t="s">
        <v>1199</v>
      </c>
      <c r="BD228" s="988"/>
      <c r="BE228" s="993"/>
      <c r="BI228"/>
      <c r="BJ228"/>
      <c r="BK228"/>
      <c r="BL228"/>
      <c r="BM228"/>
      <c r="BN228"/>
      <c r="BO228"/>
      <c r="BP228"/>
    </row>
    <row r="229" spans="4:68" s="542" customFormat="1">
      <c r="D229" s="542" t="s">
        <v>1453</v>
      </c>
      <c r="F229" s="542" t="s">
        <v>1454</v>
      </c>
      <c r="G229" s="857"/>
      <c r="H229" s="857"/>
      <c r="I229" s="857"/>
      <c r="J229" s="857"/>
      <c r="K229" s="857"/>
      <c r="L229" s="857"/>
      <c r="M229" s="857"/>
      <c r="N229" s="857"/>
      <c r="O229" s="857"/>
      <c r="P229" s="857"/>
      <c r="Q229" s="857"/>
      <c r="R229" s="857"/>
      <c r="S229" s="943"/>
      <c r="T229" s="859"/>
      <c r="U229" s="1064"/>
      <c r="V229" s="973"/>
      <c r="W229" s="973"/>
      <c r="X229" s="858"/>
      <c r="Y229" s="859">
        <v>50000</v>
      </c>
      <c r="Z229" s="860"/>
      <c r="AA229" s="860"/>
      <c r="AB229" s="943"/>
      <c r="AC229" s="856"/>
      <c r="AD229" s="988"/>
      <c r="AE229" s="988"/>
      <c r="AF229" s="964"/>
      <c r="AG229" s="936"/>
      <c r="AH229" s="856"/>
      <c r="AI229" s="988"/>
      <c r="AJ229" s="988"/>
      <c r="AK229" s="988"/>
      <c r="AL229" s="936"/>
      <c r="AM229" s="856"/>
      <c r="AN229" s="988"/>
      <c r="AO229" s="988"/>
      <c r="AP229" s="988"/>
      <c r="AQ229" s="936"/>
      <c r="AR229" s="856"/>
      <c r="AS229" s="988"/>
      <c r="AT229" s="988"/>
      <c r="AU229" s="988"/>
      <c r="AV229" s="936"/>
      <c r="AW229" s="856"/>
      <c r="AX229" s="988"/>
      <c r="AY229" s="988"/>
      <c r="AZ229" s="988"/>
      <c r="BA229" s="936"/>
      <c r="BB229" s="856"/>
      <c r="BC229" s="988"/>
      <c r="BD229" s="988"/>
      <c r="BE229" s="993"/>
      <c r="BI229"/>
      <c r="BJ229"/>
      <c r="BK229"/>
      <c r="BL229"/>
      <c r="BM229"/>
      <c r="BN229"/>
      <c r="BO229"/>
      <c r="BP229"/>
    </row>
    <row r="230" spans="4:68">
      <c r="D230" s="542" t="s">
        <v>1323</v>
      </c>
      <c r="E230" s="509"/>
      <c r="F230" s="660" t="s">
        <v>1175</v>
      </c>
      <c r="G230" s="660"/>
      <c r="H230" s="660"/>
      <c r="I230" s="660"/>
      <c r="J230" s="660"/>
      <c r="K230" s="660"/>
      <c r="L230" s="660"/>
      <c r="M230" s="660"/>
      <c r="N230" s="660"/>
      <c r="O230" s="660"/>
      <c r="P230" s="660"/>
      <c r="Q230" s="660"/>
      <c r="R230" s="660"/>
      <c r="S230" s="939"/>
      <c r="T230" s="660">
        <f>ROUND(IF(T80&lt;25,6500,IF(T80&lt;100,260*T80,26000))+(67*T80),0)</f>
        <v>35866</v>
      </c>
      <c r="U230" s="1063"/>
      <c r="V230" s="969"/>
      <c r="W230" s="969"/>
      <c r="X230" s="509"/>
      <c r="Y230" s="660">
        <v>50725</v>
      </c>
      <c r="Z230" s="661"/>
      <c r="AA230" s="661"/>
      <c r="AB230" s="939"/>
      <c r="AC230" s="660">
        <f>ROUND(IF(AC80&lt;25,9000,IF(AC80&lt;100,360*AC80,36000))+(97*AC80),0)</f>
        <v>55057</v>
      </c>
      <c r="AD230" s="1087"/>
      <c r="AE230" s="1087"/>
      <c r="AF230" s="969"/>
      <c r="AG230" s="939"/>
      <c r="AH230" s="660">
        <f>ROUND(IF(AH80&lt;25,9000,IF(AH80&lt;100,360*AH80,36000))+(97*AH80),0)</f>
        <v>59406</v>
      </c>
      <c r="AI230" s="1087"/>
      <c r="AJ230" s="1087"/>
      <c r="AK230" s="1087"/>
      <c r="AL230" s="939"/>
      <c r="AM230" s="660">
        <f>ROUND(IF(AM80&lt;25,9000,IF(AM80&lt;100,360*AM80,36000))+(97*AM80),0)</f>
        <v>60328</v>
      </c>
      <c r="AN230" s="1087"/>
      <c r="AO230" s="1087"/>
      <c r="AP230" s="1087"/>
      <c r="AQ230" s="939"/>
      <c r="AR230" s="660">
        <f>ROUND(IF(AR80&lt;25,9000,IF(AR80&lt;100,360*AR80,36000))+(97*AR80),0)</f>
        <v>60328</v>
      </c>
      <c r="AS230" s="1087"/>
      <c r="AT230" s="1087"/>
      <c r="AU230" s="1087"/>
      <c r="AV230" s="939"/>
      <c r="AW230" s="660">
        <f>ROUND(IF(AW80&lt;25,9000,IF(AW80&lt;100,360*AW80,36000))+(97*AW80),0)</f>
        <v>59959</v>
      </c>
      <c r="AX230" s="1087"/>
      <c r="AY230" s="1087"/>
      <c r="AZ230" s="1087"/>
      <c r="BA230" s="939"/>
      <c r="BB230" s="660">
        <f>ROUND(IF(BB80&lt;25,9000,IF(BB80&lt;100,360*BB80,36000))+(97*BB80),0)</f>
        <v>65949</v>
      </c>
      <c r="BC230" s="1087"/>
      <c r="BD230" s="1087"/>
      <c r="BE230" s="1087"/>
    </row>
    <row r="231" spans="4:68">
      <c r="D231" s="483" t="s">
        <v>266</v>
      </c>
      <c r="E231" s="190"/>
      <c r="F231" s="191"/>
      <c r="G231" s="191"/>
      <c r="H231" s="191"/>
      <c r="I231" s="191"/>
      <c r="J231" s="191"/>
      <c r="K231" s="191"/>
      <c r="L231" s="191"/>
      <c r="M231" s="191"/>
      <c r="N231" s="191"/>
      <c r="O231" s="191"/>
      <c r="P231" s="191"/>
      <c r="Q231" s="191"/>
      <c r="R231" s="191"/>
      <c r="S231" s="935"/>
      <c r="T231" s="191">
        <f>SUM(T212:T230)</f>
        <v>160968.5</v>
      </c>
      <c r="U231" s="1059"/>
      <c r="V231" s="965"/>
      <c r="W231" s="965"/>
      <c r="X231" s="190"/>
      <c r="Y231" s="191">
        <f>SUM(Y212:Y230)</f>
        <v>182663</v>
      </c>
      <c r="Z231" s="474"/>
      <c r="AA231" s="474"/>
      <c r="AB231" s="935"/>
      <c r="AC231" s="191">
        <f>SUM(AC212:AC230)</f>
        <v>249083</v>
      </c>
      <c r="AD231" s="1059"/>
      <c r="AE231" s="989"/>
      <c r="AF231" s="965"/>
      <c r="AG231" s="935"/>
      <c r="AH231" s="191">
        <f>SUM(AH212:AH230)</f>
        <v>284788</v>
      </c>
      <c r="AI231" s="1059"/>
      <c r="AJ231" s="989"/>
      <c r="AK231" s="989"/>
      <c r="AL231" s="935"/>
      <c r="AM231" s="191">
        <f>SUM(AM212:AM230)</f>
        <v>294021</v>
      </c>
      <c r="AN231" s="1059"/>
      <c r="AO231" s="989"/>
      <c r="AP231" s="989"/>
      <c r="AQ231" s="935"/>
      <c r="AR231" s="191">
        <f>SUM(AR212:AR230)</f>
        <v>241683</v>
      </c>
      <c r="AS231" s="1059"/>
      <c r="AT231" s="989"/>
      <c r="AU231" s="989"/>
      <c r="AV231" s="935"/>
      <c r="AW231" s="191">
        <f>SUM(AW212:AW230)</f>
        <v>293388</v>
      </c>
      <c r="AX231" s="1059"/>
      <c r="AY231" s="989"/>
      <c r="AZ231" s="989"/>
      <c r="BA231" s="935"/>
      <c r="BB231" s="191">
        <f>SUM(BB212:BB230)</f>
        <v>277575</v>
      </c>
      <c r="BC231" s="1059"/>
      <c r="BD231" s="965"/>
      <c r="BE231" s="989"/>
    </row>
    <row r="232" spans="4:68" ht="9" customHeight="1">
      <c r="E232" s="186"/>
      <c r="F232" s="247"/>
      <c r="G232" s="247"/>
      <c r="H232" s="247"/>
      <c r="I232" s="247"/>
      <c r="J232" s="247"/>
      <c r="K232" s="247"/>
      <c r="L232" s="247"/>
      <c r="M232" s="247"/>
      <c r="N232" s="247"/>
      <c r="O232" s="247"/>
      <c r="P232" s="247"/>
      <c r="Q232" s="247"/>
      <c r="R232" s="247"/>
      <c r="S232" s="936"/>
      <c r="T232" s="247"/>
      <c r="V232" s="974"/>
      <c r="W232" s="974"/>
      <c r="X232" s="186"/>
      <c r="Y232" s="247"/>
      <c r="AB232" s="936"/>
      <c r="AC232" s="247"/>
      <c r="AF232" s="974"/>
      <c r="AG232" s="936"/>
      <c r="AH232" s="247"/>
      <c r="AL232" s="936"/>
      <c r="AM232" s="247"/>
      <c r="AQ232" s="936"/>
      <c r="AR232" s="247"/>
      <c r="AV232" s="936"/>
      <c r="AW232" s="247"/>
      <c r="BA232" s="936"/>
      <c r="BB232" s="247"/>
      <c r="BD232" s="974"/>
    </row>
    <row r="233" spans="4:68">
      <c r="D233" s="484" t="s">
        <v>312</v>
      </c>
      <c r="E233" s="192"/>
      <c r="F233" s="193"/>
      <c r="G233" s="193"/>
      <c r="H233" s="193"/>
      <c r="I233" s="193"/>
      <c r="J233" s="193"/>
      <c r="K233" s="193"/>
      <c r="L233" s="193"/>
      <c r="M233" s="193">
        <f>+M196+M201+M203+M205+M207+M231</f>
        <v>0</v>
      </c>
      <c r="N233" s="193"/>
      <c r="O233" s="193">
        <f>+O196+O201+O203+O205+O207+O231</f>
        <v>0</v>
      </c>
      <c r="P233" s="193"/>
      <c r="Q233" s="193">
        <f>+Q196+Q201+Q203+Q205+Q207+Q231</f>
        <v>0</v>
      </c>
      <c r="R233" s="193"/>
      <c r="S233" s="944"/>
      <c r="T233" s="193">
        <f>+T196+T201+T203+T205+T207+T231</f>
        <v>1727181.5</v>
      </c>
      <c r="U233" s="1065"/>
      <c r="V233" s="975"/>
      <c r="W233" s="975"/>
      <c r="X233" s="192"/>
      <c r="Y233" s="193">
        <f>+Y196+Y201+Y203+Y205+Y207+Y231</f>
        <v>1675713</v>
      </c>
      <c r="Z233" s="475"/>
      <c r="AA233" s="475"/>
      <c r="AB233" s="944"/>
      <c r="AC233" s="193">
        <f>+AC196+AC201+AC203+AC205+AC207+AC231</f>
        <v>2261589</v>
      </c>
      <c r="AD233" s="1065"/>
      <c r="AE233" s="994"/>
      <c r="AF233" s="975"/>
      <c r="AG233" s="944"/>
      <c r="AH233" s="193">
        <f>+AH196+AH201+AH203+AH205+AH207+AH231</f>
        <v>2912463</v>
      </c>
      <c r="AI233" s="1065"/>
      <c r="AJ233" s="994"/>
      <c r="AK233" s="994"/>
      <c r="AL233" s="944"/>
      <c r="AM233" s="193">
        <f>+AM196+AM201+AM203+AM205+AM207+AM231</f>
        <v>3183895</v>
      </c>
      <c r="AN233" s="1065"/>
      <c r="AO233" s="994"/>
      <c r="AP233" s="994"/>
      <c r="AQ233" s="944"/>
      <c r="AR233" s="193">
        <f>+AR196+AR201+AR203+AR205+AR207+AR231</f>
        <v>3306042</v>
      </c>
      <c r="AS233" s="1065"/>
      <c r="AT233" s="994"/>
      <c r="AU233" s="994"/>
      <c r="AV233" s="944"/>
      <c r="AW233" s="193">
        <f>+AW196+AW201+AW203+AW205+AW207+AW231</f>
        <v>3426398</v>
      </c>
      <c r="AX233" s="1065"/>
      <c r="AY233" s="994"/>
      <c r="AZ233" s="994"/>
      <c r="BA233" s="944"/>
      <c r="BB233" s="193">
        <f>+BB196+BB201+BB203+BB205+BB207+BB231</f>
        <v>3996682</v>
      </c>
      <c r="BC233" s="1076"/>
      <c r="BD233" s="1011"/>
      <c r="BE233" s="1025"/>
    </row>
    <row r="234" spans="4:68">
      <c r="D234" s="485" t="s">
        <v>313</v>
      </c>
      <c r="E234" s="197"/>
      <c r="F234" s="198"/>
      <c r="G234" s="198"/>
      <c r="H234" s="198"/>
      <c r="I234" s="198"/>
      <c r="J234" s="198"/>
      <c r="K234" s="198"/>
      <c r="L234" s="198"/>
      <c r="M234" s="198">
        <f>+M233/M77</f>
        <v>0</v>
      </c>
      <c r="N234" s="198"/>
      <c r="O234" s="198">
        <f>+O233/O77</f>
        <v>0</v>
      </c>
      <c r="P234" s="198"/>
      <c r="Q234" s="198">
        <f>+Q233/Q77</f>
        <v>0</v>
      </c>
      <c r="R234" s="198"/>
      <c r="S234" s="945"/>
      <c r="T234" s="198">
        <f>+T233/T77</f>
        <v>11143.106451612903</v>
      </c>
      <c r="U234" s="1066"/>
      <c r="V234" s="976"/>
      <c r="W234" s="976"/>
      <c r="X234" s="197"/>
      <c r="Y234" s="198">
        <f>+Y233/Y77</f>
        <v>11800.795774647888</v>
      </c>
      <c r="Z234" s="476"/>
      <c r="AA234" s="476"/>
      <c r="AB234" s="945"/>
      <c r="AC234" s="198">
        <f>+AC233/AC77</f>
        <v>10821</v>
      </c>
      <c r="AD234" s="1066"/>
      <c r="AE234" s="995"/>
      <c r="AF234" s="976"/>
      <c r="AG234" s="945"/>
      <c r="AH234" s="198">
        <f>+AH233/AH77</f>
        <v>11466.389763779527</v>
      </c>
      <c r="AI234" s="1066"/>
      <c r="AJ234" s="995"/>
      <c r="AK234" s="995"/>
      <c r="AL234" s="945"/>
      <c r="AM234" s="198">
        <f>+AM233/AM77</f>
        <v>12060.208333333334</v>
      </c>
      <c r="AN234" s="1066"/>
      <c r="AO234" s="995"/>
      <c r="AP234" s="995"/>
      <c r="AQ234" s="945"/>
      <c r="AR234" s="198">
        <f>+AR233/AR77</f>
        <v>12522.886363636364</v>
      </c>
      <c r="AS234" s="1066"/>
      <c r="AT234" s="995"/>
      <c r="AU234" s="995"/>
      <c r="AV234" s="945"/>
      <c r="AW234" s="198">
        <f>+AW233/AW77</f>
        <v>13178.453846153847</v>
      </c>
      <c r="AX234" s="1066"/>
      <c r="AY234" s="995"/>
      <c r="AZ234" s="995"/>
      <c r="BA234" s="945"/>
      <c r="BB234" s="198">
        <f>+BB233/BB77</f>
        <v>12297.483076923078</v>
      </c>
      <c r="BC234" s="1077"/>
      <c r="BD234" s="1012"/>
      <c r="BE234" s="996"/>
    </row>
    <row r="235" spans="4:68">
      <c r="E235" s="186"/>
      <c r="G235" t="s">
        <v>1089</v>
      </c>
      <c r="S235" s="936"/>
      <c r="X235" s="186"/>
      <c r="AB235" s="936"/>
      <c r="AG235" s="936"/>
      <c r="AL235" s="936"/>
      <c r="AQ235" s="936"/>
      <c r="AV235" s="936"/>
      <c r="BA235" s="936"/>
    </row>
    <row r="236" spans="4:68" hidden="1">
      <c r="D236" s="483" t="s">
        <v>413</v>
      </c>
      <c r="E236" s="190"/>
      <c r="F236" s="190"/>
      <c r="G236" s="815">
        <v>251</v>
      </c>
      <c r="H236" s="662"/>
      <c r="I236" s="662"/>
      <c r="J236" s="191"/>
      <c r="K236" s="191"/>
      <c r="L236" s="191"/>
      <c r="M236" s="663"/>
      <c r="N236" s="191"/>
      <c r="O236" s="663"/>
      <c r="P236" s="191"/>
      <c r="Q236" s="663"/>
      <c r="R236" s="191"/>
      <c r="S236" s="935"/>
      <c r="T236" s="663"/>
      <c r="U236" s="1067"/>
      <c r="V236" s="965"/>
      <c r="W236" s="965"/>
      <c r="X236" s="190"/>
      <c r="Y236" s="663"/>
      <c r="Z236" s="474"/>
      <c r="AA236" s="474"/>
      <c r="AB236" s="935"/>
      <c r="AC236" s="663"/>
      <c r="AD236" s="1067"/>
      <c r="AE236" s="989"/>
      <c r="AF236" s="1000"/>
      <c r="AG236" s="1000"/>
      <c r="AH236" s="663"/>
      <c r="AI236" s="1067"/>
      <c r="AJ236" s="989"/>
      <c r="AK236" s="1000"/>
      <c r="AL236" s="1000"/>
      <c r="AM236" s="663"/>
      <c r="AN236" s="1067"/>
      <c r="AO236" s="989"/>
      <c r="AP236" s="1000"/>
      <c r="AQ236" s="1000"/>
      <c r="AR236" s="663"/>
      <c r="AS236" s="1067"/>
      <c r="AT236" s="989"/>
      <c r="AU236" s="1000"/>
      <c r="AV236" s="1000"/>
      <c r="AW236" s="663"/>
      <c r="AX236" s="1067"/>
      <c r="AY236" s="989"/>
      <c r="AZ236" s="1000"/>
      <c r="BA236" s="1000"/>
      <c r="BB236" s="663"/>
      <c r="BC236" s="1067"/>
      <c r="BD236" s="1004"/>
      <c r="BE236" s="989"/>
    </row>
    <row r="237" spans="4:68" hidden="1">
      <c r="D237" s="483" t="s">
        <v>414</v>
      </c>
      <c r="E237" s="190"/>
      <c r="F237" s="190"/>
      <c r="G237" s="815">
        <v>271</v>
      </c>
      <c r="H237" s="662"/>
      <c r="I237" s="662"/>
      <c r="J237" s="191"/>
      <c r="K237" s="191"/>
      <c r="L237" s="191"/>
      <c r="M237" s="663"/>
      <c r="N237" s="191"/>
      <c r="O237" s="663"/>
      <c r="P237" s="191"/>
      <c r="Q237" s="663"/>
      <c r="R237" s="191"/>
      <c r="S237" s="935"/>
      <c r="T237" s="663"/>
      <c r="U237" s="1067"/>
      <c r="V237" s="965"/>
      <c r="W237" s="965"/>
      <c r="X237" s="190"/>
      <c r="Y237" s="663"/>
      <c r="Z237" s="474"/>
      <c r="AA237" s="474"/>
      <c r="AB237" s="935"/>
      <c r="AC237" s="663"/>
      <c r="AD237" s="1067"/>
      <c r="AE237" s="989"/>
      <c r="AF237" s="1000"/>
      <c r="AG237" s="1000"/>
      <c r="AH237" s="663"/>
      <c r="AI237" s="1067"/>
      <c r="AJ237" s="989"/>
      <c r="AK237" s="1000"/>
      <c r="AL237" s="1000"/>
      <c r="AM237" s="663"/>
      <c r="AN237" s="1067"/>
      <c r="AO237" s="989"/>
      <c r="AP237" s="1004"/>
      <c r="AQ237" s="1004"/>
      <c r="AR237" s="663"/>
      <c r="AS237" s="1067"/>
      <c r="AT237" s="989"/>
      <c r="AU237" s="1000"/>
      <c r="AV237" s="1000"/>
      <c r="AW237" s="663"/>
      <c r="AX237" s="1067"/>
      <c r="AY237" s="989"/>
      <c r="AZ237" s="1000"/>
      <c r="BA237" s="1000"/>
      <c r="BB237" s="663"/>
      <c r="BC237" s="1067"/>
      <c r="BD237" s="1004"/>
      <c r="BE237" s="989"/>
    </row>
    <row r="238" spans="4:68" hidden="1">
      <c r="D238" s="483" t="s">
        <v>481</v>
      </c>
      <c r="E238" s="190"/>
      <c r="F238" s="190"/>
      <c r="G238" s="815">
        <v>270</v>
      </c>
      <c r="H238" s="662"/>
      <c r="I238" s="662"/>
      <c r="J238" s="191"/>
      <c r="K238" s="191"/>
      <c r="L238" s="191"/>
      <c r="M238" s="663"/>
      <c r="N238" s="191"/>
      <c r="O238" s="663"/>
      <c r="P238" s="191"/>
      <c r="Q238" s="663"/>
      <c r="R238" s="191"/>
      <c r="S238" s="935"/>
      <c r="T238" s="663"/>
      <c r="U238" s="1067"/>
      <c r="V238" s="965"/>
      <c r="W238" s="965"/>
      <c r="X238" s="190"/>
      <c r="Y238" s="663"/>
      <c r="Z238" s="474"/>
      <c r="AA238" s="474"/>
      <c r="AB238" s="935"/>
      <c r="AC238" s="663"/>
      <c r="AD238" s="1067"/>
      <c r="AE238" s="989"/>
      <c r="AF238" s="1000"/>
      <c r="AG238" s="1000"/>
      <c r="AH238" s="663"/>
      <c r="AI238" s="1067"/>
      <c r="AJ238" s="989"/>
      <c r="AK238" s="1000"/>
      <c r="AL238" s="1000"/>
      <c r="AM238" s="663"/>
      <c r="AN238" s="1067"/>
      <c r="AO238" s="989"/>
      <c r="AP238" s="1004"/>
      <c r="AQ238" s="1004"/>
      <c r="AR238" s="663"/>
      <c r="AS238" s="1067"/>
      <c r="AT238" s="989"/>
      <c r="AU238" s="1000"/>
      <c r="AV238" s="1000"/>
      <c r="AW238" s="663"/>
      <c r="AX238" s="1067"/>
      <c r="AY238" s="989"/>
      <c r="AZ238" s="1000"/>
      <c r="BA238" s="1000"/>
      <c r="BB238" s="663"/>
      <c r="BC238" s="1067"/>
      <c r="BD238" s="1004"/>
      <c r="BE238" s="989"/>
    </row>
    <row r="239" spans="4:68" hidden="1">
      <c r="D239" s="483" t="s">
        <v>482</v>
      </c>
      <c r="E239" s="190"/>
      <c r="F239" s="190"/>
      <c r="G239" s="815">
        <v>261</v>
      </c>
      <c r="H239" s="662"/>
      <c r="I239" s="662"/>
      <c r="J239" s="191"/>
      <c r="K239" s="191"/>
      <c r="L239" s="191"/>
      <c r="M239" s="664"/>
      <c r="N239" s="191"/>
      <c r="O239" s="664"/>
      <c r="P239" s="191"/>
      <c r="Q239" s="664"/>
      <c r="R239" s="191"/>
      <c r="S239" s="935"/>
      <c r="T239" s="664"/>
      <c r="U239" s="1068"/>
      <c r="V239" s="965"/>
      <c r="W239" s="965"/>
      <c r="X239" s="190"/>
      <c r="Y239" s="664"/>
      <c r="Z239" s="474"/>
      <c r="AA239" s="474"/>
      <c r="AB239" s="935"/>
      <c r="AC239" s="664"/>
      <c r="AD239" s="1068"/>
      <c r="AE239" s="989"/>
      <c r="AF239" s="1000"/>
      <c r="AG239" s="1000"/>
      <c r="AH239" s="664"/>
      <c r="AI239" s="1068"/>
      <c r="AJ239" s="989"/>
      <c r="AK239" s="1000"/>
      <c r="AL239" s="1000"/>
      <c r="AM239" s="664"/>
      <c r="AN239" s="1068"/>
      <c r="AO239" s="989"/>
      <c r="AP239" s="1000"/>
      <c r="AQ239" s="1000"/>
      <c r="AR239" s="664"/>
      <c r="AS239" s="1068"/>
      <c r="AT239" s="989"/>
      <c r="AU239" s="1000"/>
      <c r="AV239" s="1000"/>
      <c r="AW239" s="664"/>
      <c r="AX239" s="1068"/>
      <c r="AY239" s="989"/>
      <c r="AZ239" s="1000"/>
      <c r="BA239" s="1000"/>
      <c r="BB239" s="664"/>
      <c r="BC239" s="1068"/>
      <c r="BD239" s="1004"/>
      <c r="BE239" s="989"/>
    </row>
    <row r="240" spans="4:68" hidden="1">
      <c r="D240" s="483" t="s">
        <v>415</v>
      </c>
      <c r="E240" s="190"/>
      <c r="F240" s="190"/>
      <c r="G240" s="815">
        <v>257</v>
      </c>
      <c r="H240" s="662"/>
      <c r="I240" s="662"/>
      <c r="J240" s="191"/>
      <c r="K240" s="191"/>
      <c r="L240" s="191"/>
      <c r="M240" s="664"/>
      <c r="N240" s="191"/>
      <c r="O240" s="664"/>
      <c r="P240" s="191"/>
      <c r="Q240" s="664"/>
      <c r="R240" s="191"/>
      <c r="S240" s="935"/>
      <c r="T240" s="664"/>
      <c r="U240" s="1068"/>
      <c r="V240" s="965"/>
      <c r="W240" s="965"/>
      <c r="X240" s="190"/>
      <c r="Y240" s="664"/>
      <c r="Z240" s="474"/>
      <c r="AA240" s="474"/>
      <c r="AB240" s="935"/>
      <c r="AC240" s="664"/>
      <c r="AD240" s="1068"/>
      <c r="AE240" s="989"/>
      <c r="AF240" s="1000"/>
      <c r="AG240" s="1000"/>
      <c r="AH240" s="664"/>
      <c r="AI240" s="1068"/>
      <c r="AJ240" s="989"/>
      <c r="AK240" s="1000"/>
      <c r="AL240" s="1000"/>
      <c r="AM240" s="664"/>
      <c r="AN240" s="1068"/>
      <c r="AO240" s="989"/>
      <c r="AP240" s="1000"/>
      <c r="AQ240" s="1000"/>
      <c r="AR240" s="664"/>
      <c r="AS240" s="1068"/>
      <c r="AT240" s="989"/>
      <c r="AU240" s="1000"/>
      <c r="AV240" s="1000"/>
      <c r="AW240" s="664"/>
      <c r="AX240" s="1068"/>
      <c r="AY240" s="989"/>
      <c r="AZ240" s="1000"/>
      <c r="BA240" s="1000"/>
      <c r="BB240" s="664"/>
      <c r="BC240" s="1068"/>
      <c r="BD240" s="1004"/>
      <c r="BE240" s="989"/>
    </row>
    <row r="241" spans="4:68" hidden="1">
      <c r="D241" s="483" t="s">
        <v>1090</v>
      </c>
      <c r="E241" s="190"/>
      <c r="F241" s="190"/>
      <c r="G241" s="815">
        <v>258</v>
      </c>
      <c r="H241" s="662"/>
      <c r="I241" s="662"/>
      <c r="J241" s="191"/>
      <c r="K241" s="191"/>
      <c r="L241" s="191"/>
      <c r="M241" s="664"/>
      <c r="N241" s="191"/>
      <c r="O241" s="664"/>
      <c r="P241" s="191"/>
      <c r="Q241" s="664"/>
      <c r="R241" s="191"/>
      <c r="S241" s="935"/>
      <c r="T241" s="664"/>
      <c r="U241" s="1068"/>
      <c r="V241" s="965"/>
      <c r="W241" s="965"/>
      <c r="X241" s="190"/>
      <c r="Y241" s="664"/>
      <c r="Z241" s="474"/>
      <c r="AA241" s="474"/>
      <c r="AB241" s="935"/>
      <c r="AC241" s="664"/>
      <c r="AD241" s="1068"/>
      <c r="AE241" s="989"/>
      <c r="AF241" s="1000"/>
      <c r="AG241" s="1000"/>
      <c r="AH241" s="664"/>
      <c r="AI241" s="1068"/>
      <c r="AJ241" s="989"/>
      <c r="AK241" s="1000"/>
      <c r="AL241" s="1000"/>
      <c r="AM241" s="664"/>
      <c r="AN241" s="1068"/>
      <c r="AO241" s="989"/>
      <c r="AP241" s="1000"/>
      <c r="AQ241" s="1000"/>
      <c r="AR241" s="664"/>
      <c r="AS241" s="1068"/>
      <c r="AT241" s="989"/>
      <c r="AU241" s="1000"/>
      <c r="AV241" s="1000"/>
      <c r="AW241" s="664"/>
      <c r="AX241" s="1068"/>
      <c r="AY241" s="989"/>
      <c r="AZ241" s="1000"/>
      <c r="BA241" s="1000"/>
      <c r="BB241" s="664"/>
      <c r="BC241" s="1068"/>
      <c r="BD241" s="1004"/>
      <c r="BE241" s="989"/>
    </row>
    <row r="242" spans="4:68">
      <c r="D242" s="483" t="s">
        <v>471</v>
      </c>
      <c r="E242" s="190"/>
      <c r="F242" s="190"/>
      <c r="G242" s="815">
        <v>260</v>
      </c>
      <c r="H242" s="191"/>
      <c r="I242" s="191"/>
      <c r="J242" s="191"/>
      <c r="K242" s="191"/>
      <c r="L242" s="191"/>
      <c r="M242" s="664"/>
      <c r="N242" s="191"/>
      <c r="O242" s="664"/>
      <c r="P242" s="191"/>
      <c r="Q242" s="664"/>
      <c r="R242" s="191"/>
      <c r="S242" s="935"/>
      <c r="T242" s="664"/>
      <c r="U242" s="1068"/>
      <c r="V242" s="965"/>
      <c r="W242" s="965"/>
      <c r="X242" s="190"/>
      <c r="Y242" s="664">
        <v>46000</v>
      </c>
      <c r="Z242" s="474"/>
      <c r="AA242" s="474"/>
      <c r="AB242" s="935"/>
      <c r="AC242" s="664"/>
      <c r="AD242" s="1068"/>
      <c r="AE242" s="989"/>
      <c r="AF242" s="1000"/>
      <c r="AG242" s="1000"/>
      <c r="AH242" s="664"/>
      <c r="AI242" s="1068"/>
      <c r="AJ242" s="989"/>
      <c r="AK242" s="1000"/>
      <c r="AL242" s="1000"/>
      <c r="AM242" s="664"/>
      <c r="AN242" s="1068"/>
      <c r="AO242" s="989"/>
      <c r="AP242" s="1000"/>
      <c r="AQ242" s="1000"/>
      <c r="AR242" s="664"/>
      <c r="AS242" s="1068"/>
      <c r="AT242" s="989"/>
      <c r="AU242" s="1000"/>
      <c r="AV242" s="1000"/>
      <c r="AW242" s="664"/>
      <c r="AX242" s="1068"/>
      <c r="AY242" s="989"/>
      <c r="AZ242" s="1000"/>
      <c r="BA242" s="1000"/>
      <c r="BB242" s="664"/>
      <c r="BC242" s="1068"/>
      <c r="BD242" s="1004"/>
      <c r="BE242" s="989"/>
    </row>
    <row r="243" spans="4:68" hidden="1">
      <c r="D243" s="483" t="s">
        <v>415</v>
      </c>
      <c r="E243" s="190"/>
      <c r="F243" s="190"/>
      <c r="G243" s="815">
        <v>257</v>
      </c>
      <c r="H243" s="662"/>
      <c r="I243" s="662"/>
      <c r="J243" s="191"/>
      <c r="K243" s="191"/>
      <c r="L243" s="191"/>
      <c r="M243" s="663"/>
      <c r="N243" s="191"/>
      <c r="O243" s="663"/>
      <c r="P243" s="191"/>
      <c r="Q243" s="663"/>
      <c r="R243" s="191"/>
      <c r="S243" s="935"/>
      <c r="T243" s="663"/>
      <c r="U243" s="1067"/>
      <c r="V243" s="965"/>
      <c r="W243" s="965"/>
      <c r="X243" s="190"/>
      <c r="Y243" s="663"/>
      <c r="Z243" s="474"/>
      <c r="AA243" s="474"/>
      <c r="AB243" s="935"/>
      <c r="AC243" s="663"/>
      <c r="AD243" s="1067"/>
      <c r="AE243" s="989"/>
      <c r="AF243" s="1000"/>
      <c r="AG243" s="1000"/>
      <c r="AH243" s="663"/>
      <c r="AI243" s="1067"/>
      <c r="AJ243" s="989"/>
      <c r="AK243" s="1000"/>
      <c r="AL243" s="1000"/>
      <c r="AM243" s="663"/>
      <c r="AN243" s="1067"/>
      <c r="AO243" s="989"/>
      <c r="AP243" s="1000"/>
      <c r="AQ243" s="1000"/>
      <c r="AR243" s="663"/>
      <c r="AS243" s="1067"/>
      <c r="AT243" s="989"/>
      <c r="AU243" s="1000"/>
      <c r="AV243" s="1000"/>
      <c r="AW243" s="663"/>
      <c r="AX243" s="1067"/>
      <c r="AY243" s="989"/>
      <c r="AZ243" s="1000"/>
      <c r="BA243" s="1000"/>
      <c r="BB243" s="663"/>
      <c r="BC243" s="1067"/>
      <c r="BD243" s="1004"/>
      <c r="BE243" s="989"/>
    </row>
    <row r="244" spans="4:68">
      <c r="D244" s="484" t="s">
        <v>315</v>
      </c>
      <c r="E244" s="192"/>
      <c r="F244" s="816"/>
      <c r="G244" s="193"/>
      <c r="H244" s="193"/>
      <c r="I244" s="193"/>
      <c r="J244" s="193"/>
      <c r="K244" s="193"/>
      <c r="L244" s="193"/>
      <c r="M244" s="193">
        <f>SUM(M236:M243)</f>
        <v>0</v>
      </c>
      <c r="N244" s="193"/>
      <c r="O244" s="193">
        <f>SUM(O236:O243)</f>
        <v>0</v>
      </c>
      <c r="P244" s="193"/>
      <c r="Q244" s="193">
        <f>SUM(Q236:Q243)</f>
        <v>0</v>
      </c>
      <c r="R244" s="193"/>
      <c r="S244" s="944"/>
      <c r="T244" s="193">
        <f>SUM(T236:T243)</f>
        <v>0</v>
      </c>
      <c r="U244" s="1065"/>
      <c r="V244" s="975"/>
      <c r="W244" s="975"/>
      <c r="X244" s="192"/>
      <c r="Y244" s="193">
        <f>SUM(Y236:Y243)</f>
        <v>46000</v>
      </c>
      <c r="Z244" s="475"/>
      <c r="AA244" s="475"/>
      <c r="AB244" s="944"/>
      <c r="AC244" s="193">
        <f>SUM(AC236:AC243)</f>
        <v>0</v>
      </c>
      <c r="AD244" s="1065"/>
      <c r="AE244" s="994"/>
      <c r="AF244" s="975"/>
      <c r="AG244" s="944"/>
      <c r="AH244" s="193">
        <f>SUM(AH236:AH243)</f>
        <v>0</v>
      </c>
      <c r="AI244" s="1065"/>
      <c r="AJ244" s="994"/>
      <c r="AK244" s="994"/>
      <c r="AL244" s="944"/>
      <c r="AM244" s="193">
        <f>SUM(AM236:AM243)</f>
        <v>0</v>
      </c>
      <c r="AN244" s="1065"/>
      <c r="AO244" s="994"/>
      <c r="AP244" s="994"/>
      <c r="AQ244" s="944"/>
      <c r="AR244" s="193">
        <f>SUM(AR236:AR243)</f>
        <v>0</v>
      </c>
      <c r="AS244" s="1065"/>
      <c r="AT244" s="994"/>
      <c r="AU244" s="994"/>
      <c r="AV244" s="944"/>
      <c r="AW244" s="193">
        <f>SUM(AW236:AW243)</f>
        <v>0</v>
      </c>
      <c r="AX244" s="1065"/>
      <c r="AY244" s="994"/>
      <c r="AZ244" s="994"/>
      <c r="BA244" s="944"/>
      <c r="BB244" s="193">
        <f>SUM(BB236:BB243)</f>
        <v>0</v>
      </c>
      <c r="BC244" s="1076"/>
      <c r="BD244" s="1011"/>
      <c r="BE244" s="1025"/>
    </row>
    <row r="245" spans="4:68" ht="9" customHeight="1">
      <c r="E245" s="186"/>
      <c r="F245" s="817"/>
      <c r="G245" s="247"/>
      <c r="H245" s="247"/>
      <c r="I245" s="247"/>
      <c r="J245" s="247"/>
      <c r="K245" s="247"/>
      <c r="L245" s="247"/>
      <c r="M245" s="247"/>
      <c r="N245" s="247"/>
      <c r="O245" s="247"/>
      <c r="P245" s="247"/>
      <c r="Q245" s="247"/>
      <c r="R245" s="247"/>
      <c r="S245" s="936"/>
      <c r="T245" s="247"/>
      <c r="V245" s="974"/>
      <c r="W245" s="974"/>
      <c r="X245" s="186"/>
      <c r="Y245" s="247"/>
      <c r="AB245" s="936"/>
      <c r="AC245" s="247"/>
      <c r="AF245" s="974"/>
      <c r="AG245" s="936"/>
      <c r="AH245" s="247"/>
      <c r="AL245" s="936"/>
      <c r="AM245" s="247"/>
      <c r="AQ245" s="936"/>
      <c r="AR245" s="247"/>
      <c r="AV245" s="936"/>
      <c r="AW245" s="247"/>
      <c r="BA245" s="936"/>
      <c r="BB245" s="247"/>
      <c r="BD245" s="974"/>
    </row>
    <row r="246" spans="4:68" hidden="1">
      <c r="D246" s="483" t="s">
        <v>332</v>
      </c>
      <c r="E246" s="190"/>
      <c r="F246" s="815"/>
      <c r="G246" s="662"/>
      <c r="H246" s="662"/>
      <c r="I246" s="662"/>
      <c r="J246" s="191"/>
      <c r="K246" s="191"/>
      <c r="L246" s="191"/>
      <c r="M246" s="663"/>
      <c r="N246" s="191"/>
      <c r="O246" s="663"/>
      <c r="P246" s="191"/>
      <c r="Q246" s="663"/>
      <c r="R246" s="191"/>
      <c r="S246" s="935"/>
      <c r="T246" s="663"/>
      <c r="U246" s="1067"/>
      <c r="V246" s="965"/>
      <c r="W246" s="965"/>
      <c r="X246" s="190"/>
      <c r="Y246" s="663"/>
      <c r="Z246" s="474"/>
      <c r="AA246" s="474"/>
      <c r="AB246" s="935"/>
      <c r="AC246" s="663"/>
      <c r="AD246" s="1067"/>
      <c r="AE246" s="989"/>
      <c r="AF246" s="1000"/>
      <c r="AG246" s="1000"/>
      <c r="AH246" s="663"/>
      <c r="AI246" s="1067"/>
      <c r="AJ246" s="989"/>
      <c r="AK246" s="1000"/>
      <c r="AL246" s="1000"/>
      <c r="AM246" s="663"/>
      <c r="AN246" s="1067"/>
      <c r="AO246" s="989"/>
      <c r="AP246" s="1004"/>
      <c r="AQ246" s="1004"/>
      <c r="AR246" s="663"/>
      <c r="AS246" s="1067"/>
      <c r="AT246" s="989"/>
      <c r="AU246" s="1000"/>
      <c r="AV246" s="1000"/>
      <c r="AW246" s="663"/>
      <c r="AX246" s="1067"/>
      <c r="AY246" s="989"/>
      <c r="AZ246" s="1000"/>
      <c r="BA246" s="1000"/>
      <c r="BB246" s="663"/>
      <c r="BC246" s="1067"/>
      <c r="BD246" s="1004"/>
      <c r="BE246" s="989"/>
      <c r="BI246" s="542"/>
      <c r="BJ246" s="542"/>
      <c r="BK246" s="542"/>
      <c r="BL246" s="542"/>
      <c r="BM246" s="542"/>
      <c r="BN246" s="542"/>
      <c r="BO246" s="542"/>
      <c r="BP246" s="542"/>
    </row>
    <row r="247" spans="4:68" hidden="1">
      <c r="D247" s="483" t="s">
        <v>484</v>
      </c>
      <c r="E247" s="190"/>
      <c r="F247" s="815"/>
      <c r="G247" s="662"/>
      <c r="H247" s="662"/>
      <c r="I247" s="662"/>
      <c r="J247" s="191"/>
      <c r="K247" s="191"/>
      <c r="L247" s="191"/>
      <c r="M247" s="663"/>
      <c r="N247" s="191"/>
      <c r="O247" s="663"/>
      <c r="P247" s="191"/>
      <c r="Q247" s="663"/>
      <c r="R247" s="191"/>
      <c r="S247" s="935"/>
      <c r="T247" s="663"/>
      <c r="U247" s="1067"/>
      <c r="V247" s="965"/>
      <c r="W247" s="965"/>
      <c r="X247" s="190"/>
      <c r="Y247" s="663"/>
      <c r="Z247" s="474"/>
      <c r="AA247" s="474"/>
      <c r="AB247" s="935"/>
      <c r="AC247" s="663"/>
      <c r="AD247" s="1067"/>
      <c r="AE247" s="989"/>
      <c r="AF247" s="1000"/>
      <c r="AG247" s="1000"/>
      <c r="AH247" s="663"/>
      <c r="AI247" s="1067"/>
      <c r="AJ247" s="989"/>
      <c r="AK247" s="1000"/>
      <c r="AL247" s="1000"/>
      <c r="AM247" s="663"/>
      <c r="AN247" s="1067"/>
      <c r="AO247" s="989"/>
      <c r="AP247" s="1004"/>
      <c r="AQ247" s="1004"/>
      <c r="AR247" s="663"/>
      <c r="AS247" s="1067"/>
      <c r="AT247" s="989"/>
      <c r="AU247" s="1000"/>
      <c r="AV247" s="1000"/>
      <c r="AW247" s="663"/>
      <c r="AX247" s="1067"/>
      <c r="AY247" s="989"/>
      <c r="AZ247" s="1000"/>
      <c r="BA247" s="1000"/>
      <c r="BB247" s="663"/>
      <c r="BC247" s="1067"/>
      <c r="BD247" s="1004"/>
      <c r="BE247" s="989"/>
    </row>
    <row r="248" spans="4:68">
      <c r="D248" s="483" t="s">
        <v>1436</v>
      </c>
      <c r="E248" s="190"/>
      <c r="F248" s="815"/>
      <c r="G248" s="815">
        <v>100</v>
      </c>
      <c r="H248" s="662"/>
      <c r="I248" s="662"/>
      <c r="J248" s="191"/>
      <c r="K248" s="191"/>
      <c r="L248" s="191"/>
      <c r="M248" s="663"/>
      <c r="N248" s="191"/>
      <c r="O248" s="663"/>
      <c r="P248" s="191"/>
      <c r="Q248" s="663"/>
      <c r="R248" s="191"/>
      <c r="S248" s="935"/>
      <c r="T248" s="663"/>
      <c r="U248" s="1067"/>
      <c r="V248" s="965"/>
      <c r="W248" s="965"/>
      <c r="X248" s="190"/>
      <c r="Y248" s="663">
        <v>46405</v>
      </c>
      <c r="Z248" s="474"/>
      <c r="AA248" s="474"/>
      <c r="AB248" s="935"/>
      <c r="AC248" s="663">
        <v>42000</v>
      </c>
      <c r="AD248" s="1067"/>
      <c r="AE248" s="989"/>
      <c r="AF248" s="1000"/>
      <c r="AG248" s="1000"/>
      <c r="AH248" s="663"/>
      <c r="AI248" s="1067"/>
      <c r="AJ248" s="989"/>
      <c r="AK248" s="1000"/>
      <c r="AL248" s="1000"/>
      <c r="AM248" s="663"/>
      <c r="AN248" s="1067"/>
      <c r="AO248" s="989"/>
      <c r="AP248" s="1004"/>
      <c r="AQ248" s="1004"/>
      <c r="AR248" s="663"/>
      <c r="AS248" s="1067"/>
      <c r="AT248" s="989"/>
      <c r="AU248" s="1000"/>
      <c r="AV248" s="1000"/>
      <c r="AW248" s="663"/>
      <c r="AX248" s="1067"/>
      <c r="AY248" s="989"/>
      <c r="AZ248" s="1000"/>
      <c r="BA248" s="1000"/>
      <c r="BB248" s="663"/>
      <c r="BC248" s="1067"/>
      <c r="BD248" s="1004"/>
      <c r="BE248" s="989"/>
    </row>
    <row r="249" spans="4:68">
      <c r="D249" s="483" t="s">
        <v>1437</v>
      </c>
      <c r="E249" s="190"/>
      <c r="F249" s="815"/>
      <c r="G249" s="815">
        <v>100</v>
      </c>
      <c r="H249" s="662"/>
      <c r="I249" s="662"/>
      <c r="J249" s="191"/>
      <c r="K249" s="191"/>
      <c r="L249" s="191"/>
      <c r="M249" s="663"/>
      <c r="N249" s="191"/>
      <c r="O249" s="663"/>
      <c r="P249" s="191"/>
      <c r="Q249" s="663"/>
      <c r="R249" s="191"/>
      <c r="S249" s="935"/>
      <c r="T249" s="663"/>
      <c r="U249" s="1067"/>
      <c r="V249" s="965"/>
      <c r="W249" s="965"/>
      <c r="X249" s="190"/>
      <c r="Y249" s="663">
        <v>8250</v>
      </c>
      <c r="Z249" s="474"/>
      <c r="AA249" s="474"/>
      <c r="AB249" s="935"/>
      <c r="AC249" s="663">
        <v>12000</v>
      </c>
      <c r="AD249" s="1067"/>
      <c r="AE249" s="989"/>
      <c r="AF249" s="1000"/>
      <c r="AG249" s="1000"/>
      <c r="AH249" s="663"/>
      <c r="AI249" s="1067"/>
      <c r="AJ249" s="989"/>
      <c r="AK249" s="1000"/>
      <c r="AL249" s="1000"/>
      <c r="AM249" s="663"/>
      <c r="AN249" s="1067"/>
      <c r="AO249" s="989"/>
      <c r="AP249" s="1004"/>
      <c r="AQ249" s="1004"/>
      <c r="AR249" s="663"/>
      <c r="AS249" s="1067"/>
      <c r="AT249" s="989"/>
      <c r="AU249" s="1000"/>
      <c r="AV249" s="1000"/>
      <c r="AW249" s="663"/>
      <c r="AX249" s="1067"/>
      <c r="AY249" s="989"/>
      <c r="AZ249" s="1000"/>
      <c r="BA249" s="1000"/>
      <c r="BB249" s="663"/>
      <c r="BC249" s="1067"/>
      <c r="BD249" s="1004"/>
      <c r="BE249" s="989"/>
    </row>
    <row r="250" spans="4:68">
      <c r="D250" s="483" t="s">
        <v>1449</v>
      </c>
      <c r="E250" s="190"/>
      <c r="F250" s="815"/>
      <c r="G250" s="815">
        <v>100</v>
      </c>
      <c r="H250" s="662"/>
      <c r="I250" s="662"/>
      <c r="J250" s="191"/>
      <c r="K250" s="191"/>
      <c r="L250" s="191"/>
      <c r="M250" s="663"/>
      <c r="N250" s="191"/>
      <c r="O250" s="663"/>
      <c r="P250" s="191"/>
      <c r="Q250" s="663"/>
      <c r="R250" s="191"/>
      <c r="S250" s="935"/>
      <c r="T250" s="663"/>
      <c r="U250" s="1067"/>
      <c r="V250" s="965"/>
      <c r="W250" s="965"/>
      <c r="X250" s="190"/>
      <c r="Y250" s="663">
        <v>7495</v>
      </c>
      <c r="Z250" s="474"/>
      <c r="AA250" s="474"/>
      <c r="AB250" s="935"/>
      <c r="AC250" s="663"/>
      <c r="AD250" s="1067"/>
      <c r="AE250" s="989"/>
      <c r="AF250" s="1000"/>
      <c r="AG250" s="1000"/>
      <c r="AH250" s="663"/>
      <c r="AI250" s="1067"/>
      <c r="AJ250" s="989"/>
      <c r="AK250" s="1000"/>
      <c r="AL250" s="1000"/>
      <c r="AM250" s="663"/>
      <c r="AN250" s="1067"/>
      <c r="AO250" s="989"/>
      <c r="AP250" s="1004"/>
      <c r="AQ250" s="1004"/>
      <c r="AR250" s="663"/>
      <c r="AS250" s="1067"/>
      <c r="AT250" s="989"/>
      <c r="AU250" s="1000"/>
      <c r="AV250" s="1000"/>
      <c r="AW250" s="663"/>
      <c r="AX250" s="1067"/>
      <c r="AY250" s="989"/>
      <c r="AZ250" s="1000"/>
      <c r="BA250" s="1000"/>
      <c r="BB250" s="663"/>
      <c r="BC250" s="1067"/>
      <c r="BD250" s="1004"/>
      <c r="BE250" s="989"/>
    </row>
    <row r="251" spans="4:68">
      <c r="D251" s="483" t="s">
        <v>1455</v>
      </c>
      <c r="E251" s="190"/>
      <c r="F251" s="815"/>
      <c r="G251" s="815">
        <v>230</v>
      </c>
      <c r="H251" s="662"/>
      <c r="I251" s="662"/>
      <c r="J251" s="191"/>
      <c r="K251" s="191"/>
      <c r="L251" s="191"/>
      <c r="M251" s="663"/>
      <c r="N251" s="191"/>
      <c r="O251" s="663"/>
      <c r="P251" s="191"/>
      <c r="Q251" s="663"/>
      <c r="R251" s="191"/>
      <c r="S251" s="935"/>
      <c r="T251" s="663"/>
      <c r="U251" s="1067"/>
      <c r="V251" s="965"/>
      <c r="W251" s="965"/>
      <c r="X251" s="190"/>
      <c r="Y251" s="663">
        <v>10000</v>
      </c>
      <c r="Z251" s="474"/>
      <c r="AA251" s="474"/>
      <c r="AB251" s="935"/>
      <c r="AC251" s="663"/>
      <c r="AD251" s="1067"/>
      <c r="AE251" s="989"/>
      <c r="AF251" s="1000"/>
      <c r="AG251" s="1000"/>
      <c r="AH251" s="663"/>
      <c r="AI251" s="1067"/>
      <c r="AJ251" s="989"/>
      <c r="AK251" s="1000"/>
      <c r="AL251" s="1000"/>
      <c r="AM251" s="663"/>
      <c r="AN251" s="1067"/>
      <c r="AO251" s="989"/>
      <c r="AP251" s="1004"/>
      <c r="AQ251" s="1004"/>
      <c r="AR251" s="663"/>
      <c r="AS251" s="1067"/>
      <c r="AT251" s="989"/>
      <c r="AU251" s="1000"/>
      <c r="AV251" s="1000"/>
      <c r="AW251" s="663"/>
      <c r="AX251" s="1067"/>
      <c r="AY251" s="989"/>
      <c r="AZ251" s="1000"/>
      <c r="BA251" s="1000"/>
      <c r="BB251" s="663"/>
      <c r="BC251" s="1067"/>
      <c r="BD251" s="1004"/>
      <c r="BE251" s="989"/>
    </row>
    <row r="252" spans="4:68">
      <c r="D252" s="483" t="s">
        <v>1456</v>
      </c>
      <c r="E252" s="190"/>
      <c r="F252" s="815"/>
      <c r="G252" s="815">
        <v>231</v>
      </c>
      <c r="H252" s="662"/>
      <c r="I252" s="662"/>
      <c r="J252" s="191"/>
      <c r="K252" s="191"/>
      <c r="L252" s="191"/>
      <c r="M252" s="663"/>
      <c r="N252" s="191"/>
      <c r="O252" s="663"/>
      <c r="P252" s="191"/>
      <c r="Q252" s="663"/>
      <c r="R252" s="191"/>
      <c r="S252" s="935"/>
      <c r="T252" s="663"/>
      <c r="U252" s="1067"/>
      <c r="V252" s="965"/>
      <c r="W252" s="965"/>
      <c r="X252" s="190"/>
      <c r="Y252" s="663">
        <v>3885</v>
      </c>
      <c r="Z252" s="474"/>
      <c r="AA252" s="474"/>
      <c r="AB252" s="935"/>
      <c r="AC252" s="663"/>
      <c r="AD252" s="1067"/>
      <c r="AE252" s="989"/>
      <c r="AF252" s="1000"/>
      <c r="AG252" s="1000"/>
      <c r="AH252" s="663"/>
      <c r="AI252" s="1067"/>
      <c r="AJ252" s="989"/>
      <c r="AK252" s="1000"/>
      <c r="AL252" s="1000"/>
      <c r="AM252" s="663"/>
      <c r="AN252" s="1067"/>
      <c r="AO252" s="989"/>
      <c r="AP252" s="1004"/>
      <c r="AQ252" s="1004"/>
      <c r="AR252" s="663"/>
      <c r="AS252" s="1067"/>
      <c r="AT252" s="989"/>
      <c r="AU252" s="1000"/>
      <c r="AV252" s="1000"/>
      <c r="AW252" s="663"/>
      <c r="AX252" s="1067"/>
      <c r="AY252" s="989"/>
      <c r="AZ252" s="1000"/>
      <c r="BA252" s="1000"/>
      <c r="BB252" s="663"/>
      <c r="BC252" s="1067"/>
      <c r="BD252" s="1004"/>
      <c r="BE252" s="989"/>
    </row>
    <row r="253" spans="4:68">
      <c r="D253" s="483" t="s">
        <v>1457</v>
      </c>
      <c r="E253" s="190"/>
      <c r="F253" s="815"/>
      <c r="G253" s="815">
        <v>236</v>
      </c>
      <c r="H253" s="662"/>
      <c r="I253" s="662"/>
      <c r="J253" s="191"/>
      <c r="K253" s="191"/>
      <c r="L253" s="191"/>
      <c r="M253" s="663"/>
      <c r="N253" s="191"/>
      <c r="O253" s="663"/>
      <c r="P253" s="191"/>
      <c r="Q253" s="663"/>
      <c r="R253" s="191"/>
      <c r="S253" s="935"/>
      <c r="T253" s="663"/>
      <c r="U253" s="1067"/>
      <c r="V253" s="965"/>
      <c r="W253" s="965"/>
      <c r="X253" s="190"/>
      <c r="Y253" s="663">
        <v>4823</v>
      </c>
      <c r="Z253" s="474"/>
      <c r="AA253" s="474"/>
      <c r="AB253" s="935"/>
      <c r="AC253" s="663"/>
      <c r="AD253" s="1067"/>
      <c r="AE253" s="989"/>
      <c r="AF253" s="1000"/>
      <c r="AG253" s="1000"/>
      <c r="AH253" s="663"/>
      <c r="AI253" s="1067"/>
      <c r="AJ253" s="989"/>
      <c r="AK253" s="1000"/>
      <c r="AL253" s="1000"/>
      <c r="AM253" s="663"/>
      <c r="AN253" s="1067"/>
      <c r="AO253" s="989"/>
      <c r="AP253" s="1004"/>
      <c r="AQ253" s="1004"/>
      <c r="AR253" s="663"/>
      <c r="AS253" s="1067"/>
      <c r="AT253" s="989"/>
      <c r="AU253" s="1000"/>
      <c r="AV253" s="1000"/>
      <c r="AW253" s="663"/>
      <c r="AX253" s="1067"/>
      <c r="AY253" s="989"/>
      <c r="AZ253" s="1000"/>
      <c r="BA253" s="1000"/>
      <c r="BB253" s="663"/>
      <c r="BC253" s="1067"/>
      <c r="BD253" s="1004"/>
      <c r="BE253" s="989"/>
    </row>
    <row r="254" spans="4:68">
      <c r="D254" s="483" t="s">
        <v>1458</v>
      </c>
      <c r="E254" s="190"/>
      <c r="F254" s="815"/>
      <c r="G254" s="815">
        <v>237</v>
      </c>
      <c r="H254" s="662"/>
      <c r="I254" s="662"/>
      <c r="J254" s="191"/>
      <c r="K254" s="191"/>
      <c r="L254" s="191"/>
      <c r="M254" s="663"/>
      <c r="N254" s="191"/>
      <c r="O254" s="663"/>
      <c r="P254" s="191"/>
      <c r="Q254" s="663"/>
      <c r="R254" s="191"/>
      <c r="S254" s="935"/>
      <c r="T254" s="663"/>
      <c r="U254" s="1067"/>
      <c r="V254" s="965"/>
      <c r="W254" s="965"/>
      <c r="X254" s="190"/>
      <c r="Y254" s="663">
        <v>2500</v>
      </c>
      <c r="Z254" s="474"/>
      <c r="AA254" s="474"/>
      <c r="AB254" s="935"/>
      <c r="AC254" s="663"/>
      <c r="AD254" s="1067"/>
      <c r="AE254" s="989"/>
      <c r="AF254" s="1000"/>
      <c r="AG254" s="1000"/>
      <c r="AH254" s="663"/>
      <c r="AI254" s="1067"/>
      <c r="AJ254" s="989"/>
      <c r="AK254" s="1000"/>
      <c r="AL254" s="1000"/>
      <c r="AM254" s="663"/>
      <c r="AN254" s="1067"/>
      <c r="AO254" s="989"/>
      <c r="AP254" s="1004"/>
      <c r="AQ254" s="1004"/>
      <c r="AR254" s="663"/>
      <c r="AS254" s="1067"/>
      <c r="AT254" s="989"/>
      <c r="AU254" s="1000"/>
      <c r="AV254" s="1000"/>
      <c r="AW254" s="663"/>
      <c r="AX254" s="1067"/>
      <c r="AY254" s="989"/>
      <c r="AZ254" s="1000"/>
      <c r="BA254" s="1000"/>
      <c r="BB254" s="663"/>
      <c r="BC254" s="1067"/>
      <c r="BD254" s="1004"/>
      <c r="BE254" s="989"/>
    </row>
    <row r="255" spans="4:68" hidden="1">
      <c r="D255" s="483" t="s">
        <v>1088</v>
      </c>
      <c r="E255" s="190"/>
      <c r="F255" s="815"/>
      <c r="G255" s="815"/>
      <c r="H255" s="662"/>
      <c r="I255" s="662"/>
      <c r="J255" s="191"/>
      <c r="K255" s="191"/>
      <c r="L255" s="191"/>
      <c r="M255" s="663"/>
      <c r="N255" s="191"/>
      <c r="O255" s="663"/>
      <c r="P255" s="191"/>
      <c r="Q255" s="663"/>
      <c r="R255" s="191"/>
      <c r="S255" s="935"/>
      <c r="T255" s="663"/>
      <c r="U255" s="1067"/>
      <c r="V255" s="965"/>
      <c r="W255" s="965"/>
      <c r="X255" s="190"/>
      <c r="Y255" s="663"/>
      <c r="Z255" s="474"/>
      <c r="AA255" s="474"/>
      <c r="AB255" s="935"/>
      <c r="AC255" s="663"/>
      <c r="AD255" s="1067"/>
      <c r="AE255" s="989"/>
      <c r="AF255" s="1000"/>
      <c r="AG255" s="1000"/>
      <c r="AH255" s="663"/>
      <c r="AI255" s="1067"/>
      <c r="AJ255" s="989"/>
      <c r="AK255" s="1000"/>
      <c r="AL255" s="1000"/>
      <c r="AM255" s="663"/>
      <c r="AN255" s="1067"/>
      <c r="AO255" s="989"/>
      <c r="AP255" s="1004"/>
      <c r="AQ255" s="1004"/>
      <c r="AR255" s="663"/>
      <c r="AS255" s="1067"/>
      <c r="AT255" s="989"/>
      <c r="AU255" s="1000"/>
      <c r="AV255" s="1000"/>
      <c r="AW255" s="663"/>
      <c r="AX255" s="1067"/>
      <c r="AY255" s="989"/>
      <c r="AZ255" s="1000"/>
      <c r="BA255" s="1000"/>
      <c r="BB255" s="663"/>
      <c r="BC255" s="1067"/>
      <c r="BD255" s="1004"/>
      <c r="BE255" s="989"/>
    </row>
    <row r="256" spans="4:68">
      <c r="D256" s="484" t="s">
        <v>1086</v>
      </c>
      <c r="E256" s="192"/>
      <c r="F256" s="816"/>
      <c r="G256" s="193"/>
      <c r="H256" s="193"/>
      <c r="I256" s="193"/>
      <c r="J256" s="193"/>
      <c r="K256" s="193"/>
      <c r="L256" s="193"/>
      <c r="M256" s="193">
        <f>SUM(M246:M255)</f>
        <v>0</v>
      </c>
      <c r="N256" s="193"/>
      <c r="O256" s="193">
        <f>SUM(O246:O255)</f>
        <v>0</v>
      </c>
      <c r="P256" s="193"/>
      <c r="Q256" s="193">
        <f>SUM(Q246:Q255)</f>
        <v>0</v>
      </c>
      <c r="R256" s="193"/>
      <c r="S256" s="944"/>
      <c r="T256" s="193">
        <f>SUM(T246:T255)</f>
        <v>0</v>
      </c>
      <c r="U256" s="1065"/>
      <c r="V256" s="975"/>
      <c r="W256" s="975"/>
      <c r="X256" s="192"/>
      <c r="Y256" s="193">
        <f>SUM(Y246:Y255)</f>
        <v>83358</v>
      </c>
      <c r="Z256" s="475"/>
      <c r="AA256" s="475"/>
      <c r="AB256" s="944"/>
      <c r="AC256" s="193">
        <f>SUM(AC246:AC255)</f>
        <v>54000</v>
      </c>
      <c r="AD256" s="1065"/>
      <c r="AE256" s="994"/>
      <c r="AF256" s="975"/>
      <c r="AG256" s="944"/>
      <c r="AH256" s="193">
        <f>SUM(AH246:AH255)</f>
        <v>0</v>
      </c>
      <c r="AI256" s="1065"/>
      <c r="AJ256" s="994"/>
      <c r="AK256" s="994"/>
      <c r="AL256" s="944"/>
      <c r="AM256" s="193">
        <f>SUM(AM246:AM255)</f>
        <v>0</v>
      </c>
      <c r="AN256" s="1065"/>
      <c r="AO256" s="994"/>
      <c r="AP256" s="994"/>
      <c r="AQ256" s="944"/>
      <c r="AR256" s="193">
        <f>SUM(AR246:AR255)</f>
        <v>0</v>
      </c>
      <c r="AS256" s="1065"/>
      <c r="AT256" s="994"/>
      <c r="AU256" s="994"/>
      <c r="AV256" s="944"/>
      <c r="AW256" s="193">
        <f>SUM(AW246:AW255)</f>
        <v>0</v>
      </c>
      <c r="AX256" s="1065"/>
      <c r="AY256" s="994"/>
      <c r="AZ256" s="994"/>
      <c r="BA256" s="944"/>
      <c r="BB256" s="193">
        <f>SUM(BB246:BB255)</f>
        <v>0</v>
      </c>
      <c r="BC256" s="1076"/>
      <c r="BD256" s="1011"/>
      <c r="BE256" s="1025"/>
    </row>
    <row r="257" spans="4:57" ht="9" customHeight="1">
      <c r="E257" s="186"/>
      <c r="F257" s="817"/>
      <c r="G257" s="247"/>
      <c r="H257" s="247"/>
      <c r="I257" s="247"/>
      <c r="J257" s="247"/>
      <c r="K257" s="247"/>
      <c r="L257" s="247"/>
      <c r="M257" s="247"/>
      <c r="N257" s="247"/>
      <c r="O257" s="247"/>
      <c r="P257" s="247"/>
      <c r="Q257" s="247"/>
      <c r="R257" s="247"/>
      <c r="S257" s="936"/>
      <c r="T257" s="247"/>
      <c r="V257" s="974"/>
      <c r="W257" s="974"/>
      <c r="X257" s="186"/>
      <c r="Y257" s="247"/>
      <c r="AB257" s="936"/>
      <c r="AC257" s="247"/>
      <c r="AF257" s="974"/>
      <c r="AG257" s="936"/>
      <c r="AH257" s="247"/>
      <c r="AL257" s="936"/>
      <c r="AM257" s="247"/>
      <c r="AQ257" s="936"/>
      <c r="AR257" s="247"/>
      <c r="AV257" s="936"/>
      <c r="AW257" s="247"/>
      <c r="BA257" s="936"/>
      <c r="BB257" s="247"/>
      <c r="BD257" s="974"/>
    </row>
    <row r="258" spans="4:57" hidden="1">
      <c r="D258" s="483" t="s">
        <v>1196</v>
      </c>
      <c r="E258" s="190"/>
      <c r="F258" s="190"/>
      <c r="G258" s="815">
        <v>286</v>
      </c>
      <c r="H258" s="662"/>
      <c r="I258" s="662"/>
      <c r="J258" s="191"/>
      <c r="K258" s="191"/>
      <c r="L258" s="191"/>
      <c r="M258" s="663"/>
      <c r="N258" s="191"/>
      <c r="O258" s="663"/>
      <c r="P258" s="191"/>
      <c r="Q258" s="663"/>
      <c r="R258" s="191"/>
      <c r="S258" s="935"/>
      <c r="T258" s="663"/>
      <c r="U258" s="1067"/>
      <c r="V258" s="965"/>
      <c r="W258" s="965"/>
      <c r="X258" s="190"/>
      <c r="Y258" s="663"/>
      <c r="Z258" s="474"/>
      <c r="AA258" s="474"/>
      <c r="AB258" s="935"/>
      <c r="AC258" s="663"/>
      <c r="AD258" s="1067"/>
      <c r="AE258" s="989"/>
      <c r="AF258" s="1000"/>
      <c r="AG258" s="1000"/>
      <c r="AH258" s="663"/>
      <c r="AI258" s="1067"/>
      <c r="AJ258" s="989"/>
      <c r="AK258" s="1000"/>
      <c r="AL258" s="1000"/>
      <c r="AM258" s="663"/>
      <c r="AN258" s="1067"/>
      <c r="AO258" s="989"/>
      <c r="AP258" s="1004"/>
      <c r="AQ258" s="1004"/>
      <c r="AR258" s="663"/>
      <c r="AS258" s="1067"/>
      <c r="AT258" s="989"/>
      <c r="AU258" s="1000"/>
      <c r="AV258" s="1000"/>
      <c r="AW258" s="663"/>
      <c r="AX258" s="1067"/>
      <c r="AY258" s="989"/>
      <c r="AZ258" s="1000"/>
      <c r="BA258" s="1000"/>
      <c r="BB258" s="663"/>
      <c r="BC258" s="1067"/>
      <c r="BD258" s="1004"/>
      <c r="BE258" s="989"/>
    </row>
    <row r="259" spans="4:57" hidden="1">
      <c r="D259" s="483" t="s">
        <v>1178</v>
      </c>
      <c r="E259" s="190"/>
      <c r="F259" s="190"/>
      <c r="G259" s="815">
        <v>290</v>
      </c>
      <c r="H259" s="662"/>
      <c r="I259" s="662"/>
      <c r="J259" s="191"/>
      <c r="K259" s="191"/>
      <c r="L259" s="191"/>
      <c r="M259" s="663"/>
      <c r="N259" s="191"/>
      <c r="O259" s="663"/>
      <c r="P259" s="191"/>
      <c r="Q259" s="663"/>
      <c r="R259" s="191"/>
      <c r="S259" s="935"/>
      <c r="T259" s="663"/>
      <c r="U259" s="1067"/>
      <c r="V259" s="965"/>
      <c r="W259" s="965"/>
      <c r="X259" s="190"/>
      <c r="Y259" s="663"/>
      <c r="Z259" s="474"/>
      <c r="AA259" s="474"/>
      <c r="AB259" s="935"/>
      <c r="AC259" s="663"/>
      <c r="AD259" s="1067"/>
      <c r="AE259" s="989"/>
      <c r="AF259" s="1000"/>
      <c r="AG259" s="1000"/>
      <c r="AH259" s="663"/>
      <c r="AI259" s="1067"/>
      <c r="AJ259" s="989"/>
      <c r="AK259" s="1000"/>
      <c r="AL259" s="1000"/>
      <c r="AM259" s="663"/>
      <c r="AN259" s="1067"/>
      <c r="AO259" s="989"/>
      <c r="AP259" s="1004"/>
      <c r="AQ259" s="1004"/>
      <c r="AR259" s="663"/>
      <c r="AS259" s="1067"/>
      <c r="AT259" s="989"/>
      <c r="AU259" s="1000"/>
      <c r="AV259" s="1000"/>
      <c r="AW259" s="663"/>
      <c r="AX259" s="1067"/>
      <c r="AY259" s="989"/>
      <c r="AZ259" s="1000"/>
      <c r="BA259" s="1000"/>
      <c r="BB259" s="663"/>
      <c r="BC259" s="1067"/>
      <c r="BD259" s="1004"/>
      <c r="BE259" s="989"/>
    </row>
    <row r="260" spans="4:57" hidden="1">
      <c r="D260" s="483" t="s">
        <v>1190</v>
      </c>
      <c r="E260" s="190"/>
      <c r="F260" s="190"/>
      <c r="G260" s="815">
        <v>252</v>
      </c>
      <c r="H260" s="662"/>
      <c r="I260" s="662"/>
      <c r="J260" s="191"/>
      <c r="K260" s="191"/>
      <c r="L260" s="191"/>
      <c r="M260" s="663"/>
      <c r="N260" s="191"/>
      <c r="O260" s="663"/>
      <c r="P260" s="191"/>
      <c r="Q260" s="663"/>
      <c r="R260" s="191"/>
      <c r="S260" s="935"/>
      <c r="T260" s="663"/>
      <c r="U260" s="1067"/>
      <c r="V260" s="965"/>
      <c r="W260" s="965"/>
      <c r="X260" s="190"/>
      <c r="Y260" s="663"/>
      <c r="Z260" s="474"/>
      <c r="AA260" s="474"/>
      <c r="AB260" s="935"/>
      <c r="AC260" s="663"/>
      <c r="AD260" s="1067"/>
      <c r="AE260" s="989"/>
      <c r="AF260" s="1000"/>
      <c r="AG260" s="1000"/>
      <c r="AH260" s="663"/>
      <c r="AI260" s="1067"/>
      <c r="AJ260" s="989"/>
      <c r="AK260" s="1000"/>
      <c r="AL260" s="1000"/>
      <c r="AM260" s="663"/>
      <c r="AN260" s="1067"/>
      <c r="AO260" s="989"/>
      <c r="AP260" s="1004"/>
      <c r="AQ260" s="1004"/>
      <c r="AR260" s="663"/>
      <c r="AS260" s="1067"/>
      <c r="AT260" s="989"/>
      <c r="AU260" s="1000"/>
      <c r="AV260" s="1000"/>
      <c r="AW260" s="663"/>
      <c r="AX260" s="1067"/>
      <c r="AY260" s="989"/>
      <c r="AZ260" s="1000"/>
      <c r="BA260" s="1000"/>
      <c r="BB260" s="663"/>
      <c r="BC260" s="1067"/>
      <c r="BD260" s="1004"/>
      <c r="BE260" s="989"/>
    </row>
    <row r="261" spans="4:57" hidden="1">
      <c r="D261" s="483" t="s">
        <v>1189</v>
      </c>
      <c r="E261" s="190"/>
      <c r="F261" s="190"/>
      <c r="G261" s="815">
        <v>252</v>
      </c>
      <c r="H261" s="662"/>
      <c r="I261" s="662"/>
      <c r="J261" s="191"/>
      <c r="K261" s="191"/>
      <c r="L261" s="191"/>
      <c r="M261" s="663"/>
      <c r="N261" s="191"/>
      <c r="O261" s="663"/>
      <c r="P261" s="191"/>
      <c r="Q261" s="663"/>
      <c r="R261" s="191"/>
      <c r="S261" s="935"/>
      <c r="T261" s="663"/>
      <c r="U261" s="1067"/>
      <c r="V261" s="965"/>
      <c r="W261" s="965"/>
      <c r="X261" s="190"/>
      <c r="Y261" s="663"/>
      <c r="Z261" s="474"/>
      <c r="AA261" s="474"/>
      <c r="AB261" s="935"/>
      <c r="AC261" s="663"/>
      <c r="AD261" s="1067"/>
      <c r="AE261" s="989"/>
      <c r="AF261" s="1000"/>
      <c r="AG261" s="1000"/>
      <c r="AH261" s="663"/>
      <c r="AI261" s="1067"/>
      <c r="AJ261" s="989"/>
      <c r="AK261" s="1000"/>
      <c r="AL261" s="1000"/>
      <c r="AM261" s="663"/>
      <c r="AN261" s="1067"/>
      <c r="AO261" s="989"/>
      <c r="AP261" s="1004"/>
      <c r="AQ261" s="1004"/>
      <c r="AR261" s="663"/>
      <c r="AS261" s="1067"/>
      <c r="AT261" s="989"/>
      <c r="AU261" s="1000"/>
      <c r="AV261" s="1000"/>
      <c r="AW261" s="663"/>
      <c r="AX261" s="1067"/>
      <c r="AY261" s="989"/>
      <c r="AZ261" s="1000"/>
      <c r="BA261" s="1000"/>
      <c r="BB261" s="663"/>
      <c r="BC261" s="1067"/>
      <c r="BD261" s="1004"/>
      <c r="BE261" s="989"/>
    </row>
    <row r="262" spans="4:57" hidden="1">
      <c r="D262" s="483" t="s">
        <v>1188</v>
      </c>
      <c r="E262" s="190"/>
      <c r="F262" s="190"/>
      <c r="G262" s="815">
        <v>252</v>
      </c>
      <c r="H262" s="662"/>
      <c r="I262" s="662"/>
      <c r="J262" s="191"/>
      <c r="K262" s="191"/>
      <c r="L262" s="191"/>
      <c r="M262" s="663"/>
      <c r="N262" s="191"/>
      <c r="O262" s="663"/>
      <c r="P262" s="191"/>
      <c r="Q262" s="663"/>
      <c r="R262" s="191"/>
      <c r="S262" s="935"/>
      <c r="T262" s="663"/>
      <c r="U262" s="1067"/>
      <c r="V262" s="965"/>
      <c r="W262" s="965"/>
      <c r="X262" s="190"/>
      <c r="Y262" s="663"/>
      <c r="Z262" s="474"/>
      <c r="AA262" s="474"/>
      <c r="AB262" s="935"/>
      <c r="AC262" s="663"/>
      <c r="AD262" s="1067"/>
      <c r="AE262" s="989"/>
      <c r="AF262" s="1000"/>
      <c r="AG262" s="1000"/>
      <c r="AH262" s="663"/>
      <c r="AI262" s="1067"/>
      <c r="AJ262" s="989"/>
      <c r="AK262" s="1000"/>
      <c r="AL262" s="1000"/>
      <c r="AM262" s="663"/>
      <c r="AN262" s="1067"/>
      <c r="AO262" s="989"/>
      <c r="AP262" s="1004"/>
      <c r="AQ262" s="1004"/>
      <c r="AR262" s="663"/>
      <c r="AS262" s="1067"/>
      <c r="AT262" s="989"/>
      <c r="AU262" s="1000"/>
      <c r="AV262" s="1000"/>
      <c r="AW262" s="663"/>
      <c r="AX262" s="1067"/>
      <c r="AY262" s="989"/>
      <c r="AZ262" s="1000"/>
      <c r="BA262" s="1000"/>
      <c r="BB262" s="663"/>
      <c r="BC262" s="1067"/>
      <c r="BD262" s="1004"/>
      <c r="BE262" s="989"/>
    </row>
    <row r="263" spans="4:57" hidden="1">
      <c r="D263" s="483" t="s">
        <v>1184</v>
      </c>
      <c r="E263" s="190"/>
      <c r="F263" s="190"/>
      <c r="G263" s="815">
        <v>274</v>
      </c>
      <c r="H263" s="662"/>
      <c r="I263" s="662"/>
      <c r="J263" s="191"/>
      <c r="K263" s="191"/>
      <c r="L263" s="191"/>
      <c r="M263" s="663"/>
      <c r="N263" s="191"/>
      <c r="O263" s="663"/>
      <c r="P263" s="191"/>
      <c r="Q263" s="663"/>
      <c r="R263" s="191"/>
      <c r="S263" s="935"/>
      <c r="T263" s="663"/>
      <c r="U263" s="1067"/>
      <c r="V263" s="965"/>
      <c r="W263" s="965"/>
      <c r="X263" s="190"/>
      <c r="Y263" s="663"/>
      <c r="Z263" s="474"/>
      <c r="AA263" s="474"/>
      <c r="AB263" s="935"/>
      <c r="AC263" s="663"/>
      <c r="AD263" s="1067"/>
      <c r="AE263" s="989"/>
      <c r="AF263" s="1000"/>
      <c r="AG263" s="1000"/>
      <c r="AH263" s="663"/>
      <c r="AI263" s="1067"/>
      <c r="AJ263" s="989"/>
      <c r="AK263" s="1000"/>
      <c r="AL263" s="1000"/>
      <c r="AM263" s="663"/>
      <c r="AN263" s="1067"/>
      <c r="AO263" s="989"/>
      <c r="AP263" s="1004"/>
      <c r="AQ263" s="1004"/>
      <c r="AR263" s="663"/>
      <c r="AS263" s="1067"/>
      <c r="AT263" s="989"/>
      <c r="AU263" s="1000"/>
      <c r="AV263" s="1000"/>
      <c r="AW263" s="663"/>
      <c r="AX263" s="1067"/>
      <c r="AY263" s="989"/>
      <c r="AZ263" s="1000"/>
      <c r="BA263" s="1000"/>
      <c r="BB263" s="663"/>
      <c r="BC263" s="1067"/>
      <c r="BD263" s="1004"/>
      <c r="BE263" s="989"/>
    </row>
    <row r="264" spans="4:57" hidden="1">
      <c r="D264" s="483" t="s">
        <v>1181</v>
      </c>
      <c r="E264" s="190"/>
      <c r="F264" s="190"/>
      <c r="G264" s="815">
        <v>284</v>
      </c>
      <c r="H264" s="662"/>
      <c r="I264" s="662"/>
      <c r="J264" s="191"/>
      <c r="K264" s="191"/>
      <c r="L264" s="191"/>
      <c r="M264" s="663"/>
      <c r="N264" s="191"/>
      <c r="O264" s="663"/>
      <c r="P264" s="191"/>
      <c r="Q264" s="663"/>
      <c r="R264" s="191"/>
      <c r="S264" s="935"/>
      <c r="T264" s="663"/>
      <c r="U264" s="1067"/>
      <c r="V264" s="965"/>
      <c r="W264" s="965"/>
      <c r="X264" s="190"/>
      <c r="Y264" s="663"/>
      <c r="Z264" s="474"/>
      <c r="AA264" s="474"/>
      <c r="AB264" s="935"/>
      <c r="AC264" s="663"/>
      <c r="AD264" s="1067"/>
      <c r="AE264" s="989"/>
      <c r="AF264" s="1000"/>
      <c r="AG264" s="1000"/>
      <c r="AH264" s="663"/>
      <c r="AI264" s="1067"/>
      <c r="AJ264" s="989"/>
      <c r="AK264" s="1000"/>
      <c r="AL264" s="1000"/>
      <c r="AM264" s="663"/>
      <c r="AN264" s="1067"/>
      <c r="AO264" s="989"/>
      <c r="AP264" s="1004"/>
      <c r="AQ264" s="1004"/>
      <c r="AR264" s="663"/>
      <c r="AS264" s="1067"/>
      <c r="AT264" s="989"/>
      <c r="AU264" s="1000"/>
      <c r="AV264" s="1000"/>
      <c r="AW264" s="663"/>
      <c r="AX264" s="1067"/>
      <c r="AY264" s="989"/>
      <c r="AZ264" s="1000"/>
      <c r="BA264" s="1000"/>
      <c r="BB264" s="663"/>
      <c r="BC264" s="1067"/>
      <c r="BD264" s="1004"/>
      <c r="BE264" s="989"/>
    </row>
    <row r="265" spans="4:57" hidden="1">
      <c r="D265" s="483" t="s">
        <v>1182</v>
      </c>
      <c r="E265" s="190"/>
      <c r="F265" s="190"/>
      <c r="G265" s="815">
        <v>290</v>
      </c>
      <c r="H265" s="662"/>
      <c r="I265" s="662"/>
      <c r="J265" s="191"/>
      <c r="K265" s="191"/>
      <c r="L265" s="191"/>
      <c r="M265" s="663"/>
      <c r="N265" s="191"/>
      <c r="O265" s="663"/>
      <c r="P265" s="191"/>
      <c r="Q265" s="663"/>
      <c r="R265" s="191"/>
      <c r="S265" s="935"/>
      <c r="T265" s="663"/>
      <c r="U265" s="1067"/>
      <c r="V265" s="965"/>
      <c r="W265" s="965"/>
      <c r="X265" s="190"/>
      <c r="Y265" s="663"/>
      <c r="Z265" s="474"/>
      <c r="AA265" s="474"/>
      <c r="AB265" s="935"/>
      <c r="AC265" s="663"/>
      <c r="AD265" s="1067"/>
      <c r="AE265" s="989"/>
      <c r="AF265" s="1000"/>
      <c r="AG265" s="1000"/>
      <c r="AH265" s="663"/>
      <c r="AI265" s="1067"/>
      <c r="AJ265" s="989"/>
      <c r="AK265" s="1000"/>
      <c r="AL265" s="1000"/>
      <c r="AM265" s="663"/>
      <c r="AN265" s="1067"/>
      <c r="AO265" s="989"/>
      <c r="AP265" s="1004"/>
      <c r="AQ265" s="1004"/>
      <c r="AR265" s="663"/>
      <c r="AS265" s="1067"/>
      <c r="AT265" s="989"/>
      <c r="AU265" s="1000"/>
      <c r="AV265" s="1000"/>
      <c r="AW265" s="663"/>
      <c r="AX265" s="1067"/>
      <c r="AY265" s="989"/>
      <c r="AZ265" s="1000"/>
      <c r="BA265" s="1000"/>
      <c r="BB265" s="663"/>
      <c r="BC265" s="1067"/>
      <c r="BD265" s="1004"/>
      <c r="BE265" s="989"/>
    </row>
    <row r="266" spans="4:57" hidden="1">
      <c r="D266" s="483" t="s">
        <v>1185</v>
      </c>
      <c r="E266" s="190"/>
      <c r="F266" s="190"/>
      <c r="G266" s="815">
        <v>287</v>
      </c>
      <c r="H266" s="662"/>
      <c r="I266" s="662"/>
      <c r="J266" s="191"/>
      <c r="K266" s="191"/>
      <c r="L266" s="191"/>
      <c r="M266" s="663"/>
      <c r="N266" s="191"/>
      <c r="O266" s="663"/>
      <c r="P266" s="191"/>
      <c r="Q266" s="663"/>
      <c r="R266" s="191"/>
      <c r="S266" s="935"/>
      <c r="T266" s="663"/>
      <c r="U266" s="1067"/>
      <c r="V266" s="965"/>
      <c r="W266" s="965"/>
      <c r="X266" s="190"/>
      <c r="Y266" s="663"/>
      <c r="Z266" s="474"/>
      <c r="AA266" s="474"/>
      <c r="AB266" s="935"/>
      <c r="AC266" s="663"/>
      <c r="AD266" s="1067"/>
      <c r="AE266" s="989"/>
      <c r="AF266" s="1000"/>
      <c r="AG266" s="1000"/>
      <c r="AH266" s="663"/>
      <c r="AI266" s="1067"/>
      <c r="AJ266" s="989"/>
      <c r="AK266" s="1000"/>
      <c r="AL266" s="1000"/>
      <c r="AM266" s="663"/>
      <c r="AN266" s="1067"/>
      <c r="AO266" s="989"/>
      <c r="AP266" s="1004"/>
      <c r="AQ266" s="1004"/>
      <c r="AR266" s="663"/>
      <c r="AS266" s="1067"/>
      <c r="AT266" s="989"/>
      <c r="AU266" s="1000"/>
      <c r="AV266" s="1000"/>
      <c r="AW266" s="663"/>
      <c r="AX266" s="1067"/>
      <c r="AY266" s="989"/>
      <c r="AZ266" s="1000"/>
      <c r="BA266" s="1000"/>
      <c r="BB266" s="663"/>
      <c r="BC266" s="1067"/>
      <c r="BD266" s="1004"/>
      <c r="BE266" s="989"/>
    </row>
    <row r="267" spans="4:57" hidden="1">
      <c r="D267" s="483" t="s">
        <v>1183</v>
      </c>
      <c r="E267" s="190"/>
      <c r="F267" s="190"/>
      <c r="G267" s="815">
        <v>289</v>
      </c>
      <c r="H267" s="662"/>
      <c r="I267" s="662"/>
      <c r="J267" s="191"/>
      <c r="K267" s="191"/>
      <c r="L267" s="191"/>
      <c r="M267" s="663"/>
      <c r="N267" s="191"/>
      <c r="O267" s="663"/>
      <c r="P267" s="191"/>
      <c r="Q267" s="663"/>
      <c r="R267" s="191"/>
      <c r="S267" s="935"/>
      <c r="T267" s="663"/>
      <c r="U267" s="1067"/>
      <c r="V267" s="965"/>
      <c r="W267" s="965"/>
      <c r="X267" s="190"/>
      <c r="Y267" s="663"/>
      <c r="Z267" s="474"/>
      <c r="AA267" s="474"/>
      <c r="AB267" s="935"/>
      <c r="AC267" s="663"/>
      <c r="AD267" s="1067"/>
      <c r="AE267" s="989"/>
      <c r="AF267" s="1000"/>
      <c r="AG267" s="1000"/>
      <c r="AH267" s="663"/>
      <c r="AI267" s="1067"/>
      <c r="AJ267" s="989"/>
      <c r="AK267" s="1000"/>
      <c r="AL267" s="1000"/>
      <c r="AM267" s="663"/>
      <c r="AN267" s="1067"/>
      <c r="AO267" s="989"/>
      <c r="AP267" s="1004"/>
      <c r="AQ267" s="1004"/>
      <c r="AR267" s="663"/>
      <c r="AS267" s="1067"/>
      <c r="AT267" s="989"/>
      <c r="AU267" s="1000"/>
      <c r="AV267" s="1000"/>
      <c r="AW267" s="663"/>
      <c r="AX267" s="1067"/>
      <c r="AY267" s="989"/>
      <c r="AZ267" s="1000"/>
      <c r="BA267" s="1000"/>
      <c r="BB267" s="663"/>
      <c r="BC267" s="1067"/>
      <c r="BD267" s="1004"/>
      <c r="BE267" s="989"/>
    </row>
    <row r="268" spans="4:57" hidden="1">
      <c r="D268" s="483" t="s">
        <v>1194</v>
      </c>
      <c r="E268" s="190"/>
      <c r="F268" s="190"/>
      <c r="G268" s="815">
        <v>254</v>
      </c>
      <c r="H268" s="662"/>
      <c r="I268" s="662"/>
      <c r="J268" s="191"/>
      <c r="K268" s="191"/>
      <c r="L268" s="191"/>
      <c r="M268" s="663"/>
      <c r="N268" s="191"/>
      <c r="O268" s="663"/>
      <c r="P268" s="191"/>
      <c r="Q268" s="663"/>
      <c r="R268" s="191"/>
      <c r="S268" s="935"/>
      <c r="T268" s="663"/>
      <c r="U268" s="1067"/>
      <c r="V268" s="965"/>
      <c r="W268" s="965"/>
      <c r="X268" s="190"/>
      <c r="Y268" s="663"/>
      <c r="Z268" s="474"/>
      <c r="AA268" s="474"/>
      <c r="AB268" s="935"/>
      <c r="AC268" s="663"/>
      <c r="AD268" s="1067"/>
      <c r="AE268" s="989"/>
      <c r="AF268" s="1000"/>
      <c r="AG268" s="1000"/>
      <c r="AH268" s="663"/>
      <c r="AI268" s="1067"/>
      <c r="AJ268" s="989"/>
      <c r="AK268" s="1000"/>
      <c r="AL268" s="1000"/>
      <c r="AM268" s="663"/>
      <c r="AN268" s="1067"/>
      <c r="AO268" s="989"/>
      <c r="AP268" s="1004"/>
      <c r="AQ268" s="1004"/>
      <c r="AR268" s="663"/>
      <c r="AS268" s="1067"/>
      <c r="AT268" s="989"/>
      <c r="AU268" s="1000"/>
      <c r="AV268" s="1000"/>
      <c r="AW268" s="663"/>
      <c r="AX268" s="1067"/>
      <c r="AY268" s="989"/>
      <c r="AZ268" s="1000"/>
      <c r="BA268" s="1000"/>
      <c r="BB268" s="663"/>
      <c r="BC268" s="1067"/>
      <c r="BD268" s="1004"/>
      <c r="BE268" s="989"/>
    </row>
    <row r="269" spans="4:57" hidden="1">
      <c r="D269" s="483" t="s">
        <v>1195</v>
      </c>
      <c r="E269" s="190"/>
      <c r="F269" s="190"/>
      <c r="G269" s="815">
        <v>254</v>
      </c>
      <c r="H269" s="662"/>
      <c r="I269" s="662"/>
      <c r="J269" s="191"/>
      <c r="K269" s="191"/>
      <c r="L269" s="191"/>
      <c r="M269" s="663"/>
      <c r="N269" s="191"/>
      <c r="O269" s="663"/>
      <c r="P269" s="191"/>
      <c r="Q269" s="663"/>
      <c r="R269" s="191"/>
      <c r="S269" s="935"/>
      <c r="T269" s="663"/>
      <c r="U269" s="1067"/>
      <c r="V269" s="965"/>
      <c r="W269" s="965"/>
      <c r="X269" s="190"/>
      <c r="Y269" s="663"/>
      <c r="Z269" s="474"/>
      <c r="AA269" s="474"/>
      <c r="AB269" s="935"/>
      <c r="AC269" s="663"/>
      <c r="AD269" s="1067"/>
      <c r="AE269" s="989"/>
      <c r="AF269" s="1000"/>
      <c r="AG269" s="1000"/>
      <c r="AH269" s="663"/>
      <c r="AI269" s="1067"/>
      <c r="AJ269" s="989"/>
      <c r="AK269" s="1000"/>
      <c r="AL269" s="1000"/>
      <c r="AM269" s="663"/>
      <c r="AN269" s="1067"/>
      <c r="AO269" s="989"/>
      <c r="AP269" s="1004"/>
      <c r="AQ269" s="1004"/>
      <c r="AR269" s="663"/>
      <c r="AS269" s="1067"/>
      <c r="AT269" s="989"/>
      <c r="AU269" s="1000"/>
      <c r="AV269" s="1000"/>
      <c r="AW269" s="663"/>
      <c r="AX269" s="1067"/>
      <c r="AY269" s="989"/>
      <c r="AZ269" s="1000"/>
      <c r="BA269" s="1000"/>
      <c r="BB269" s="663"/>
      <c r="BC269" s="1067"/>
      <c r="BD269" s="1004"/>
      <c r="BE269" s="989"/>
    </row>
    <row r="270" spans="4:57" hidden="1">
      <c r="D270" s="483" t="s">
        <v>1179</v>
      </c>
      <c r="E270" s="190"/>
      <c r="F270" s="190"/>
      <c r="G270" s="815">
        <v>250</v>
      </c>
      <c r="H270" s="662"/>
      <c r="I270" s="662"/>
      <c r="J270" s="191"/>
      <c r="K270" s="191"/>
      <c r="L270" s="191"/>
      <c r="M270" s="663"/>
      <c r="N270" s="191"/>
      <c r="O270" s="663"/>
      <c r="P270" s="191"/>
      <c r="Q270" s="663"/>
      <c r="R270" s="191"/>
      <c r="S270" s="935"/>
      <c r="T270" s="663"/>
      <c r="U270" s="1067"/>
      <c r="V270" s="965"/>
      <c r="W270" s="965"/>
      <c r="X270" s="190"/>
      <c r="Y270" s="663"/>
      <c r="Z270" s="474"/>
      <c r="AA270" s="474"/>
      <c r="AB270" s="935"/>
      <c r="AC270" s="663"/>
      <c r="AD270" s="1067"/>
      <c r="AE270" s="989"/>
      <c r="AF270" s="1000"/>
      <c r="AG270" s="1000"/>
      <c r="AH270" s="663"/>
      <c r="AI270" s="1067"/>
      <c r="AJ270" s="989"/>
      <c r="AK270" s="1000"/>
      <c r="AL270" s="1000"/>
      <c r="AM270" s="663"/>
      <c r="AN270" s="1067"/>
      <c r="AO270" s="989"/>
      <c r="AP270" s="1004"/>
      <c r="AQ270" s="1004"/>
      <c r="AR270" s="663"/>
      <c r="AS270" s="1067"/>
      <c r="AT270" s="989"/>
      <c r="AU270" s="1000"/>
      <c r="AV270" s="1000"/>
      <c r="AW270" s="663"/>
      <c r="AX270" s="1067"/>
      <c r="AY270" s="989"/>
      <c r="AZ270" s="1000"/>
      <c r="BA270" s="1000"/>
      <c r="BB270" s="663"/>
      <c r="BC270" s="1067"/>
      <c r="BD270" s="1004"/>
      <c r="BE270" s="989"/>
    </row>
    <row r="271" spans="4:57" hidden="1">
      <c r="D271" s="483" t="s">
        <v>1180</v>
      </c>
      <c r="E271" s="190"/>
      <c r="F271" s="190"/>
      <c r="G271" s="815">
        <v>250</v>
      </c>
      <c r="H271" s="662"/>
      <c r="I271" s="662"/>
      <c r="J271" s="191"/>
      <c r="K271" s="191"/>
      <c r="L271" s="191"/>
      <c r="M271" s="663"/>
      <c r="N271" s="191"/>
      <c r="O271" s="663"/>
      <c r="P271" s="191"/>
      <c r="Q271" s="663"/>
      <c r="R271" s="191"/>
      <c r="S271" s="935"/>
      <c r="T271" s="663"/>
      <c r="U271" s="1067"/>
      <c r="V271" s="965"/>
      <c r="W271" s="965"/>
      <c r="X271" s="190"/>
      <c r="Y271" s="663"/>
      <c r="Z271" s="474"/>
      <c r="AA271" s="474"/>
      <c r="AB271" s="935"/>
      <c r="AC271" s="663"/>
      <c r="AD271" s="1067"/>
      <c r="AE271" s="989"/>
      <c r="AF271" s="1000"/>
      <c r="AG271" s="1000"/>
      <c r="AH271" s="663"/>
      <c r="AI271" s="1067"/>
      <c r="AJ271" s="989"/>
      <c r="AK271" s="1000"/>
      <c r="AL271" s="1000"/>
      <c r="AM271" s="663"/>
      <c r="AN271" s="1067"/>
      <c r="AO271" s="989"/>
      <c r="AP271" s="1004"/>
      <c r="AQ271" s="1004"/>
      <c r="AR271" s="663"/>
      <c r="AS271" s="1067"/>
      <c r="AT271" s="989"/>
      <c r="AU271" s="1000"/>
      <c r="AV271" s="1000"/>
      <c r="AW271" s="663"/>
      <c r="AX271" s="1067"/>
      <c r="AY271" s="989"/>
      <c r="AZ271" s="1000"/>
      <c r="BA271" s="1000"/>
      <c r="BB271" s="663"/>
      <c r="BC271" s="1067"/>
      <c r="BD271" s="1004"/>
      <c r="BE271" s="989"/>
    </row>
    <row r="272" spans="4:57" hidden="1">
      <c r="D272" s="483" t="s">
        <v>1191</v>
      </c>
      <c r="E272" s="190"/>
      <c r="F272" s="190"/>
      <c r="G272" s="815">
        <v>259</v>
      </c>
      <c r="H272" s="662"/>
      <c r="I272" s="662"/>
      <c r="J272" s="191"/>
      <c r="K272" s="191"/>
      <c r="L272" s="191"/>
      <c r="M272" s="663"/>
      <c r="N272" s="191"/>
      <c r="O272" s="663"/>
      <c r="P272" s="191"/>
      <c r="Q272" s="663"/>
      <c r="R272" s="191"/>
      <c r="S272" s="935"/>
      <c r="T272" s="663"/>
      <c r="U272" s="1067"/>
      <c r="V272" s="965"/>
      <c r="W272" s="965"/>
      <c r="X272" s="190"/>
      <c r="Y272" s="663"/>
      <c r="Z272" s="474"/>
      <c r="AA272" s="474"/>
      <c r="AB272" s="935"/>
      <c r="AC272" s="663"/>
      <c r="AD272" s="1067"/>
      <c r="AE272" s="989"/>
      <c r="AF272" s="1000"/>
      <c r="AG272" s="1000"/>
      <c r="AH272" s="663"/>
      <c r="AI272" s="1067"/>
      <c r="AJ272" s="989"/>
      <c r="AK272" s="1000"/>
      <c r="AL272" s="1000"/>
      <c r="AM272" s="663"/>
      <c r="AN272" s="1067"/>
      <c r="AO272" s="989"/>
      <c r="AP272" s="1004"/>
      <c r="AQ272" s="1004"/>
      <c r="AR272" s="663"/>
      <c r="AS272" s="1067"/>
      <c r="AT272" s="989"/>
      <c r="AU272" s="1000"/>
      <c r="AV272" s="1000"/>
      <c r="AW272" s="663"/>
      <c r="AX272" s="1067"/>
      <c r="AY272" s="989"/>
      <c r="AZ272" s="1000"/>
      <c r="BA272" s="1000"/>
      <c r="BB272" s="663"/>
      <c r="BC272" s="1067"/>
      <c r="BD272" s="1004"/>
      <c r="BE272" s="989"/>
    </row>
    <row r="273" spans="4:57" hidden="1">
      <c r="D273" s="483" t="s">
        <v>1091</v>
      </c>
      <c r="E273" s="190"/>
      <c r="F273" s="190"/>
      <c r="G273" s="815">
        <v>262</v>
      </c>
      <c r="H273" s="662"/>
      <c r="I273" s="662"/>
      <c r="J273" s="191"/>
      <c r="K273" s="191"/>
      <c r="L273" s="191"/>
      <c r="M273" s="663"/>
      <c r="N273" s="191"/>
      <c r="O273" s="663"/>
      <c r="P273" s="191"/>
      <c r="Q273" s="663"/>
      <c r="R273" s="191"/>
      <c r="S273" s="935"/>
      <c r="T273" s="663"/>
      <c r="U273" s="1067"/>
      <c r="V273" s="965"/>
      <c r="W273" s="965"/>
      <c r="X273" s="190"/>
      <c r="Y273" s="663"/>
      <c r="Z273" s="474"/>
      <c r="AA273" s="474"/>
      <c r="AB273" s="935"/>
      <c r="AC273" s="663"/>
      <c r="AD273" s="1067"/>
      <c r="AE273" s="989"/>
      <c r="AF273" s="1000"/>
      <c r="AG273" s="1000"/>
      <c r="AH273" s="663"/>
      <c r="AI273" s="1067"/>
      <c r="AJ273" s="989"/>
      <c r="AK273" s="1000"/>
      <c r="AL273" s="1000"/>
      <c r="AM273" s="663"/>
      <c r="AN273" s="1067"/>
      <c r="AO273" s="989"/>
      <c r="AP273" s="1004"/>
      <c r="AQ273" s="1004"/>
      <c r="AR273" s="663"/>
      <c r="AS273" s="1067"/>
      <c r="AT273" s="989"/>
      <c r="AU273" s="1000"/>
      <c r="AV273" s="1000"/>
      <c r="AW273" s="663"/>
      <c r="AX273" s="1067"/>
      <c r="AY273" s="989"/>
      <c r="AZ273" s="1000"/>
      <c r="BA273" s="1000"/>
      <c r="BB273" s="663"/>
      <c r="BC273" s="1067"/>
      <c r="BD273" s="1004"/>
      <c r="BE273" s="989"/>
    </row>
    <row r="274" spans="4:57" hidden="1">
      <c r="D274" s="483" t="s">
        <v>1186</v>
      </c>
      <c r="E274" s="190"/>
      <c r="F274" s="190"/>
      <c r="G274" s="815">
        <v>272</v>
      </c>
      <c r="H274" s="662"/>
      <c r="I274" s="662"/>
      <c r="J274" s="191"/>
      <c r="K274" s="191"/>
      <c r="L274" s="191"/>
      <c r="M274" s="663"/>
      <c r="N274" s="191"/>
      <c r="O274" s="663"/>
      <c r="P274" s="191"/>
      <c r="Q274" s="663"/>
      <c r="R274" s="191"/>
      <c r="S274" s="935"/>
      <c r="T274" s="663"/>
      <c r="U274" s="1067"/>
      <c r="V274" s="965"/>
      <c r="W274" s="965"/>
      <c r="X274" s="190"/>
      <c r="Y274" s="663"/>
      <c r="Z274" s="474"/>
      <c r="AA274" s="474"/>
      <c r="AB274" s="935"/>
      <c r="AC274" s="663"/>
      <c r="AD274" s="1067"/>
      <c r="AE274" s="989"/>
      <c r="AF274" s="1000"/>
      <c r="AG274" s="1000"/>
      <c r="AH274" s="663"/>
      <c r="AI274" s="1067"/>
      <c r="AJ274" s="989"/>
      <c r="AK274" s="1000"/>
      <c r="AL274" s="1000"/>
      <c r="AM274" s="663"/>
      <c r="AN274" s="1067"/>
      <c r="AO274" s="989"/>
      <c r="AP274" s="1004"/>
      <c r="AQ274" s="1004"/>
      <c r="AR274" s="663"/>
      <c r="AS274" s="1067"/>
      <c r="AT274" s="989"/>
      <c r="AU274" s="1000"/>
      <c r="AV274" s="1000"/>
      <c r="AW274" s="663"/>
      <c r="AX274" s="1067"/>
      <c r="AY274" s="989"/>
      <c r="AZ274" s="1000"/>
      <c r="BA274" s="1000"/>
      <c r="BB274" s="663"/>
      <c r="BC274" s="1067"/>
      <c r="BD274" s="1004"/>
      <c r="BE274" s="989"/>
    </row>
    <row r="275" spans="4:57" hidden="1">
      <c r="D275" s="483" t="s">
        <v>1192</v>
      </c>
      <c r="E275" s="190"/>
      <c r="F275" s="190"/>
      <c r="G275" s="815">
        <v>275</v>
      </c>
      <c r="H275" s="662"/>
      <c r="I275" s="662"/>
      <c r="J275" s="191"/>
      <c r="K275" s="191"/>
      <c r="L275" s="191"/>
      <c r="M275" s="663"/>
      <c r="N275" s="191"/>
      <c r="O275" s="663"/>
      <c r="P275" s="191"/>
      <c r="Q275" s="663"/>
      <c r="R275" s="191"/>
      <c r="S275" s="935"/>
      <c r="T275" s="663"/>
      <c r="U275" s="1067"/>
      <c r="V275" s="965"/>
      <c r="W275" s="965"/>
      <c r="X275" s="190"/>
      <c r="Y275" s="663"/>
      <c r="Z275" s="474"/>
      <c r="AA275" s="474"/>
      <c r="AB275" s="935"/>
      <c r="AC275" s="663"/>
      <c r="AD275" s="1067"/>
      <c r="AE275" s="989"/>
      <c r="AF275" s="1000"/>
      <c r="AG275" s="1000"/>
      <c r="AH275" s="663"/>
      <c r="AI275" s="1067"/>
      <c r="AJ275" s="989"/>
      <c r="AK275" s="1000"/>
      <c r="AL275" s="1000"/>
      <c r="AM275" s="663"/>
      <c r="AN275" s="1067"/>
      <c r="AO275" s="989"/>
      <c r="AP275" s="1004"/>
      <c r="AQ275" s="1004"/>
      <c r="AR275" s="663"/>
      <c r="AS275" s="1067"/>
      <c r="AT275" s="989"/>
      <c r="AU275" s="1000"/>
      <c r="AV275" s="1000"/>
      <c r="AW275" s="663"/>
      <c r="AX275" s="1067"/>
      <c r="AY275" s="989"/>
      <c r="AZ275" s="1000"/>
      <c r="BA275" s="1000"/>
      <c r="BB275" s="663"/>
      <c r="BC275" s="1067"/>
      <c r="BD275" s="1004"/>
      <c r="BE275" s="989"/>
    </row>
    <row r="276" spans="4:57" hidden="1">
      <c r="D276" s="483" t="s">
        <v>1193</v>
      </c>
      <c r="E276" s="190"/>
      <c r="F276" s="190"/>
      <c r="G276" s="815">
        <v>275</v>
      </c>
      <c r="H276" s="662"/>
      <c r="I276" s="662"/>
      <c r="J276" s="191"/>
      <c r="K276" s="191"/>
      <c r="L276" s="191"/>
      <c r="M276" s="663"/>
      <c r="N276" s="191"/>
      <c r="O276" s="663"/>
      <c r="P276" s="191"/>
      <c r="Q276" s="663"/>
      <c r="R276" s="191"/>
      <c r="S276" s="935"/>
      <c r="T276" s="663"/>
      <c r="U276" s="1067"/>
      <c r="V276" s="965"/>
      <c r="W276" s="965"/>
      <c r="X276" s="190"/>
      <c r="Y276" s="663"/>
      <c r="Z276" s="474"/>
      <c r="AA276" s="474"/>
      <c r="AB276" s="935"/>
      <c r="AC276" s="663"/>
      <c r="AD276" s="1067"/>
      <c r="AE276" s="989"/>
      <c r="AF276" s="1000"/>
      <c r="AG276" s="1000"/>
      <c r="AH276" s="663"/>
      <c r="AI276" s="1067"/>
      <c r="AJ276" s="989"/>
      <c r="AK276" s="1000"/>
      <c r="AL276" s="1000"/>
      <c r="AM276" s="663"/>
      <c r="AN276" s="1067"/>
      <c r="AO276" s="989"/>
      <c r="AP276" s="1004"/>
      <c r="AQ276" s="1004"/>
      <c r="AR276" s="663"/>
      <c r="AS276" s="1067"/>
      <c r="AT276" s="989"/>
      <c r="AU276" s="1000"/>
      <c r="AV276" s="1000"/>
      <c r="AW276" s="663"/>
      <c r="AX276" s="1067"/>
      <c r="AY276" s="989"/>
      <c r="AZ276" s="1000"/>
      <c r="BA276" s="1000"/>
      <c r="BB276" s="663"/>
      <c r="BC276" s="1067"/>
      <c r="BD276" s="1004"/>
      <c r="BE276" s="989"/>
    </row>
    <row r="277" spans="4:57" hidden="1">
      <c r="D277" s="483" t="s">
        <v>1187</v>
      </c>
      <c r="E277" s="190"/>
      <c r="F277" s="190"/>
      <c r="G277" s="815">
        <v>276</v>
      </c>
      <c r="H277" s="662"/>
      <c r="I277" s="662"/>
      <c r="J277" s="191"/>
      <c r="K277" s="191"/>
      <c r="L277" s="191"/>
      <c r="M277" s="663"/>
      <c r="N277" s="191"/>
      <c r="O277" s="663"/>
      <c r="P277" s="191"/>
      <c r="Q277" s="663"/>
      <c r="R277" s="191"/>
      <c r="S277" s="935"/>
      <c r="T277" s="663"/>
      <c r="U277" s="1067"/>
      <c r="V277" s="965"/>
      <c r="W277" s="965"/>
      <c r="X277" s="190"/>
      <c r="Y277" s="663"/>
      <c r="Z277" s="474"/>
      <c r="AA277" s="474"/>
      <c r="AB277" s="935"/>
      <c r="AC277" s="663"/>
      <c r="AD277" s="1067"/>
      <c r="AE277" s="989"/>
      <c r="AF277" s="1000"/>
      <c r="AG277" s="1000"/>
      <c r="AH277" s="663"/>
      <c r="AI277" s="1067"/>
      <c r="AJ277" s="989"/>
      <c r="AK277" s="1000"/>
      <c r="AL277" s="1000"/>
      <c r="AM277" s="663"/>
      <c r="AN277" s="1067"/>
      <c r="AO277" s="989"/>
      <c r="AP277" s="1004"/>
      <c r="AQ277" s="1004"/>
      <c r="AR277" s="663"/>
      <c r="AS277" s="1067"/>
      <c r="AT277" s="989"/>
      <c r="AU277" s="1000"/>
      <c r="AV277" s="1000"/>
      <c r="AW277" s="663"/>
      <c r="AX277" s="1067"/>
      <c r="AY277" s="989"/>
      <c r="AZ277" s="1000"/>
      <c r="BA277" s="1000"/>
      <c r="BB277" s="663"/>
      <c r="BC277" s="1067"/>
      <c r="BD277" s="1004"/>
      <c r="BE277" s="989"/>
    </row>
    <row r="278" spans="4:57">
      <c r="D278" s="483" t="s">
        <v>1450</v>
      </c>
      <c r="E278" s="190"/>
      <c r="F278" s="190"/>
      <c r="G278" s="815">
        <v>285</v>
      </c>
      <c r="H278" s="662"/>
      <c r="I278" s="662"/>
      <c r="J278" s="191"/>
      <c r="K278" s="191"/>
      <c r="L278" s="191"/>
      <c r="M278" s="663"/>
      <c r="N278" s="191"/>
      <c r="O278" s="663"/>
      <c r="P278" s="191"/>
      <c r="Q278" s="663"/>
      <c r="R278" s="191"/>
      <c r="S278" s="935"/>
      <c r="T278" s="663"/>
      <c r="U278" s="1067"/>
      <c r="V278" s="965"/>
      <c r="W278" s="965"/>
      <c r="X278" s="190"/>
      <c r="Y278" s="663">
        <v>13132</v>
      </c>
      <c r="Z278" s="474"/>
      <c r="AA278" s="474"/>
      <c r="AB278" s="935"/>
      <c r="AC278" s="663">
        <v>160742</v>
      </c>
      <c r="AD278" s="1067"/>
      <c r="AE278" s="989"/>
      <c r="AF278" s="1000"/>
      <c r="AG278" s="1000"/>
      <c r="AH278" s="663"/>
      <c r="AI278" s="1067"/>
      <c r="AJ278" s="989"/>
      <c r="AK278" s="1000"/>
      <c r="AL278" s="1000"/>
      <c r="AM278" s="663"/>
      <c r="AN278" s="1067"/>
      <c r="AO278" s="989"/>
      <c r="AP278" s="1004"/>
      <c r="AQ278" s="1004"/>
      <c r="AR278" s="663"/>
      <c r="AS278" s="1067"/>
      <c r="AT278" s="989"/>
      <c r="AU278" s="1000"/>
      <c r="AV278" s="1000"/>
      <c r="AW278" s="663"/>
      <c r="AX278" s="1067"/>
      <c r="AY278" s="989"/>
      <c r="AZ278" s="1000"/>
      <c r="BA278" s="1000"/>
      <c r="BB278" s="663"/>
      <c r="BC278" s="1067"/>
      <c r="BD278" s="1004"/>
      <c r="BE278" s="989"/>
    </row>
    <row r="279" spans="4:57">
      <c r="D279" s="484" t="s">
        <v>1087</v>
      </c>
      <c r="E279" s="192"/>
      <c r="F279" s="193"/>
      <c r="G279" s="193"/>
      <c r="H279" s="193"/>
      <c r="I279" s="193"/>
      <c r="J279" s="193"/>
      <c r="K279" s="193"/>
      <c r="L279" s="193"/>
      <c r="M279" s="193">
        <f>SUM(M260:M278)</f>
        <v>0</v>
      </c>
      <c r="N279" s="193"/>
      <c r="O279" s="193">
        <f>SUM(O260:O278)</f>
        <v>0</v>
      </c>
      <c r="P279" s="193"/>
      <c r="Q279" s="193">
        <f>SUM(Q260:Q278)</f>
        <v>0</v>
      </c>
      <c r="R279" s="193"/>
      <c r="S279" s="944"/>
      <c r="T279" s="193">
        <f>SUM(T258:T278)</f>
        <v>0</v>
      </c>
      <c r="U279" s="1065"/>
      <c r="V279" s="975"/>
      <c r="W279" s="975"/>
      <c r="X279" s="192"/>
      <c r="Y279" s="193">
        <f>SUM(Y258:Y278)</f>
        <v>13132</v>
      </c>
      <c r="Z279" s="475"/>
      <c r="AA279" s="475"/>
      <c r="AB279" s="944"/>
      <c r="AC279" s="193">
        <f>SUM(AC258:AC278)</f>
        <v>160742</v>
      </c>
      <c r="AD279" s="1065"/>
      <c r="AE279" s="994"/>
      <c r="AF279" s="975"/>
      <c r="AG279" s="944"/>
      <c r="AH279" s="193">
        <f>SUM(AH258:AH278)</f>
        <v>0</v>
      </c>
      <c r="AI279" s="1065"/>
      <c r="AJ279" s="994"/>
      <c r="AK279" s="994"/>
      <c r="AL279" s="944"/>
      <c r="AM279" s="193">
        <f>SUM(AM258:AM278)</f>
        <v>0</v>
      </c>
      <c r="AN279" s="1065"/>
      <c r="AO279" s="994"/>
      <c r="AP279" s="994"/>
      <c r="AQ279" s="944"/>
      <c r="AR279" s="193">
        <f>SUM(AR258:AR278)</f>
        <v>0</v>
      </c>
      <c r="AS279" s="1065"/>
      <c r="AT279" s="994"/>
      <c r="AU279" s="994"/>
      <c r="AV279" s="944"/>
      <c r="AW279" s="193">
        <f>SUM(AW258:AW278)</f>
        <v>0</v>
      </c>
      <c r="AX279" s="1065"/>
      <c r="AY279" s="994"/>
      <c r="AZ279" s="994"/>
      <c r="BA279" s="944"/>
      <c r="BB279" s="193">
        <f>SUM(BB258:BB278)</f>
        <v>0</v>
      </c>
      <c r="BC279" s="1076"/>
      <c r="BD279" s="1011"/>
      <c r="BE279" s="1025"/>
    </row>
    <row r="280" spans="4:57" ht="9" customHeight="1">
      <c r="E280" s="186"/>
      <c r="F280" s="247"/>
      <c r="G280" s="247"/>
      <c r="H280" s="247"/>
      <c r="I280" s="247"/>
      <c r="J280" s="247"/>
      <c r="K280" s="247"/>
      <c r="L280" s="247"/>
      <c r="M280" s="247"/>
      <c r="N280" s="247"/>
      <c r="O280" s="247"/>
      <c r="P280" s="247"/>
      <c r="Q280" s="247"/>
      <c r="R280" s="247"/>
      <c r="S280" s="936"/>
      <c r="T280" s="247"/>
      <c r="V280" s="974"/>
      <c r="W280" s="974"/>
      <c r="X280" s="186"/>
      <c r="Y280" s="247"/>
      <c r="AB280" s="936"/>
      <c r="AC280" s="247"/>
      <c r="AF280" s="974"/>
      <c r="AG280" s="936"/>
      <c r="AH280" s="247"/>
      <c r="AL280" s="936"/>
      <c r="AM280" s="247"/>
      <c r="AQ280" s="936"/>
      <c r="AR280" s="247"/>
      <c r="AV280" s="936"/>
      <c r="AW280" s="247"/>
      <c r="BA280" s="936"/>
      <c r="BB280" s="247"/>
      <c r="BD280" s="974"/>
    </row>
    <row r="281" spans="4:57">
      <c r="D281" s="484" t="s">
        <v>118</v>
      </c>
      <c r="E281" s="192"/>
      <c r="F281" s="193"/>
      <c r="G281" s="193"/>
      <c r="H281" s="193"/>
      <c r="I281" s="193"/>
      <c r="J281" s="193"/>
      <c r="K281" s="193"/>
      <c r="L281" s="193"/>
      <c r="M281" s="193">
        <f>+M244+M233+M279+M256</f>
        <v>0</v>
      </c>
      <c r="N281" s="193"/>
      <c r="O281" s="193">
        <f>+O244+O233+O279+O256</f>
        <v>0</v>
      </c>
      <c r="P281" s="193"/>
      <c r="Q281" s="193">
        <f>+Q244+Q233+Q279+Q256</f>
        <v>0</v>
      </c>
      <c r="R281" s="193"/>
      <c r="S281" s="944"/>
      <c r="T281" s="193">
        <f>+T244+T233+T279+T256</f>
        <v>1727181.5</v>
      </c>
      <c r="U281" s="1065"/>
      <c r="V281" s="975"/>
      <c r="W281" s="975"/>
      <c r="X281" s="192"/>
      <c r="Y281" s="193">
        <f>+Y244+Y233+Y279+Y256</f>
        <v>1818203</v>
      </c>
      <c r="Z281" s="475"/>
      <c r="AA281" s="475"/>
      <c r="AB281" s="944"/>
      <c r="AC281" s="193">
        <f>+AC244+AC233+AC279+AC256</f>
        <v>2476331</v>
      </c>
      <c r="AD281" s="1065"/>
      <c r="AE281" s="994"/>
      <c r="AF281" s="975"/>
      <c r="AG281" s="944"/>
      <c r="AH281" s="193">
        <f>+AH244+AH233+AH279+AH256</f>
        <v>2912463</v>
      </c>
      <c r="AI281" s="1065"/>
      <c r="AJ281" s="994"/>
      <c r="AK281" s="994"/>
      <c r="AL281" s="944"/>
      <c r="AM281" s="193">
        <f>+AM244+AM233+AM279+AM256</f>
        <v>3183895</v>
      </c>
      <c r="AN281" s="1065"/>
      <c r="AO281" s="994"/>
      <c r="AP281" s="994"/>
      <c r="AQ281" s="944"/>
      <c r="AR281" s="193">
        <f>+AR244+AR233+AR279+AR256</f>
        <v>3306042</v>
      </c>
      <c r="AS281" s="1065"/>
      <c r="AT281" s="994"/>
      <c r="AU281" s="994"/>
      <c r="AV281" s="944"/>
      <c r="AW281" s="193">
        <f>+AW244+AW233+AW279+AW256</f>
        <v>3426398</v>
      </c>
      <c r="AX281" s="1065"/>
      <c r="AY281" s="994"/>
      <c r="AZ281" s="994"/>
      <c r="BA281" s="944"/>
      <c r="BB281" s="193">
        <f>+BB244+BB233+BB279+BB256</f>
        <v>3996682</v>
      </c>
      <c r="BC281" s="1076"/>
      <c r="BD281" s="1011"/>
      <c r="BE281" s="1025"/>
    </row>
    <row r="282" spans="4:57">
      <c r="D282" s="485" t="s">
        <v>313</v>
      </c>
      <c r="E282" s="197"/>
      <c r="F282" s="198"/>
      <c r="G282" s="198"/>
      <c r="H282" s="198"/>
      <c r="I282" s="198"/>
      <c r="J282" s="198"/>
      <c r="K282" s="198"/>
      <c r="L282" s="198"/>
      <c r="M282" s="198">
        <f>+M281/M77</f>
        <v>0</v>
      </c>
      <c r="N282" s="198"/>
      <c r="O282" s="198">
        <f>+O281/O77</f>
        <v>0</v>
      </c>
      <c r="P282" s="198"/>
      <c r="Q282" s="198">
        <f>+Q281/Q77</f>
        <v>0</v>
      </c>
      <c r="R282" s="198"/>
      <c r="S282" s="945"/>
      <c r="T282" s="198">
        <f>+T281/T77</f>
        <v>11143.106451612903</v>
      </c>
      <c r="U282" s="1066"/>
      <c r="V282" s="976"/>
      <c r="W282" s="976"/>
      <c r="X282" s="197"/>
      <c r="Y282" s="198">
        <f>+Y281/Y77</f>
        <v>12804.24647887324</v>
      </c>
      <c r="Z282" s="476"/>
      <c r="AA282" s="476"/>
      <c r="AB282" s="945"/>
      <c r="AC282" s="198">
        <f>+AC281/AC77</f>
        <v>11848.473684210527</v>
      </c>
      <c r="AD282" s="1066"/>
      <c r="AE282" s="995"/>
      <c r="AF282" s="976"/>
      <c r="AG282" s="945"/>
      <c r="AH282" s="198">
        <f>+AH281/AH77</f>
        <v>11466.389763779527</v>
      </c>
      <c r="AI282" s="1066"/>
      <c r="AJ282" s="995"/>
      <c r="AK282" s="995"/>
      <c r="AL282" s="945"/>
      <c r="AM282" s="198">
        <f>+AM281/AM77</f>
        <v>12060.208333333334</v>
      </c>
      <c r="AN282" s="1066"/>
      <c r="AO282" s="995"/>
      <c r="AP282" s="995"/>
      <c r="AQ282" s="945"/>
      <c r="AR282" s="198">
        <f>+AR281/AR77</f>
        <v>12522.886363636364</v>
      </c>
      <c r="AS282" s="1066"/>
      <c r="AT282" s="995"/>
      <c r="AU282" s="995"/>
      <c r="AV282" s="945"/>
      <c r="AW282" s="198">
        <f>+AW281/AW77</f>
        <v>13178.453846153847</v>
      </c>
      <c r="AX282" s="1066"/>
      <c r="AY282" s="995"/>
      <c r="AZ282" s="995"/>
      <c r="BA282" s="945"/>
      <c r="BB282" s="198">
        <f>+BB281/BB77</f>
        <v>12297.483076923078</v>
      </c>
      <c r="BC282" s="1077"/>
      <c r="BD282" s="1012"/>
      <c r="BE282" s="996"/>
    </row>
    <row r="283" spans="4:57">
      <c r="D283" s="486" t="s">
        <v>314</v>
      </c>
      <c r="E283" s="199"/>
      <c r="F283" s="200"/>
      <c r="G283" s="200"/>
      <c r="H283" s="200"/>
      <c r="I283" s="200"/>
      <c r="J283" s="200"/>
      <c r="K283" s="200"/>
      <c r="L283" s="200"/>
      <c r="M283" s="200">
        <f>(M212+M227)/M77</f>
        <v>0</v>
      </c>
      <c r="N283" s="200"/>
      <c r="O283" s="200">
        <f>(O212+O227)/O77</f>
        <v>0</v>
      </c>
      <c r="P283" s="200"/>
      <c r="Q283" s="200">
        <f>(Q212+Q227)/Q77</f>
        <v>0</v>
      </c>
      <c r="R283" s="200"/>
      <c r="S283" s="946">
        <f>+T283/T282</f>
        <v>3.410180111354829E-2</v>
      </c>
      <c r="T283" s="200">
        <f>(T212+T227)/T77</f>
        <v>380</v>
      </c>
      <c r="U283" s="1069"/>
      <c r="V283" s="977"/>
      <c r="W283" s="977"/>
      <c r="X283" s="199">
        <f>+Y283/Y282</f>
        <v>7.027268132326259E-3</v>
      </c>
      <c r="Y283" s="200">
        <f>(Y212+Y227)/Y77</f>
        <v>89.978873239436624</v>
      </c>
      <c r="Z283" s="477"/>
      <c r="AA283" s="477"/>
      <c r="AB283" s="946">
        <f>+AC283/AC282</f>
        <v>3.1734045246778399E-2</v>
      </c>
      <c r="AC283" s="200">
        <f>(AC212+AC227)/AC77</f>
        <v>376</v>
      </c>
      <c r="AD283" s="1069"/>
      <c r="AE283" s="996"/>
      <c r="AF283" s="977"/>
      <c r="AG283" s="946">
        <f>+AH283/AH282</f>
        <v>3.3140335173356711E-2</v>
      </c>
      <c r="AH283" s="200">
        <f>(AH212+AH227)/AH77</f>
        <v>380</v>
      </c>
      <c r="AI283" s="1069"/>
      <c r="AJ283" s="996"/>
      <c r="AK283" s="996"/>
      <c r="AL283" s="946">
        <f>+AM283/AM282</f>
        <v>3.1508576758969752E-2</v>
      </c>
      <c r="AM283" s="200">
        <f>(AM212+AM227)/AM77</f>
        <v>380</v>
      </c>
      <c r="AN283" s="1069"/>
      <c r="AO283" s="996"/>
      <c r="AP283" s="996"/>
      <c r="AQ283" s="946">
        <f>+AR283/AR282</f>
        <v>3.0344442085127776E-2</v>
      </c>
      <c r="AR283" s="200">
        <f>(AR212+AR227)/AR77</f>
        <v>380</v>
      </c>
      <c r="AS283" s="1069"/>
      <c r="AT283" s="996"/>
      <c r="AU283" s="996"/>
      <c r="AV283" s="946">
        <f>+AW283/AW282</f>
        <v>2.8834945619277151E-2</v>
      </c>
      <c r="AW283" s="200">
        <f>(AW212+AW227)/AW77</f>
        <v>380</v>
      </c>
      <c r="AX283" s="1069"/>
      <c r="AY283" s="996"/>
      <c r="AZ283" s="996"/>
      <c r="BA283" s="946">
        <f>+BB283/BB282</f>
        <v>3.0900632074305635E-2</v>
      </c>
      <c r="BB283" s="200">
        <f>(BB212+BB227)/BB77</f>
        <v>380</v>
      </c>
      <c r="BC283" s="1069"/>
      <c r="BD283" s="977"/>
      <c r="BE283" s="996"/>
    </row>
    <row r="284" spans="4:57" ht="9" customHeight="1">
      <c r="E284" s="186"/>
      <c r="F284" s="247"/>
      <c r="G284" s="247"/>
      <c r="H284" s="247"/>
      <c r="I284" s="247"/>
      <c r="J284" s="247"/>
      <c r="K284" s="247"/>
      <c r="L284" s="247"/>
      <c r="M284" s="247"/>
      <c r="N284" s="247"/>
      <c r="O284" s="247"/>
      <c r="P284" s="247"/>
      <c r="Q284" s="247"/>
      <c r="R284" s="247"/>
      <c r="S284" s="936"/>
      <c r="T284" s="247"/>
      <c r="V284" s="974"/>
      <c r="W284" s="974"/>
      <c r="X284" s="186"/>
      <c r="Y284" s="247"/>
      <c r="AB284" s="936"/>
      <c r="AC284" s="247"/>
      <c r="AF284" s="974"/>
      <c r="AG284" s="936"/>
      <c r="AH284" s="247"/>
      <c r="AL284" s="936"/>
      <c r="AM284" s="247"/>
      <c r="AQ284" s="936"/>
      <c r="AR284" s="247"/>
      <c r="AV284" s="936"/>
      <c r="AW284" s="247"/>
      <c r="BA284" s="936"/>
      <c r="BB284" s="247"/>
      <c r="BD284" s="974"/>
    </row>
    <row r="285" spans="4:57">
      <c r="D285" s="484" t="s">
        <v>272</v>
      </c>
      <c r="E285" s="192"/>
      <c r="F285" s="253"/>
      <c r="G285" s="253"/>
      <c r="H285" s="253"/>
      <c r="I285" s="253"/>
      <c r="J285" s="253"/>
      <c r="K285" s="253"/>
      <c r="L285" s="253"/>
      <c r="M285" s="253">
        <f>+L652</f>
        <v>0</v>
      </c>
      <c r="N285" s="253"/>
      <c r="O285" s="253">
        <f>+N652</f>
        <v>0</v>
      </c>
      <c r="P285" s="253"/>
      <c r="Q285" s="253">
        <f>+P652</f>
        <v>0</v>
      </c>
      <c r="R285" s="253"/>
      <c r="S285" s="944"/>
      <c r="T285" s="193">
        <f>+T652</f>
        <v>5000</v>
      </c>
      <c r="U285" s="1065"/>
      <c r="V285" s="978"/>
      <c r="W285" s="978"/>
      <c r="X285" s="192"/>
      <c r="Y285" s="193">
        <f>+Y652</f>
        <v>1725983</v>
      </c>
      <c r="Z285" s="475"/>
      <c r="AA285" s="475"/>
      <c r="AB285" s="944"/>
      <c r="AC285" s="193">
        <f>+AC652</f>
        <v>2375216</v>
      </c>
      <c r="AD285" s="1065"/>
      <c r="AE285" s="994"/>
      <c r="AF285" s="978"/>
      <c r="AG285" s="944"/>
      <c r="AH285" s="193">
        <f>+AH652</f>
        <v>2634833.04</v>
      </c>
      <c r="AI285" s="1065"/>
      <c r="AJ285" s="994"/>
      <c r="AK285" s="994"/>
      <c r="AL285" s="944"/>
      <c r="AM285" s="193">
        <f>+AM652</f>
        <v>2805980.2111999998</v>
      </c>
      <c r="AN285" s="1065"/>
      <c r="AO285" s="994"/>
      <c r="AP285" s="994"/>
      <c r="AQ285" s="944"/>
      <c r="AR285" s="193">
        <f>+AR652</f>
        <v>2928583.8275359999</v>
      </c>
      <c r="AS285" s="1065"/>
      <c r="AT285" s="994"/>
      <c r="AU285" s="994"/>
      <c r="AV285" s="944"/>
      <c r="AW285" s="193">
        <f>+AW652</f>
        <v>3055496.5023620804</v>
      </c>
      <c r="AX285" s="1065"/>
      <c r="AY285" s="994"/>
      <c r="AZ285" s="994"/>
      <c r="BA285" s="944"/>
      <c r="BB285" s="193">
        <f>+BB652</f>
        <v>3240024.0474329423</v>
      </c>
      <c r="BC285" s="1076"/>
      <c r="BD285" s="1013"/>
      <c r="BE285" s="1025"/>
    </row>
    <row r="286" spans="4:57">
      <c r="D286" s="487" t="s">
        <v>316</v>
      </c>
      <c r="E286" s="233"/>
      <c r="F286" s="193"/>
      <c r="G286" s="193"/>
      <c r="H286" s="193"/>
      <c r="I286" s="193"/>
      <c r="J286" s="193"/>
      <c r="K286" s="193"/>
      <c r="L286" s="193"/>
      <c r="M286" s="193">
        <f>+M281-M285</f>
        <v>0</v>
      </c>
      <c r="N286" s="193"/>
      <c r="O286" s="193">
        <f>+O281-O285</f>
        <v>0</v>
      </c>
      <c r="P286" s="193"/>
      <c r="Q286" s="193">
        <f>+Q281-Q285</f>
        <v>0</v>
      </c>
      <c r="R286" s="193"/>
      <c r="S286" s="944"/>
      <c r="T286" s="193">
        <f>+T281-T285</f>
        <v>1722181.5</v>
      </c>
      <c r="U286" s="1065"/>
      <c r="V286" s="975"/>
      <c r="W286" s="975"/>
      <c r="X286" s="192"/>
      <c r="Y286" s="193">
        <f>+Y281-Y285</f>
        <v>92220</v>
      </c>
      <c r="Z286" s="475"/>
      <c r="AA286" s="475"/>
      <c r="AB286" s="944"/>
      <c r="AC286" s="193">
        <f>+AC281-AC285</f>
        <v>101115</v>
      </c>
      <c r="AD286" s="1065"/>
      <c r="AE286" s="994"/>
      <c r="AF286" s="975"/>
      <c r="AG286" s="944"/>
      <c r="AH286" s="193">
        <f>+AH281-AH285</f>
        <v>277629.95999999996</v>
      </c>
      <c r="AI286" s="1065"/>
      <c r="AJ286" s="994"/>
      <c r="AK286" s="994"/>
      <c r="AL286" s="944"/>
      <c r="AM286" s="193">
        <f>+AM281-AM285</f>
        <v>377914.78880000021</v>
      </c>
      <c r="AN286" s="1065"/>
      <c r="AO286" s="994"/>
      <c r="AP286" s="994"/>
      <c r="AQ286" s="944"/>
      <c r="AR286" s="193">
        <f>+AR281-AR285</f>
        <v>377458.17246400006</v>
      </c>
      <c r="AS286" s="1065"/>
      <c r="AT286" s="994"/>
      <c r="AU286" s="994"/>
      <c r="AV286" s="944"/>
      <c r="AW286" s="193">
        <f>+AW281-AW285</f>
        <v>370901.49763791962</v>
      </c>
      <c r="AX286" s="1065"/>
      <c r="AY286" s="994"/>
      <c r="AZ286" s="994"/>
      <c r="BA286" s="944"/>
      <c r="BB286" s="193">
        <f>+BB281-BB285</f>
        <v>756657.95256705768</v>
      </c>
      <c r="BC286" s="1076"/>
      <c r="BD286" s="1011"/>
      <c r="BE286" s="1025"/>
    </row>
    <row r="287" spans="4:57" ht="9" customHeight="1">
      <c r="E287" s="186"/>
      <c r="F287" s="247"/>
      <c r="G287" s="247"/>
      <c r="H287" s="247"/>
      <c r="I287" s="247"/>
      <c r="J287" s="247"/>
      <c r="K287" s="247"/>
      <c r="L287" s="247"/>
      <c r="M287" s="247"/>
      <c r="N287" s="247"/>
      <c r="O287" s="247"/>
      <c r="P287" s="247"/>
      <c r="Q287" s="247"/>
      <c r="R287" s="247"/>
      <c r="S287" s="936"/>
      <c r="T287" s="247"/>
      <c r="V287" s="974"/>
      <c r="W287" s="974"/>
      <c r="X287" s="186"/>
      <c r="Y287" s="247"/>
      <c r="AB287" s="936"/>
      <c r="AC287" s="247"/>
      <c r="AF287" s="974"/>
      <c r="AG287" s="936"/>
      <c r="AH287" s="247"/>
      <c r="AL287" s="936"/>
      <c r="AM287" s="247"/>
      <c r="AQ287" s="936"/>
      <c r="AR287" s="247"/>
      <c r="AV287" s="936"/>
      <c r="AW287" s="247"/>
      <c r="BA287" s="936"/>
      <c r="BB287" s="247"/>
      <c r="BD287" s="974"/>
    </row>
    <row r="288" spans="4:57">
      <c r="D288" s="484" t="s">
        <v>302</v>
      </c>
      <c r="E288" s="192"/>
      <c r="F288" s="193"/>
      <c r="G288" s="193"/>
      <c r="H288" s="193"/>
      <c r="I288" s="193"/>
      <c r="J288" s="193"/>
      <c r="K288" s="193"/>
      <c r="L288" s="193"/>
      <c r="M288" s="193">
        <f>IF(M77&lt;1,0,+M285/M77)</f>
        <v>0</v>
      </c>
      <c r="N288" s="193"/>
      <c r="O288" s="193">
        <f>IF(O77&lt;1,0,+O285/O77)</f>
        <v>0</v>
      </c>
      <c r="P288" s="193"/>
      <c r="Q288" s="193">
        <f>IF(Q77&lt;1,0,+Q285/Q77)</f>
        <v>0</v>
      </c>
      <c r="R288" s="193"/>
      <c r="S288" s="944"/>
      <c r="T288" s="193">
        <f>IF(T77&lt;1,0,+T285/T77)</f>
        <v>32.258064516129032</v>
      </c>
      <c r="U288" s="1065"/>
      <c r="V288" s="975"/>
      <c r="W288" s="975"/>
      <c r="X288" s="192"/>
      <c r="Y288" s="193">
        <f>IF(Y77&lt;1,0,+Y285/Y77)</f>
        <v>12154.80985915493</v>
      </c>
      <c r="Z288" s="475"/>
      <c r="AA288" s="475"/>
      <c r="AB288" s="944"/>
      <c r="AC288" s="193">
        <f>IF(AC77&lt;1,0,+AC285/AC77)</f>
        <v>11364.66985645933</v>
      </c>
      <c r="AD288" s="1065"/>
      <c r="AE288" s="994"/>
      <c r="AF288" s="975"/>
      <c r="AG288" s="944"/>
      <c r="AH288" s="193">
        <f>IF(AH77&lt;1,0,+AH285/AH77)</f>
        <v>10373.358425196851</v>
      </c>
      <c r="AI288" s="1065"/>
      <c r="AJ288" s="994"/>
      <c r="AK288" s="994"/>
      <c r="AL288" s="944"/>
      <c r="AM288" s="193">
        <f>IF(AM77&lt;1,0,+AM285/AM77)</f>
        <v>10628.71292121212</v>
      </c>
      <c r="AN288" s="1065"/>
      <c r="AO288" s="994"/>
      <c r="AP288" s="994"/>
      <c r="AQ288" s="944"/>
      <c r="AR288" s="193">
        <f>IF(AR77&lt;1,0,+AR285/AR77)</f>
        <v>11093.120558848485</v>
      </c>
      <c r="AS288" s="1065"/>
      <c r="AT288" s="994"/>
      <c r="AU288" s="994"/>
      <c r="AV288" s="944"/>
      <c r="AW288" s="193">
        <f>IF(AW77&lt;1,0,+AW285/AW77)</f>
        <v>11751.909624469539</v>
      </c>
      <c r="AX288" s="1065"/>
      <c r="AY288" s="994"/>
      <c r="AZ288" s="994"/>
      <c r="BA288" s="944"/>
      <c r="BB288" s="193">
        <f>IF(BB77&lt;1,0,+BB285/BB77)</f>
        <v>9969.3047613321305</v>
      </c>
      <c r="BC288" s="1076"/>
      <c r="BD288" s="1011"/>
      <c r="BE288" s="1025"/>
    </row>
    <row r="289" spans="1:60" ht="9" customHeight="1">
      <c r="E289" s="186"/>
      <c r="F289" s="247"/>
      <c r="G289" s="247"/>
      <c r="H289" s="247"/>
      <c r="I289" s="247"/>
      <c r="J289" s="247"/>
      <c r="K289" s="247"/>
      <c r="L289" s="247"/>
      <c r="M289" s="247"/>
      <c r="N289" s="247"/>
      <c r="O289" s="247"/>
      <c r="P289" s="247"/>
      <c r="Q289" s="247"/>
      <c r="R289" s="247"/>
      <c r="S289" s="936"/>
      <c r="T289" s="247"/>
      <c r="V289" s="974"/>
      <c r="W289" s="974"/>
      <c r="X289" s="186"/>
      <c r="Y289" s="247"/>
      <c r="AB289" s="936"/>
      <c r="AC289" s="247"/>
      <c r="AF289" s="974"/>
      <c r="AG289" s="936"/>
      <c r="AH289" s="247"/>
      <c r="AL289" s="936"/>
      <c r="AM289" s="247"/>
      <c r="AQ289" s="936"/>
      <c r="AR289" s="247"/>
      <c r="AV289" s="936"/>
      <c r="AW289" s="247"/>
      <c r="BA289" s="936"/>
      <c r="BB289" s="247"/>
      <c r="BD289" s="974"/>
    </row>
    <row r="290" spans="1:60" ht="15" thickBot="1"/>
    <row r="291" spans="1:60" ht="21.6" thickBot="1">
      <c r="A291" t="s">
        <v>169</v>
      </c>
      <c r="B291" t="s">
        <v>947</v>
      </c>
      <c r="C291" t="s">
        <v>1209</v>
      </c>
      <c r="D291" s="489" t="s">
        <v>273</v>
      </c>
      <c r="E291" s="490"/>
      <c r="F291" s="491"/>
      <c r="G291" s="491"/>
      <c r="H291" s="491"/>
      <c r="I291" s="491"/>
      <c r="J291" s="491"/>
      <c r="K291" s="491"/>
      <c r="L291" s="491"/>
      <c r="M291" s="491"/>
      <c r="N291" s="491"/>
      <c r="O291" s="491"/>
      <c r="P291" s="491"/>
      <c r="Q291" s="491"/>
      <c r="R291" s="491"/>
      <c r="S291" s="947"/>
      <c r="T291" s="491"/>
      <c r="U291" s="1070"/>
      <c r="V291" s="979"/>
      <c r="W291" s="979"/>
      <c r="X291" s="490"/>
      <c r="Y291" s="491"/>
      <c r="Z291" s="491"/>
      <c r="AA291" s="491"/>
      <c r="AB291" s="947"/>
      <c r="AC291" s="491"/>
      <c r="AD291" s="1070"/>
      <c r="AE291" s="979"/>
      <c r="AF291" s="979"/>
      <c r="AG291" s="947"/>
      <c r="AH291" s="491"/>
      <c r="AI291" s="1070"/>
      <c r="AJ291" s="979"/>
      <c r="AK291" s="979"/>
      <c r="AL291" s="947"/>
      <c r="AM291" s="491"/>
      <c r="AN291" s="1070"/>
      <c r="AO291" s="979"/>
      <c r="AP291" s="979"/>
      <c r="AQ291" s="947"/>
      <c r="AR291" s="491"/>
      <c r="AS291" s="1070"/>
      <c r="AT291" s="979"/>
      <c r="AU291" s="979"/>
      <c r="AV291" s="947"/>
      <c r="AW291" s="491"/>
      <c r="AX291" s="1070"/>
      <c r="AY291" s="979"/>
      <c r="AZ291" s="979"/>
      <c r="BA291" s="947"/>
      <c r="BB291" s="491"/>
      <c r="BC291" s="1070"/>
      <c r="BD291" s="979"/>
      <c r="BE291" s="979"/>
    </row>
    <row r="292" spans="1:60">
      <c r="D292" s="495"/>
      <c r="E292" s="820" t="s">
        <v>1110</v>
      </c>
      <c r="F292" s="495"/>
      <c r="G292" s="821"/>
      <c r="H292" s="821"/>
      <c r="I292" s="821"/>
      <c r="J292" s="821"/>
      <c r="K292" s="821"/>
      <c r="L292" s="821"/>
      <c r="M292" s="823"/>
      <c r="N292" s="821"/>
      <c r="O292" s="823"/>
      <c r="P292" s="821"/>
      <c r="Q292" s="823"/>
      <c r="R292" s="821"/>
      <c r="S292" s="948"/>
      <c r="T292" s="823"/>
      <c r="U292" s="821"/>
      <c r="V292" s="980"/>
      <c r="W292" s="980"/>
      <c r="X292" s="819"/>
      <c r="Y292" s="823"/>
      <c r="Z292" s="823"/>
      <c r="AA292" s="823"/>
      <c r="AB292" s="985"/>
      <c r="AC292" s="823"/>
      <c r="AD292" s="821"/>
      <c r="AE292" s="985"/>
      <c r="AF292" s="985"/>
      <c r="AG292" s="985"/>
      <c r="AH292" s="823"/>
      <c r="AI292" s="821"/>
      <c r="AJ292" s="985"/>
      <c r="AK292" s="985"/>
      <c r="AL292" s="985"/>
      <c r="AM292" s="823"/>
      <c r="AN292" s="821"/>
      <c r="AO292" s="985"/>
      <c r="AP292" s="985"/>
      <c r="AQ292" s="985"/>
      <c r="AR292" s="823"/>
      <c r="AS292" s="821"/>
      <c r="AT292" s="985"/>
      <c r="AU292" s="985"/>
      <c r="AV292" s="985"/>
      <c r="AW292" s="823"/>
      <c r="AX292" s="821"/>
      <c r="AY292" s="985"/>
      <c r="AZ292" s="985"/>
      <c r="BA292" s="985"/>
      <c r="BB292" s="823"/>
      <c r="BC292" s="821"/>
      <c r="BD292" s="985"/>
      <c r="BE292" s="985"/>
    </row>
    <row r="293" spans="1:60">
      <c r="D293" s="818"/>
      <c r="E293" s="818" t="s">
        <v>1094</v>
      </c>
      <c r="G293" s="62"/>
      <c r="H293" s="62"/>
      <c r="I293" s="62"/>
      <c r="J293" s="62"/>
      <c r="K293" s="62"/>
      <c r="L293" s="62"/>
      <c r="M293" s="62"/>
      <c r="N293" s="62"/>
      <c r="O293" s="62"/>
      <c r="P293" s="62"/>
      <c r="Q293" s="62"/>
      <c r="R293" s="62"/>
      <c r="S293" s="936"/>
      <c r="T293" s="62"/>
      <c r="V293" s="968"/>
      <c r="W293" s="968"/>
      <c r="X293" s="186"/>
      <c r="Y293" s="61"/>
      <c r="Z293" s="61"/>
      <c r="AA293" s="61"/>
      <c r="AB293" s="964"/>
      <c r="AC293" s="61"/>
      <c r="AE293" s="964"/>
      <c r="AF293" s="964"/>
      <c r="AG293" s="964"/>
      <c r="AH293" s="61"/>
      <c r="AJ293" s="964"/>
      <c r="AK293" s="964"/>
      <c r="AL293" s="964"/>
      <c r="AM293" s="61"/>
      <c r="AO293" s="964"/>
      <c r="AP293" s="964"/>
      <c r="AQ293" s="964"/>
      <c r="AR293" s="61"/>
      <c r="AT293" s="964"/>
      <c r="AU293" s="964"/>
      <c r="AV293" s="964"/>
      <c r="AW293" s="61"/>
      <c r="AY293" s="964"/>
      <c r="AZ293" s="964"/>
      <c r="BA293" s="964"/>
      <c r="BB293" s="61"/>
      <c r="BD293" s="964"/>
      <c r="BE293" s="964"/>
      <c r="BF293" s="61"/>
      <c r="BG293" s="61"/>
      <c r="BH293" s="61"/>
    </row>
    <row r="294" spans="1:60">
      <c r="D294" t="s">
        <v>485</v>
      </c>
      <c r="E294" s="186" t="s">
        <v>1428</v>
      </c>
      <c r="G294" s="62"/>
      <c r="H294" s="62"/>
      <c r="I294" s="62"/>
      <c r="J294" s="62"/>
      <c r="K294" s="62"/>
      <c r="L294" s="62"/>
      <c r="M294" s="62"/>
      <c r="N294" s="62"/>
      <c r="O294" s="62"/>
      <c r="P294" s="62"/>
      <c r="Q294" s="62"/>
      <c r="R294" s="62"/>
      <c r="S294" s="936"/>
      <c r="T294" s="62"/>
      <c r="V294" s="968"/>
      <c r="W294" s="968"/>
      <c r="X294" s="186"/>
      <c r="Y294" s="61"/>
      <c r="Z294" s="61"/>
      <c r="AA294" s="61"/>
      <c r="AB294" s="964"/>
      <c r="AC294" s="61">
        <f>SUM(AC94:AC100)</f>
        <v>294744</v>
      </c>
      <c r="AE294" s="964"/>
      <c r="AF294" s="964"/>
      <c r="AG294" s="964"/>
      <c r="AH294" s="61">
        <f>SUM(AH94:AH100)</f>
        <v>408091</v>
      </c>
      <c r="AJ294" s="964"/>
      <c r="AK294" s="964"/>
      <c r="AL294" s="964"/>
      <c r="AM294" s="61">
        <f>SUM(AM94:AM100)</f>
        <v>426603</v>
      </c>
      <c r="AO294" s="964"/>
      <c r="AP294" s="964"/>
      <c r="AQ294" s="964"/>
      <c r="AR294" s="61">
        <f>SUM(AR94:AR100)</f>
        <v>446441</v>
      </c>
      <c r="AT294" s="964"/>
      <c r="AU294" s="964"/>
      <c r="AV294" s="964"/>
      <c r="AW294" s="61">
        <f>SUM(AW94:AW100)</f>
        <v>466581</v>
      </c>
      <c r="AY294" s="964"/>
      <c r="AZ294" s="964"/>
      <c r="BA294" s="964"/>
      <c r="BB294" s="61">
        <f>SUM(BB94:BB100)</f>
        <v>489269</v>
      </c>
      <c r="BD294" s="964"/>
      <c r="BE294" s="964"/>
      <c r="BF294" s="61"/>
      <c r="BG294" s="61"/>
      <c r="BH294" s="61"/>
    </row>
    <row r="295" spans="1:60">
      <c r="D295" t="s">
        <v>486</v>
      </c>
      <c r="E295" s="186" t="s">
        <v>1429</v>
      </c>
      <c r="G295" s="62"/>
      <c r="H295" s="62"/>
      <c r="I295" s="62"/>
      <c r="J295" s="62"/>
      <c r="K295" s="62"/>
      <c r="L295" s="62"/>
      <c r="M295" s="62"/>
      <c r="N295" s="62"/>
      <c r="O295" s="62"/>
      <c r="P295" s="62"/>
      <c r="Q295" s="62"/>
      <c r="R295" s="62"/>
      <c r="S295" s="936"/>
      <c r="T295" s="62"/>
      <c r="V295" s="968"/>
      <c r="W295" s="968"/>
      <c r="X295" s="186"/>
      <c r="Y295" s="61"/>
      <c r="Z295" s="61"/>
      <c r="AA295" s="61"/>
      <c r="AB295" s="964"/>
      <c r="AC295" s="61">
        <f>SUM(AC130:AC133)</f>
        <v>96140</v>
      </c>
      <c r="AE295" s="964"/>
      <c r="AF295" s="964"/>
      <c r="AG295" s="964"/>
      <c r="AH295" s="61">
        <f>SUM(AH130:AH133)</f>
        <v>99024</v>
      </c>
      <c r="AJ295" s="964"/>
      <c r="AK295" s="964"/>
      <c r="AL295" s="964"/>
      <c r="AM295" s="61">
        <f>SUM(AM130:AM133)</f>
        <v>101996</v>
      </c>
      <c r="AO295" s="964"/>
      <c r="AP295" s="964"/>
      <c r="AQ295" s="964"/>
      <c r="AR295" s="61">
        <f>SUM(AR130:AR133)</f>
        <v>105056</v>
      </c>
      <c r="AT295" s="964"/>
      <c r="AU295" s="964"/>
      <c r="AV295" s="964"/>
      <c r="AW295" s="61">
        <f>SUM(AW130:AW133)</f>
        <v>108206</v>
      </c>
      <c r="AY295" s="964"/>
      <c r="AZ295" s="964"/>
      <c r="BA295" s="964"/>
      <c r="BB295" s="61">
        <f>SUM(BB130:BB133)</f>
        <v>111452</v>
      </c>
      <c r="BD295" s="964"/>
      <c r="BE295" s="964"/>
      <c r="BF295" s="61"/>
      <c r="BG295" s="61"/>
      <c r="BH295" s="61"/>
    </row>
    <row r="296" spans="1:60">
      <c r="D296" t="s">
        <v>1435</v>
      </c>
      <c r="E296" s="186" t="s">
        <v>1372</v>
      </c>
      <c r="G296" s="62"/>
      <c r="H296" s="62"/>
      <c r="I296" s="62"/>
      <c r="J296" s="62"/>
      <c r="K296" s="62"/>
      <c r="L296" s="62"/>
      <c r="M296" s="62"/>
      <c r="N296" s="62"/>
      <c r="O296" s="62"/>
      <c r="P296" s="62"/>
      <c r="Q296" s="62"/>
      <c r="R296" s="62"/>
      <c r="S296" s="936"/>
      <c r="T296" s="62"/>
      <c r="V296" s="968"/>
      <c r="W296" s="968"/>
      <c r="X296" s="186"/>
      <c r="Y296" s="61"/>
      <c r="Z296" s="61"/>
      <c r="AA296" s="61"/>
      <c r="AB296" s="964"/>
      <c r="AC296" s="61">
        <f>SUM(AC113:AC116)</f>
        <v>10000</v>
      </c>
      <c r="AE296" s="964"/>
      <c r="AF296" s="964"/>
      <c r="AG296" s="964"/>
      <c r="AH296" s="61">
        <f t="shared" ref="AH296:AH320" si="156">AC296*(1+$AH$9)</f>
        <v>10300</v>
      </c>
      <c r="AJ296" s="964"/>
      <c r="AK296" s="964"/>
      <c r="AL296" s="964"/>
      <c r="AM296" s="61">
        <f t="shared" ref="AM296:AM297" si="157">AH296*(1+$AH$9)</f>
        <v>10609</v>
      </c>
      <c r="AO296" s="964"/>
      <c r="AP296" s="964"/>
      <c r="AQ296" s="964"/>
      <c r="AR296" s="61">
        <f t="shared" ref="AR296:AR297" si="158">AM296*(1+$AH$9)</f>
        <v>10927.27</v>
      </c>
      <c r="AT296" s="964"/>
      <c r="AU296" s="964"/>
      <c r="AV296" s="964"/>
      <c r="AW296" s="61">
        <f t="shared" ref="AW296:AW297" si="159">AR296*(1+$AH$9)</f>
        <v>11255.088100000001</v>
      </c>
      <c r="AY296" s="964"/>
      <c r="AZ296" s="964"/>
      <c r="BA296" s="964"/>
      <c r="BB296" s="61">
        <f t="shared" ref="BB296:BB297" si="160">AW296*(1+$AH$9)</f>
        <v>11592.740743</v>
      </c>
      <c r="BD296" s="964"/>
      <c r="BE296" s="964"/>
      <c r="BF296" s="61"/>
      <c r="BG296" s="61"/>
      <c r="BH296" s="61"/>
    </row>
    <row r="297" spans="1:60">
      <c r="D297" t="s">
        <v>487</v>
      </c>
      <c r="E297" s="186" t="s">
        <v>488</v>
      </c>
      <c r="G297" s="62"/>
      <c r="H297" s="62"/>
      <c r="I297" s="62"/>
      <c r="J297" s="62"/>
      <c r="K297" s="62"/>
      <c r="L297" s="62"/>
      <c r="M297" s="62"/>
      <c r="N297" s="62"/>
      <c r="O297" s="62"/>
      <c r="P297" s="62"/>
      <c r="Q297" s="62"/>
      <c r="R297" s="62"/>
      <c r="S297" s="936"/>
      <c r="T297" s="62"/>
      <c r="V297" s="968"/>
      <c r="W297" s="968"/>
      <c r="X297" s="186"/>
      <c r="Y297" s="61"/>
      <c r="Z297" s="61"/>
      <c r="AA297" s="61"/>
      <c r="AB297" s="964"/>
      <c r="AC297" s="61">
        <v>10150</v>
      </c>
      <c r="AE297" s="964"/>
      <c r="AF297" s="964"/>
      <c r="AG297" s="964"/>
      <c r="AH297" s="61">
        <f t="shared" si="156"/>
        <v>10454.5</v>
      </c>
      <c r="AJ297" s="964"/>
      <c r="AK297" s="964"/>
      <c r="AL297" s="964"/>
      <c r="AM297" s="61">
        <f t="shared" si="157"/>
        <v>10768.135</v>
      </c>
      <c r="AO297" s="964"/>
      <c r="AP297" s="964"/>
      <c r="AQ297" s="964"/>
      <c r="AR297" s="61">
        <f t="shared" si="158"/>
        <v>11091.179050000001</v>
      </c>
      <c r="AT297" s="964"/>
      <c r="AU297" s="964"/>
      <c r="AV297" s="964"/>
      <c r="AW297" s="61">
        <f t="shared" si="159"/>
        <v>11423.914421500001</v>
      </c>
      <c r="AY297" s="964"/>
      <c r="AZ297" s="964"/>
      <c r="BA297" s="964"/>
      <c r="BB297" s="61">
        <f t="shared" si="160"/>
        <v>11766.631854145002</v>
      </c>
      <c r="BD297" s="964"/>
      <c r="BE297" s="964"/>
      <c r="BF297" s="61"/>
      <c r="BG297" s="61"/>
      <c r="BH297" s="61"/>
    </row>
    <row r="298" spans="1:60">
      <c r="D298" t="s">
        <v>489</v>
      </c>
      <c r="E298" s="186" t="s">
        <v>490</v>
      </c>
      <c r="G298" s="62"/>
      <c r="H298" s="62"/>
      <c r="I298" s="62"/>
      <c r="J298" s="62"/>
      <c r="K298" s="62"/>
      <c r="L298" s="62"/>
      <c r="M298" s="62"/>
      <c r="N298" s="62"/>
      <c r="O298" s="62"/>
      <c r="P298" s="62"/>
      <c r="Q298" s="62"/>
      <c r="R298" s="62"/>
      <c r="S298" s="936"/>
      <c r="T298" s="62"/>
      <c r="V298" s="968"/>
      <c r="W298" s="968"/>
      <c r="X298" s="186"/>
      <c r="Y298" s="61"/>
      <c r="Z298" s="61"/>
      <c r="AA298" s="61"/>
      <c r="AB298" s="964"/>
      <c r="AC298" s="61">
        <f>ROUND((AC294*AC16)+(AC295*AC17),0)</f>
        <v>51230</v>
      </c>
      <c r="AE298" s="964"/>
      <c r="AF298" s="964"/>
      <c r="AG298" s="964"/>
      <c r="AH298" s="61">
        <f>ROUND((AH294*AH16)+(AH295*AH17),0)</f>
        <v>74775</v>
      </c>
      <c r="AJ298" s="964"/>
      <c r="AK298" s="964"/>
      <c r="AL298" s="964"/>
      <c r="AM298" s="61">
        <f>ROUND((AM294*AM16)+(AM295*AM17),0)</f>
        <v>90330</v>
      </c>
      <c r="AO298" s="964"/>
      <c r="AP298" s="964"/>
      <c r="AQ298" s="964"/>
      <c r="AR298" s="61">
        <f>ROUND((AR294*AR16)+(AR295*AR17),0)</f>
        <v>94264</v>
      </c>
      <c r="AT298" s="964"/>
      <c r="AU298" s="964"/>
      <c r="AV298" s="964"/>
      <c r="AW298" s="61">
        <f>ROUND((AW294*AW16)+(AW295*AW17),0)</f>
        <v>98264</v>
      </c>
      <c r="AY298" s="964"/>
      <c r="AZ298" s="964"/>
      <c r="BA298" s="964"/>
      <c r="BB298" s="61">
        <f>ROUND((BB294*BB16)+(BB295*BB17),0)</f>
        <v>102722</v>
      </c>
      <c r="BD298" s="964"/>
      <c r="BE298" s="964"/>
      <c r="BF298" s="61"/>
      <c r="BG298" s="61"/>
      <c r="BH298" s="61"/>
    </row>
    <row r="299" spans="1:60">
      <c r="D299" t="s">
        <v>491</v>
      </c>
      <c r="E299" s="186" t="s">
        <v>492</v>
      </c>
      <c r="G299" s="62"/>
      <c r="H299" s="62"/>
      <c r="I299" s="62"/>
      <c r="J299" s="62"/>
      <c r="K299" s="62"/>
      <c r="L299" s="62"/>
      <c r="M299" s="62"/>
      <c r="N299" s="62"/>
      <c r="O299" s="62"/>
      <c r="P299" s="62"/>
      <c r="Q299" s="62"/>
      <c r="R299" s="62"/>
      <c r="S299" s="936"/>
      <c r="T299" s="62"/>
      <c r="V299" s="968"/>
      <c r="W299" s="968"/>
      <c r="X299" s="186"/>
      <c r="Y299" s="61"/>
      <c r="Z299" s="61"/>
      <c r="AA299" s="61"/>
      <c r="AB299" s="964"/>
      <c r="AC299" s="61" cm="1">
        <f t="array" ref="AC299">ROUND(SUM(AC294:AC295*0.0765),0)</f>
        <v>29903</v>
      </c>
      <c r="AE299" s="964"/>
      <c r="AF299" s="964"/>
      <c r="AG299" s="964"/>
      <c r="AH299" s="61" cm="1">
        <f t="array" ref="AH299">ROUND(SUM(AH294:AH295*0.0765),0)</f>
        <v>38794</v>
      </c>
      <c r="AJ299" s="964"/>
      <c r="AK299" s="964"/>
      <c r="AL299" s="964"/>
      <c r="AM299" s="61" cm="1">
        <f t="array" ref="AM299">ROUND(SUM(AM294:AM295*0.0765),0)</f>
        <v>40438</v>
      </c>
      <c r="AO299" s="964"/>
      <c r="AP299" s="964"/>
      <c r="AQ299" s="964"/>
      <c r="AR299" s="61" cm="1">
        <f t="array" ref="AR299">ROUND(SUM(AR294:AR295*0.0765),0)</f>
        <v>42190</v>
      </c>
      <c r="AT299" s="964"/>
      <c r="AU299" s="964"/>
      <c r="AV299" s="964"/>
      <c r="AW299" s="61" cm="1">
        <f t="array" ref="AW299">ROUND(SUM(AW294:AW295*0.0765),0)</f>
        <v>43971</v>
      </c>
      <c r="AY299" s="964"/>
      <c r="AZ299" s="964"/>
      <c r="BA299" s="964"/>
      <c r="BB299" s="61" cm="1">
        <f t="array" ref="BB299">ROUND(SUM(BB294:BB295*0.0765),0)</f>
        <v>45955</v>
      </c>
      <c r="BD299" s="964"/>
      <c r="BE299" s="964"/>
      <c r="BF299" s="61"/>
      <c r="BG299" s="61"/>
      <c r="BH299" s="61"/>
    </row>
    <row r="300" spans="1:60">
      <c r="D300" t="s">
        <v>493</v>
      </c>
      <c r="E300" s="186" t="s">
        <v>494</v>
      </c>
      <c r="G300" s="62"/>
      <c r="H300" s="62"/>
      <c r="I300" s="62"/>
      <c r="J300" s="62"/>
      <c r="K300" s="62"/>
      <c r="L300" s="62"/>
      <c r="M300" s="62"/>
      <c r="N300" s="62"/>
      <c r="O300" s="62"/>
      <c r="P300" s="62"/>
      <c r="Q300" s="62"/>
      <c r="R300" s="62"/>
      <c r="S300" s="936"/>
      <c r="T300" s="62"/>
      <c r="V300" s="968"/>
      <c r="W300" s="968"/>
      <c r="X300" s="186"/>
      <c r="Y300" s="61"/>
      <c r="Z300" s="61"/>
      <c r="AA300" s="61"/>
      <c r="AB300" s="964"/>
      <c r="AC300" s="61">
        <f>ROUND((SUM(AC294:AC295)*0.0789)*1.1,0)</f>
        <v>33925</v>
      </c>
      <c r="AD300" s="1063" t="s">
        <v>1438</v>
      </c>
      <c r="AE300" s="969"/>
      <c r="AF300" s="964"/>
      <c r="AG300" s="964"/>
      <c r="AH300" s="61">
        <f>ROUND((SUM(AH294:AH295)*0.0789)*1.1,0)</f>
        <v>44013</v>
      </c>
      <c r="AJ300" s="964"/>
      <c r="AK300" s="964"/>
      <c r="AL300" s="964"/>
      <c r="AM300" s="61">
        <f>ROUND((SUM(AM294:AM295)*0.0789)*1.1,0)</f>
        <v>45877</v>
      </c>
      <c r="AO300" s="964"/>
      <c r="AP300" s="964"/>
      <c r="AQ300" s="964"/>
      <c r="AR300" s="61">
        <f>ROUND((SUM(AR294:AR295)*0.0789)*1.1,0)</f>
        <v>47864</v>
      </c>
      <c r="AT300" s="964"/>
      <c r="AU300" s="964"/>
      <c r="AV300" s="964"/>
      <c r="AW300" s="61">
        <f>ROUND((SUM(AW294:AW295)*0.0789)*1.1,0)</f>
        <v>49886</v>
      </c>
      <c r="AY300" s="964"/>
      <c r="AZ300" s="964"/>
      <c r="BA300" s="964"/>
      <c r="BB300" s="61">
        <f>ROUND((SUM(BB294:BB295)*0.0789)*1.1,0)</f>
        <v>52137</v>
      </c>
      <c r="BD300" s="964"/>
      <c r="BE300" s="964"/>
      <c r="BF300" s="61"/>
      <c r="BG300" s="61"/>
      <c r="BH300" s="61"/>
    </row>
    <row r="301" spans="1:60">
      <c r="E301" s="186"/>
      <c r="G301" s="62"/>
      <c r="H301" s="62"/>
      <c r="I301" s="62"/>
      <c r="J301" s="62"/>
      <c r="K301" s="62"/>
      <c r="L301" s="62"/>
      <c r="M301" s="62"/>
      <c r="N301" s="62"/>
      <c r="O301" s="62"/>
      <c r="P301" s="62"/>
      <c r="Q301" s="62"/>
      <c r="R301" s="62"/>
      <c r="S301" s="936"/>
      <c r="T301" s="62"/>
      <c r="V301" s="968"/>
      <c r="W301" s="968"/>
      <c r="X301" s="186"/>
      <c r="Y301" s="61"/>
      <c r="Z301" s="61"/>
      <c r="AA301" s="61"/>
      <c r="AB301" s="964"/>
      <c r="AC301" s="61"/>
      <c r="AE301" s="964"/>
      <c r="AF301" s="964"/>
      <c r="AG301" s="964"/>
      <c r="AH301" s="61">
        <f t="shared" si="156"/>
        <v>0</v>
      </c>
      <c r="AJ301" s="964"/>
      <c r="AK301" s="964"/>
      <c r="AL301" s="964"/>
      <c r="AM301" s="61">
        <f t="shared" ref="AM301:AM320" si="161">AH301*(1+$AH$9)</f>
        <v>0</v>
      </c>
      <c r="AO301" s="964"/>
      <c r="AP301" s="964"/>
      <c r="AQ301" s="964"/>
      <c r="AR301" s="61">
        <f t="shared" ref="AR301:AR320" si="162">AM301*(1+$AH$9)</f>
        <v>0</v>
      </c>
      <c r="AT301" s="964"/>
      <c r="AU301" s="964"/>
      <c r="AV301" s="964"/>
      <c r="AW301" s="61">
        <f t="shared" ref="AW301:AW320" si="163">AR301*(1+$AH$9)</f>
        <v>0</v>
      </c>
      <c r="AY301" s="964"/>
      <c r="AZ301" s="964"/>
      <c r="BA301" s="964"/>
      <c r="BB301" s="61">
        <f t="shared" ref="BB301:BB320" si="164">AW301*(1+$AH$9)</f>
        <v>0</v>
      </c>
      <c r="BD301" s="964"/>
      <c r="BE301" s="964"/>
      <c r="BF301" s="61"/>
      <c r="BG301" s="61"/>
      <c r="BH301" s="61"/>
    </row>
    <row r="302" spans="1:60">
      <c r="D302" t="s">
        <v>495</v>
      </c>
      <c r="E302" s="186" t="s">
        <v>496</v>
      </c>
      <c r="G302" s="62"/>
      <c r="H302" s="62"/>
      <c r="I302" s="62"/>
      <c r="J302" s="62"/>
      <c r="K302" s="62"/>
      <c r="L302" s="62"/>
      <c r="M302" s="62"/>
      <c r="N302" s="62"/>
      <c r="O302" s="62"/>
      <c r="P302" s="62"/>
      <c r="Q302" s="62"/>
      <c r="R302" s="62"/>
      <c r="S302" s="936"/>
      <c r="T302" s="62"/>
      <c r="V302" s="968"/>
      <c r="W302" s="968"/>
      <c r="X302" s="186"/>
      <c r="Y302" s="61"/>
      <c r="Z302" s="61"/>
      <c r="AA302" s="61"/>
      <c r="AB302" s="964"/>
      <c r="AC302" s="61">
        <v>0</v>
      </c>
      <c r="AE302" s="964"/>
      <c r="AF302" s="964"/>
      <c r="AG302" s="964"/>
      <c r="AH302" s="61">
        <f t="shared" si="156"/>
        <v>0</v>
      </c>
      <c r="AJ302" s="964"/>
      <c r="AK302" s="964"/>
      <c r="AL302" s="964"/>
      <c r="AM302" s="61">
        <f t="shared" si="161"/>
        <v>0</v>
      </c>
      <c r="AO302" s="964"/>
      <c r="AP302" s="964"/>
      <c r="AQ302" s="964"/>
      <c r="AR302" s="61">
        <f t="shared" si="162"/>
        <v>0</v>
      </c>
      <c r="AT302" s="964"/>
      <c r="AU302" s="964"/>
      <c r="AV302" s="964"/>
      <c r="AW302" s="61">
        <f t="shared" si="163"/>
        <v>0</v>
      </c>
      <c r="AY302" s="964"/>
      <c r="AZ302" s="964"/>
      <c r="BA302" s="964"/>
      <c r="BB302" s="61">
        <f t="shared" si="164"/>
        <v>0</v>
      </c>
      <c r="BD302" s="964"/>
      <c r="BE302" s="964"/>
      <c r="BF302" s="61"/>
      <c r="BG302" s="61"/>
      <c r="BH302" s="61"/>
    </row>
    <row r="303" spans="1:60">
      <c r="D303" t="s">
        <v>497</v>
      </c>
      <c r="E303" s="186" t="s">
        <v>498</v>
      </c>
      <c r="G303" s="62"/>
      <c r="H303" s="62"/>
      <c r="I303" s="62"/>
      <c r="J303" s="62"/>
      <c r="K303" s="62"/>
      <c r="L303" s="62"/>
      <c r="M303" s="62"/>
      <c r="N303" s="62"/>
      <c r="O303" s="62"/>
      <c r="P303" s="62"/>
      <c r="Q303" s="62"/>
      <c r="R303" s="62"/>
      <c r="S303" s="936"/>
      <c r="T303" s="62"/>
      <c r="V303" s="968"/>
      <c r="W303" s="968"/>
      <c r="X303" s="186"/>
      <c r="Y303" s="61">
        <v>0</v>
      </c>
      <c r="Z303" s="61"/>
      <c r="AA303" s="61"/>
      <c r="AB303" s="964"/>
      <c r="AC303" s="660">
        <v>0</v>
      </c>
      <c r="AE303" s="964"/>
      <c r="AF303" s="964"/>
      <c r="AG303" s="964"/>
      <c r="AH303" s="61">
        <v>25000</v>
      </c>
      <c r="AJ303" s="964"/>
      <c r="AK303" s="964"/>
      <c r="AL303" s="964"/>
      <c r="AM303" s="61">
        <f t="shared" si="161"/>
        <v>25750</v>
      </c>
      <c r="AO303" s="964"/>
      <c r="AP303" s="964"/>
      <c r="AQ303" s="964"/>
      <c r="AR303" s="61">
        <f t="shared" si="162"/>
        <v>26522.5</v>
      </c>
      <c r="AT303" s="964"/>
      <c r="AU303" s="964"/>
      <c r="AV303" s="964"/>
      <c r="AW303" s="61">
        <f t="shared" si="163"/>
        <v>27318.174999999999</v>
      </c>
      <c r="AY303" s="964"/>
      <c r="AZ303" s="964"/>
      <c r="BA303" s="964"/>
      <c r="BB303" s="61">
        <f t="shared" si="164"/>
        <v>28137.720249999998</v>
      </c>
      <c r="BD303" s="964"/>
      <c r="BE303" s="964"/>
      <c r="BF303" s="61"/>
      <c r="BG303" s="61"/>
      <c r="BH303" s="61"/>
    </row>
    <row r="304" spans="1:60">
      <c r="D304" t="s">
        <v>1387</v>
      </c>
      <c r="E304" s="186" t="s">
        <v>1388</v>
      </c>
      <c r="G304" s="62"/>
      <c r="H304" s="62"/>
      <c r="I304" s="62"/>
      <c r="J304" s="62"/>
      <c r="K304" s="62"/>
      <c r="L304" s="62"/>
      <c r="M304" s="62"/>
      <c r="N304" s="62"/>
      <c r="O304" s="62"/>
      <c r="P304" s="62"/>
      <c r="Q304" s="62"/>
      <c r="R304" s="62"/>
      <c r="S304" s="936"/>
      <c r="T304" s="62"/>
      <c r="V304" s="968"/>
      <c r="W304" s="968"/>
      <c r="X304" s="186"/>
      <c r="Y304" s="61"/>
      <c r="Z304" s="61"/>
      <c r="AA304" s="61"/>
      <c r="AB304" s="964"/>
      <c r="AC304" s="660">
        <v>15000</v>
      </c>
      <c r="AE304" s="964"/>
      <c r="AF304" s="964"/>
      <c r="AG304" s="964"/>
      <c r="AH304" s="61">
        <v>20000</v>
      </c>
      <c r="AJ304" s="964"/>
      <c r="AK304" s="964"/>
      <c r="AL304" s="964"/>
      <c r="AM304" s="61">
        <f t="shared" si="161"/>
        <v>20600</v>
      </c>
      <c r="AO304" s="964"/>
      <c r="AP304" s="964"/>
      <c r="AQ304" s="964"/>
      <c r="AR304" s="61">
        <f t="shared" si="162"/>
        <v>21218</v>
      </c>
      <c r="AT304" s="964"/>
      <c r="AU304" s="964"/>
      <c r="AV304" s="964"/>
      <c r="AW304" s="61">
        <f t="shared" si="163"/>
        <v>21854.54</v>
      </c>
      <c r="AY304" s="964"/>
      <c r="AZ304" s="964"/>
      <c r="BA304" s="964"/>
      <c r="BB304" s="61">
        <f t="shared" si="164"/>
        <v>22510.176200000002</v>
      </c>
      <c r="BD304" s="964"/>
      <c r="BE304" s="964"/>
      <c r="BF304" s="61"/>
      <c r="BG304" s="61"/>
      <c r="BH304" s="61"/>
    </row>
    <row r="305" spans="4:68">
      <c r="D305" t="s">
        <v>499</v>
      </c>
      <c r="E305" s="186" t="s">
        <v>1423</v>
      </c>
      <c r="G305" s="62"/>
      <c r="H305" s="62"/>
      <c r="I305" s="62"/>
      <c r="J305" s="62"/>
      <c r="K305" s="62"/>
      <c r="L305" s="62"/>
      <c r="M305" s="62"/>
      <c r="N305" s="62"/>
      <c r="O305" s="62"/>
      <c r="P305" s="62"/>
      <c r="Q305" s="62"/>
      <c r="R305" s="62"/>
      <c r="S305" s="936"/>
      <c r="T305" s="62"/>
      <c r="V305" s="968"/>
      <c r="W305" s="968"/>
      <c r="X305" s="186"/>
      <c r="Y305" s="61">
        <v>0</v>
      </c>
      <c r="Z305" s="61"/>
      <c r="AA305" s="61"/>
      <c r="AB305" s="964"/>
      <c r="AC305" s="660">
        <v>0</v>
      </c>
      <c r="AE305" s="964"/>
      <c r="AF305" s="964"/>
      <c r="AG305" s="964"/>
      <c r="AH305" s="61">
        <v>10000</v>
      </c>
      <c r="AJ305" s="964"/>
      <c r="AK305" s="964"/>
      <c r="AL305" s="964"/>
      <c r="AM305" s="61">
        <f t="shared" si="161"/>
        <v>10300</v>
      </c>
      <c r="AO305" s="964"/>
      <c r="AP305" s="964"/>
      <c r="AQ305" s="964"/>
      <c r="AR305" s="61">
        <f t="shared" si="162"/>
        <v>10609</v>
      </c>
      <c r="AT305" s="964"/>
      <c r="AU305" s="964"/>
      <c r="AV305" s="964"/>
      <c r="AW305" s="61">
        <f t="shared" si="163"/>
        <v>10927.27</v>
      </c>
      <c r="AY305" s="964"/>
      <c r="AZ305" s="964"/>
      <c r="BA305" s="964"/>
      <c r="BB305" s="61">
        <f t="shared" si="164"/>
        <v>11255.088100000001</v>
      </c>
      <c r="BD305" s="964"/>
      <c r="BE305" s="964"/>
      <c r="BF305" s="61"/>
      <c r="BG305" s="61"/>
      <c r="BH305" s="61"/>
    </row>
    <row r="306" spans="4:68">
      <c r="D306" t="s">
        <v>500</v>
      </c>
      <c r="E306" s="186" t="s">
        <v>1424</v>
      </c>
      <c r="G306" s="62"/>
      <c r="H306" s="62"/>
      <c r="I306" s="62"/>
      <c r="J306" s="62"/>
      <c r="K306" s="62"/>
      <c r="L306" s="62"/>
      <c r="M306" s="62"/>
      <c r="N306" s="62"/>
      <c r="O306" s="62"/>
      <c r="P306" s="62"/>
      <c r="Q306" s="62"/>
      <c r="R306" s="62"/>
      <c r="S306" s="936"/>
      <c r="T306" s="62"/>
      <c r="V306" s="968"/>
      <c r="W306" s="968"/>
      <c r="X306" s="186"/>
      <c r="Y306" s="61"/>
      <c r="Z306" s="61"/>
      <c r="AA306" s="61"/>
      <c r="AB306" s="964"/>
      <c r="AC306" s="660">
        <v>0</v>
      </c>
      <c r="AE306" s="964"/>
      <c r="AF306" s="964"/>
      <c r="AG306" s="964"/>
      <c r="AH306" s="61">
        <v>15000</v>
      </c>
      <c r="AJ306" s="964"/>
      <c r="AK306" s="964"/>
      <c r="AL306" s="964"/>
      <c r="AM306" s="61">
        <f t="shared" si="161"/>
        <v>15450</v>
      </c>
      <c r="AO306" s="964"/>
      <c r="AP306" s="964"/>
      <c r="AQ306" s="964"/>
      <c r="AR306" s="61">
        <f t="shared" si="162"/>
        <v>15913.5</v>
      </c>
      <c r="AT306" s="964"/>
      <c r="AU306" s="964"/>
      <c r="AV306" s="964"/>
      <c r="AW306" s="61">
        <f t="shared" si="163"/>
        <v>16390.904999999999</v>
      </c>
      <c r="AY306" s="964"/>
      <c r="AZ306" s="964"/>
      <c r="BA306" s="964"/>
      <c r="BB306" s="61">
        <f t="shared" si="164"/>
        <v>16882.632149999998</v>
      </c>
      <c r="BD306" s="964"/>
      <c r="BE306" s="964"/>
      <c r="BF306" s="61"/>
      <c r="BG306" s="61"/>
      <c r="BH306" s="61"/>
    </row>
    <row r="307" spans="4:68">
      <c r="D307" t="s">
        <v>1385</v>
      </c>
      <c r="E307" s="186" t="s">
        <v>1386</v>
      </c>
      <c r="G307" s="62"/>
      <c r="H307" s="62"/>
      <c r="I307" s="62"/>
      <c r="J307" s="62"/>
      <c r="K307" s="62"/>
      <c r="L307" s="62"/>
      <c r="M307" s="62"/>
      <c r="N307" s="62"/>
      <c r="O307" s="62"/>
      <c r="P307" s="62"/>
      <c r="Q307" s="62"/>
      <c r="R307" s="62"/>
      <c r="S307" s="936"/>
      <c r="T307" s="62"/>
      <c r="V307" s="968"/>
      <c r="W307" s="968"/>
      <c r="X307" s="186"/>
      <c r="Y307" s="61"/>
      <c r="Z307" s="61"/>
      <c r="AA307" s="61"/>
      <c r="AB307" s="964"/>
      <c r="AC307" s="660">
        <v>0</v>
      </c>
      <c r="AD307"/>
      <c r="AE307" s="964"/>
      <c r="AF307" s="964"/>
      <c r="AG307" s="964"/>
      <c r="AH307" s="61">
        <v>15000</v>
      </c>
      <c r="AJ307" s="964"/>
      <c r="AK307" s="964"/>
      <c r="AL307" s="964"/>
      <c r="AM307" s="61">
        <f t="shared" si="161"/>
        <v>15450</v>
      </c>
      <c r="AO307" s="964"/>
      <c r="AP307" s="964"/>
      <c r="AQ307" s="964"/>
      <c r="AR307" s="61">
        <f t="shared" si="162"/>
        <v>15913.5</v>
      </c>
      <c r="AT307" s="964"/>
      <c r="AU307" s="964"/>
      <c r="AV307" s="964"/>
      <c r="AW307" s="61">
        <f t="shared" si="163"/>
        <v>16390.904999999999</v>
      </c>
      <c r="AY307" s="964"/>
      <c r="AZ307" s="964"/>
      <c r="BA307" s="964"/>
      <c r="BB307" s="61">
        <f t="shared" si="164"/>
        <v>16882.632149999998</v>
      </c>
      <c r="BD307" s="964"/>
      <c r="BE307" s="964"/>
      <c r="BF307" s="61"/>
      <c r="BG307" s="61"/>
      <c r="BH307" s="61"/>
    </row>
    <row r="308" spans="4:68">
      <c r="E308" s="186"/>
      <c r="G308" s="62"/>
      <c r="H308" s="62"/>
      <c r="I308" s="62"/>
      <c r="J308" s="62"/>
      <c r="K308" s="62"/>
      <c r="L308" s="62"/>
      <c r="M308" s="62"/>
      <c r="N308" s="62"/>
      <c r="O308" s="62"/>
      <c r="P308" s="62"/>
      <c r="Q308" s="62"/>
      <c r="R308" s="62"/>
      <c r="S308" s="936"/>
      <c r="T308" s="62"/>
      <c r="V308" s="968"/>
      <c r="W308" s="968"/>
      <c r="X308" s="186"/>
      <c r="Y308" s="61"/>
      <c r="Z308" s="61"/>
      <c r="AA308" s="61"/>
      <c r="AB308" s="964"/>
      <c r="AC308" s="61"/>
      <c r="AE308" s="964"/>
      <c r="AF308" s="964"/>
      <c r="AG308" s="964"/>
      <c r="AH308" s="61">
        <f t="shared" si="156"/>
        <v>0</v>
      </c>
      <c r="AJ308" s="964"/>
      <c r="AK308" s="964"/>
      <c r="AL308" s="964"/>
      <c r="AM308" s="61">
        <f t="shared" si="161"/>
        <v>0</v>
      </c>
      <c r="AO308" s="964"/>
      <c r="AP308" s="964"/>
      <c r="AQ308" s="964"/>
      <c r="AR308" s="61">
        <f t="shared" si="162"/>
        <v>0</v>
      </c>
      <c r="AT308" s="964"/>
      <c r="AU308" s="964"/>
      <c r="AV308" s="964"/>
      <c r="AW308" s="61">
        <f t="shared" si="163"/>
        <v>0</v>
      </c>
      <c r="AY308" s="964"/>
      <c r="AZ308" s="964"/>
      <c r="BA308" s="964"/>
      <c r="BB308" s="61">
        <f t="shared" si="164"/>
        <v>0</v>
      </c>
      <c r="BD308" s="964"/>
      <c r="BE308" s="964"/>
      <c r="BF308" s="61"/>
      <c r="BG308" s="61"/>
      <c r="BH308" s="61"/>
    </row>
    <row r="309" spans="4:68">
      <c r="D309" t="s">
        <v>501</v>
      </c>
      <c r="E309" s="186" t="s">
        <v>1430</v>
      </c>
      <c r="S309" s="936"/>
      <c r="T309" s="62"/>
      <c r="V309" s="968"/>
      <c r="W309" s="968"/>
      <c r="X309" s="186"/>
      <c r="Y309" s="61"/>
      <c r="Z309" s="61"/>
      <c r="AA309" s="61"/>
      <c r="AB309" s="964"/>
      <c r="AC309" s="61">
        <v>0</v>
      </c>
      <c r="AD309" s="1063" t="s">
        <v>1425</v>
      </c>
      <c r="AE309" s="969"/>
      <c r="AF309" s="969"/>
      <c r="AG309" s="964"/>
      <c r="AH309" s="61">
        <f t="shared" si="156"/>
        <v>0</v>
      </c>
      <c r="AJ309" s="964"/>
      <c r="AK309" s="964"/>
      <c r="AL309" s="964"/>
      <c r="AM309" s="61">
        <f t="shared" si="161"/>
        <v>0</v>
      </c>
      <c r="AO309" s="964"/>
      <c r="AP309" s="964"/>
      <c r="AQ309" s="964"/>
      <c r="AR309" s="61">
        <f t="shared" si="162"/>
        <v>0</v>
      </c>
      <c r="AT309" s="964"/>
      <c r="AU309" s="964"/>
      <c r="AV309" s="964"/>
      <c r="AW309" s="61">
        <f t="shared" si="163"/>
        <v>0</v>
      </c>
      <c r="AY309" s="964"/>
      <c r="AZ309" s="964"/>
      <c r="BA309" s="964"/>
      <c r="BB309" s="61">
        <f t="shared" si="164"/>
        <v>0</v>
      </c>
      <c r="BD309" s="964"/>
      <c r="BE309" s="964"/>
      <c r="BF309" s="61"/>
      <c r="BG309" s="61"/>
      <c r="BH309" s="61"/>
    </row>
    <row r="310" spans="4:68">
      <c r="D310" t="s">
        <v>502</v>
      </c>
      <c r="E310" s="186" t="s">
        <v>1431</v>
      </c>
      <c r="S310" s="936"/>
      <c r="T310" s="62"/>
      <c r="V310" s="968"/>
      <c r="W310" s="968"/>
      <c r="X310" s="186"/>
      <c r="Y310" s="61"/>
      <c r="Z310" s="61"/>
      <c r="AA310" s="61"/>
      <c r="AB310" s="964"/>
      <c r="AC310" s="61">
        <v>0</v>
      </c>
      <c r="AD310" s="1063" t="s">
        <v>1425</v>
      </c>
      <c r="AE310" s="969"/>
      <c r="AF310" s="969"/>
      <c r="AG310" s="964"/>
      <c r="AH310" s="61">
        <f t="shared" si="156"/>
        <v>0</v>
      </c>
      <c r="AJ310" s="964"/>
      <c r="AK310" s="964"/>
      <c r="AL310" s="964"/>
      <c r="AM310" s="61">
        <f t="shared" si="161"/>
        <v>0</v>
      </c>
      <c r="AO310" s="964"/>
      <c r="AP310" s="964"/>
      <c r="AQ310" s="964"/>
      <c r="AR310" s="61">
        <f t="shared" si="162"/>
        <v>0</v>
      </c>
      <c r="AT310" s="964"/>
      <c r="AU310" s="964"/>
      <c r="AV310" s="964"/>
      <c r="AW310" s="61">
        <f t="shared" si="163"/>
        <v>0</v>
      </c>
      <c r="AY310" s="964"/>
      <c r="AZ310" s="964"/>
      <c r="BA310" s="964"/>
      <c r="BB310" s="61">
        <f t="shared" si="164"/>
        <v>0</v>
      </c>
      <c r="BD310" s="964"/>
      <c r="BE310" s="964"/>
      <c r="BF310" s="61"/>
      <c r="BG310" s="61"/>
      <c r="BH310" s="61"/>
    </row>
    <row r="311" spans="4:68">
      <c r="D311" t="s">
        <v>503</v>
      </c>
      <c r="E311" s="186" t="s">
        <v>504</v>
      </c>
      <c r="S311" s="936"/>
      <c r="T311" s="62"/>
      <c r="V311" s="968"/>
      <c r="W311" s="968"/>
      <c r="X311" s="186"/>
      <c r="Y311" s="61"/>
      <c r="Z311" s="61"/>
      <c r="AA311" s="61"/>
      <c r="AB311" s="964"/>
      <c r="AC311" s="61">
        <v>0</v>
      </c>
      <c r="AD311" s="1063" t="s">
        <v>1425</v>
      </c>
      <c r="AE311" s="969"/>
      <c r="AF311" s="969"/>
      <c r="AG311" s="964"/>
      <c r="AH311" s="61">
        <f t="shared" si="156"/>
        <v>0</v>
      </c>
      <c r="AJ311" s="964"/>
      <c r="AK311" s="964"/>
      <c r="AL311" s="964"/>
      <c r="AM311" s="61">
        <f t="shared" si="161"/>
        <v>0</v>
      </c>
      <c r="AO311" s="964"/>
      <c r="AP311" s="964"/>
      <c r="AQ311" s="964"/>
      <c r="AR311" s="61">
        <f t="shared" si="162"/>
        <v>0</v>
      </c>
      <c r="AT311" s="964"/>
      <c r="AU311" s="964"/>
      <c r="AV311" s="964"/>
      <c r="AW311" s="61">
        <f t="shared" si="163"/>
        <v>0</v>
      </c>
      <c r="AY311" s="964"/>
      <c r="AZ311" s="964"/>
      <c r="BA311" s="964"/>
      <c r="BB311" s="61">
        <f t="shared" si="164"/>
        <v>0</v>
      </c>
      <c r="BD311" s="964"/>
      <c r="BE311" s="964"/>
      <c r="BF311" s="61"/>
      <c r="BG311" s="61"/>
      <c r="BH311" s="61"/>
    </row>
    <row r="312" spans="4:68">
      <c r="D312" t="s">
        <v>505</v>
      </c>
      <c r="E312" s="186" t="s">
        <v>506</v>
      </c>
      <c r="S312" s="936"/>
      <c r="T312" s="62"/>
      <c r="V312" s="968"/>
      <c r="W312" s="968"/>
      <c r="X312" s="186"/>
      <c r="Y312" s="61"/>
      <c r="Z312" s="61"/>
      <c r="AA312" s="61"/>
      <c r="AB312" s="964"/>
      <c r="AC312" s="61">
        <v>0</v>
      </c>
      <c r="AD312" s="1063" t="s">
        <v>1425</v>
      </c>
      <c r="AE312" s="969"/>
      <c r="AF312" s="969"/>
      <c r="AG312" s="964"/>
      <c r="AH312" s="61">
        <f t="shared" si="156"/>
        <v>0</v>
      </c>
      <c r="AJ312" s="964"/>
      <c r="AK312" s="964"/>
      <c r="AL312" s="964"/>
      <c r="AM312" s="61">
        <f t="shared" si="161"/>
        <v>0</v>
      </c>
      <c r="AO312" s="964"/>
      <c r="AP312" s="964"/>
      <c r="AQ312" s="964"/>
      <c r="AR312" s="61">
        <f t="shared" si="162"/>
        <v>0</v>
      </c>
      <c r="AT312" s="964"/>
      <c r="AU312" s="964"/>
      <c r="AV312" s="964"/>
      <c r="AW312" s="61">
        <f t="shared" si="163"/>
        <v>0</v>
      </c>
      <c r="AY312" s="964"/>
      <c r="AZ312" s="964"/>
      <c r="BA312" s="964"/>
      <c r="BB312" s="61">
        <f t="shared" si="164"/>
        <v>0</v>
      </c>
      <c r="BD312" s="964"/>
      <c r="BE312" s="964"/>
      <c r="BF312" s="61"/>
      <c r="BG312" s="61"/>
      <c r="BH312" s="61"/>
    </row>
    <row r="313" spans="4:68">
      <c r="D313" t="s">
        <v>507</v>
      </c>
      <c r="E313" s="186" t="s">
        <v>508</v>
      </c>
      <c r="S313" s="936"/>
      <c r="T313" s="62"/>
      <c r="V313" s="968"/>
      <c r="W313" s="968"/>
      <c r="X313" s="186"/>
      <c r="Y313" s="61"/>
      <c r="Z313" s="61"/>
      <c r="AA313" s="61"/>
      <c r="AB313" s="964"/>
      <c r="AC313" s="61">
        <v>0</v>
      </c>
      <c r="AD313" s="1063" t="s">
        <v>1425</v>
      </c>
      <c r="AE313" s="969"/>
      <c r="AF313" s="969"/>
      <c r="AG313" s="964"/>
      <c r="AH313" s="61">
        <f t="shared" si="156"/>
        <v>0</v>
      </c>
      <c r="AJ313" s="964"/>
      <c r="AK313" s="964"/>
      <c r="AL313" s="964"/>
      <c r="AM313" s="61">
        <f t="shared" si="161"/>
        <v>0</v>
      </c>
      <c r="AO313" s="964"/>
      <c r="AP313" s="964"/>
      <c r="AQ313" s="964"/>
      <c r="AR313" s="61">
        <f t="shared" si="162"/>
        <v>0</v>
      </c>
      <c r="AT313" s="964"/>
      <c r="AU313" s="964"/>
      <c r="AV313" s="964"/>
      <c r="AW313" s="61">
        <f t="shared" si="163"/>
        <v>0</v>
      </c>
      <c r="AY313" s="964"/>
      <c r="AZ313" s="964"/>
      <c r="BA313" s="964"/>
      <c r="BB313" s="61">
        <f t="shared" si="164"/>
        <v>0</v>
      </c>
      <c r="BD313" s="964"/>
      <c r="BE313" s="964"/>
      <c r="BF313" s="61"/>
      <c r="BG313" s="61"/>
      <c r="BH313" s="61"/>
    </row>
    <row r="314" spans="4:68">
      <c r="D314" t="s">
        <v>509</v>
      </c>
      <c r="E314" s="186" t="s">
        <v>1426</v>
      </c>
      <c r="S314" s="936"/>
      <c r="T314" s="62"/>
      <c r="V314" s="968"/>
      <c r="W314" s="968"/>
      <c r="X314" s="186"/>
      <c r="Y314" s="61"/>
      <c r="Z314" s="61"/>
      <c r="AA314" s="61"/>
      <c r="AB314" s="964"/>
      <c r="AC314" s="61">
        <v>3000</v>
      </c>
      <c r="AE314" s="964"/>
      <c r="AF314" s="964"/>
      <c r="AG314" s="964"/>
      <c r="AH314" s="61">
        <f t="shared" si="156"/>
        <v>3090</v>
      </c>
      <c r="AJ314" s="964"/>
      <c r="AK314" s="964"/>
      <c r="AL314" s="964"/>
      <c r="AM314" s="61">
        <f t="shared" si="161"/>
        <v>3182.7000000000003</v>
      </c>
      <c r="AO314" s="964"/>
      <c r="AP314" s="964"/>
      <c r="AQ314" s="964"/>
      <c r="AR314" s="61">
        <f t="shared" si="162"/>
        <v>3278.1810000000005</v>
      </c>
      <c r="AT314" s="964"/>
      <c r="AU314" s="964"/>
      <c r="AV314" s="964"/>
      <c r="AW314" s="61">
        <f t="shared" si="163"/>
        <v>3376.5264300000008</v>
      </c>
      <c r="AY314" s="964"/>
      <c r="AZ314" s="964"/>
      <c r="BA314" s="964"/>
      <c r="BB314" s="61">
        <f t="shared" si="164"/>
        <v>3477.8222229000007</v>
      </c>
      <c r="BD314" s="964"/>
      <c r="BE314" s="964"/>
      <c r="BF314" s="61"/>
      <c r="BG314" s="61"/>
      <c r="BH314" s="61"/>
      <c r="BI314" s="506"/>
      <c r="BJ314" s="506"/>
      <c r="BK314" s="506"/>
      <c r="BL314" s="506"/>
      <c r="BM314" s="506"/>
      <c r="BN314" s="506"/>
      <c r="BO314" s="506"/>
      <c r="BP314" s="506"/>
    </row>
    <row r="315" spans="4:68">
      <c r="D315" t="s">
        <v>510</v>
      </c>
      <c r="E315" s="186" t="s">
        <v>1427</v>
      </c>
      <c r="S315" s="936"/>
      <c r="T315" s="62"/>
      <c r="V315" s="968"/>
      <c r="W315" s="968"/>
      <c r="X315" s="186"/>
      <c r="Y315" s="61"/>
      <c r="Z315" s="61"/>
      <c r="AA315" s="61"/>
      <c r="AB315" s="964"/>
      <c r="AC315" s="61">
        <v>0</v>
      </c>
      <c r="AE315" s="964"/>
      <c r="AF315" s="964"/>
      <c r="AG315" s="964"/>
      <c r="AH315" s="61">
        <f t="shared" si="156"/>
        <v>0</v>
      </c>
      <c r="AJ315" s="964"/>
      <c r="AK315" s="964"/>
      <c r="AL315" s="964"/>
      <c r="AM315" s="61">
        <f t="shared" si="161"/>
        <v>0</v>
      </c>
      <c r="AO315" s="964"/>
      <c r="AP315" s="964"/>
      <c r="AQ315" s="964"/>
      <c r="AR315" s="61">
        <f t="shared" si="162"/>
        <v>0</v>
      </c>
      <c r="AT315" s="964"/>
      <c r="AU315" s="964"/>
      <c r="AV315" s="964"/>
      <c r="AW315" s="61">
        <f t="shared" si="163"/>
        <v>0</v>
      </c>
      <c r="AY315" s="964"/>
      <c r="AZ315" s="964"/>
      <c r="BA315" s="964"/>
      <c r="BB315" s="61">
        <f t="shared" si="164"/>
        <v>0</v>
      </c>
      <c r="BD315" s="964"/>
      <c r="BE315" s="964"/>
      <c r="BF315" s="61"/>
      <c r="BG315" s="61"/>
      <c r="BH315" s="61"/>
      <c r="BI315" s="506"/>
      <c r="BJ315" s="506"/>
      <c r="BK315" s="506"/>
      <c r="BL315" s="506"/>
      <c r="BM315" s="506"/>
      <c r="BN315" s="506"/>
      <c r="BO315" s="506"/>
      <c r="BP315" s="506"/>
    </row>
    <row r="316" spans="4:68">
      <c r="E316" s="186"/>
      <c r="S316" s="936"/>
      <c r="T316" s="62"/>
      <c r="V316" s="968"/>
      <c r="W316" s="968"/>
      <c r="X316" s="186"/>
      <c r="Y316" s="61"/>
      <c r="Z316" s="61"/>
      <c r="AA316" s="61"/>
      <c r="AB316" s="964"/>
      <c r="AC316" s="61"/>
      <c r="AE316" s="964"/>
      <c r="AF316" s="964"/>
      <c r="AG316" s="964"/>
      <c r="AH316" s="61">
        <f t="shared" si="156"/>
        <v>0</v>
      </c>
      <c r="AJ316" s="964"/>
      <c r="AK316" s="964"/>
      <c r="AL316" s="964"/>
      <c r="AM316" s="61">
        <f t="shared" si="161"/>
        <v>0</v>
      </c>
      <c r="AO316" s="964"/>
      <c r="AP316" s="964"/>
      <c r="AQ316" s="964"/>
      <c r="AR316" s="61">
        <f t="shared" si="162"/>
        <v>0</v>
      </c>
      <c r="AT316" s="964"/>
      <c r="AU316" s="964"/>
      <c r="AV316" s="964"/>
      <c r="AW316" s="61">
        <f t="shared" si="163"/>
        <v>0</v>
      </c>
      <c r="AY316" s="964"/>
      <c r="AZ316" s="964"/>
      <c r="BA316" s="964"/>
      <c r="BB316" s="61">
        <f t="shared" si="164"/>
        <v>0</v>
      </c>
      <c r="BD316" s="964"/>
      <c r="BE316" s="964"/>
      <c r="BF316" s="61"/>
      <c r="BG316" s="61"/>
      <c r="BH316" s="61"/>
      <c r="BI316" s="506"/>
      <c r="BJ316" s="506"/>
      <c r="BK316" s="506"/>
      <c r="BL316" s="506"/>
      <c r="BM316" s="506"/>
      <c r="BN316" s="506"/>
      <c r="BO316" s="506"/>
      <c r="BP316" s="506"/>
    </row>
    <row r="317" spans="4:68">
      <c r="D317" t="s">
        <v>511</v>
      </c>
      <c r="E317" s="186" t="s">
        <v>512</v>
      </c>
      <c r="S317" s="936"/>
      <c r="T317" s="62"/>
      <c r="V317" s="968"/>
      <c r="W317" s="968"/>
      <c r="X317" s="186"/>
      <c r="Y317" s="61"/>
      <c r="Z317" s="61"/>
      <c r="AA317" s="61"/>
      <c r="AB317" s="964"/>
      <c r="AC317" s="660">
        <v>10000</v>
      </c>
      <c r="AE317" s="964"/>
      <c r="AF317" s="964"/>
      <c r="AG317" s="964"/>
      <c r="AH317" s="61">
        <f t="shared" si="156"/>
        <v>10300</v>
      </c>
      <c r="AJ317" s="964"/>
      <c r="AK317" s="964"/>
      <c r="AL317" s="964"/>
      <c r="AM317" s="61">
        <f t="shared" si="161"/>
        <v>10609</v>
      </c>
      <c r="AO317" s="964"/>
      <c r="AP317" s="964"/>
      <c r="AQ317" s="964"/>
      <c r="AR317" s="61">
        <f t="shared" si="162"/>
        <v>10927.27</v>
      </c>
      <c r="AT317" s="964"/>
      <c r="AU317" s="964"/>
      <c r="AV317" s="964"/>
      <c r="AW317" s="61">
        <f t="shared" si="163"/>
        <v>11255.088100000001</v>
      </c>
      <c r="AY317" s="964"/>
      <c r="AZ317" s="964"/>
      <c r="BA317" s="964"/>
      <c r="BB317" s="61">
        <f t="shared" si="164"/>
        <v>11592.740743</v>
      </c>
      <c r="BD317" s="964"/>
      <c r="BE317" s="964"/>
      <c r="BF317" s="61"/>
      <c r="BG317" s="61"/>
      <c r="BH317" s="61"/>
      <c r="BI317" s="506"/>
      <c r="BJ317" s="506"/>
      <c r="BK317" s="506"/>
      <c r="BL317" s="506"/>
      <c r="BM317" s="506"/>
      <c r="BN317" s="506"/>
      <c r="BO317" s="506"/>
      <c r="BP317" s="506"/>
    </row>
    <row r="318" spans="4:68">
      <c r="E318" s="186"/>
      <c r="S318" s="936"/>
      <c r="T318" s="62"/>
      <c r="V318" s="968"/>
      <c r="W318" s="968"/>
      <c r="X318" s="186"/>
      <c r="Y318" s="61"/>
      <c r="Z318" s="61"/>
      <c r="AA318" s="61"/>
      <c r="AB318" s="964"/>
      <c r="AC318" s="61"/>
      <c r="AE318" s="964"/>
      <c r="AF318" s="964"/>
      <c r="AG318" s="964"/>
      <c r="AH318" s="61">
        <f t="shared" si="156"/>
        <v>0</v>
      </c>
      <c r="AJ318" s="964"/>
      <c r="AK318" s="964"/>
      <c r="AL318" s="964"/>
      <c r="AM318" s="61">
        <f t="shared" si="161"/>
        <v>0</v>
      </c>
      <c r="AO318" s="964"/>
      <c r="AP318" s="964"/>
      <c r="AQ318" s="964"/>
      <c r="AR318" s="61">
        <f t="shared" si="162"/>
        <v>0</v>
      </c>
      <c r="AT318" s="964"/>
      <c r="AU318" s="964"/>
      <c r="AV318" s="964"/>
      <c r="AW318" s="61">
        <f t="shared" si="163"/>
        <v>0</v>
      </c>
      <c r="AY318" s="964"/>
      <c r="AZ318" s="964"/>
      <c r="BA318" s="964"/>
      <c r="BB318" s="61">
        <f t="shared" si="164"/>
        <v>0</v>
      </c>
      <c r="BD318" s="964"/>
      <c r="BE318" s="964"/>
      <c r="BF318" s="61"/>
      <c r="BG318" s="61"/>
      <c r="BH318" s="61"/>
      <c r="BI318" s="506"/>
      <c r="BJ318" s="506"/>
      <c r="BK318" s="506"/>
      <c r="BL318" s="506"/>
      <c r="BM318" s="506"/>
      <c r="BN318" s="506"/>
      <c r="BO318" s="506"/>
      <c r="BP318" s="506"/>
    </row>
    <row r="319" spans="4:68">
      <c r="D319" t="s">
        <v>513</v>
      </c>
      <c r="E319" s="186" t="s">
        <v>514</v>
      </c>
      <c r="S319" s="936"/>
      <c r="T319" s="62"/>
      <c r="V319" s="968"/>
      <c r="W319" s="968"/>
      <c r="X319" s="186"/>
      <c r="Y319" s="61"/>
      <c r="Z319" s="61"/>
      <c r="AA319" s="61"/>
      <c r="AB319" s="964"/>
      <c r="AC319" s="61">
        <v>0</v>
      </c>
      <c r="AE319" s="964"/>
      <c r="AF319" s="964"/>
      <c r="AG319" s="964"/>
      <c r="AH319" s="61">
        <f t="shared" si="156"/>
        <v>0</v>
      </c>
      <c r="AJ319" s="964"/>
      <c r="AK319" s="964"/>
      <c r="AL319" s="964"/>
      <c r="AM319" s="61">
        <f t="shared" si="161"/>
        <v>0</v>
      </c>
      <c r="AO319" s="964"/>
      <c r="AP319" s="964"/>
      <c r="AQ319" s="964"/>
      <c r="AR319" s="61">
        <f t="shared" si="162"/>
        <v>0</v>
      </c>
      <c r="AT319" s="964"/>
      <c r="AU319" s="964"/>
      <c r="AV319" s="964"/>
      <c r="AW319" s="61">
        <f t="shared" si="163"/>
        <v>0</v>
      </c>
      <c r="AY319" s="964"/>
      <c r="AZ319" s="964"/>
      <c r="BA319" s="964"/>
      <c r="BB319" s="61">
        <f t="shared" si="164"/>
        <v>0</v>
      </c>
      <c r="BD319" s="964"/>
      <c r="BE319" s="964"/>
      <c r="BF319" s="61"/>
      <c r="BG319" s="61"/>
      <c r="BH319" s="61"/>
      <c r="BI319" s="506"/>
      <c r="BJ319" s="506"/>
      <c r="BK319" s="506"/>
      <c r="BL319" s="506"/>
      <c r="BM319" s="506"/>
      <c r="BN319" s="506"/>
      <c r="BO319" s="506"/>
      <c r="BP319" s="506"/>
    </row>
    <row r="320" spans="4:68">
      <c r="E320" s="186"/>
      <c r="G320" s="62"/>
      <c r="H320" s="62"/>
      <c r="I320" s="62"/>
      <c r="J320" s="62"/>
      <c r="K320" s="62"/>
      <c r="L320" s="62"/>
      <c r="M320" s="62"/>
      <c r="N320" s="62"/>
      <c r="O320" s="62"/>
      <c r="P320" s="62"/>
      <c r="Q320" s="62"/>
      <c r="R320" s="62"/>
      <c r="S320" s="936"/>
      <c r="T320" s="62"/>
      <c r="V320" s="968"/>
      <c r="W320" s="968"/>
      <c r="X320" s="186"/>
      <c r="Y320" s="61"/>
      <c r="Z320" s="61"/>
      <c r="AA320" s="61"/>
      <c r="AB320" s="964"/>
      <c r="AC320" s="61"/>
      <c r="AE320" s="964"/>
      <c r="AF320" s="964"/>
      <c r="AG320" s="964"/>
      <c r="AH320" s="61">
        <f t="shared" si="156"/>
        <v>0</v>
      </c>
      <c r="AJ320" s="964"/>
      <c r="AK320" s="964"/>
      <c r="AL320" s="964"/>
      <c r="AM320" s="61">
        <f t="shared" si="161"/>
        <v>0</v>
      </c>
      <c r="AO320" s="964"/>
      <c r="AP320" s="964"/>
      <c r="AQ320" s="964"/>
      <c r="AR320" s="61">
        <f t="shared" si="162"/>
        <v>0</v>
      </c>
      <c r="AT320" s="964"/>
      <c r="AU320" s="964"/>
      <c r="AV320" s="964"/>
      <c r="AW320" s="61">
        <f t="shared" si="163"/>
        <v>0</v>
      </c>
      <c r="AY320" s="964"/>
      <c r="AZ320" s="964"/>
      <c r="BA320" s="964"/>
      <c r="BB320" s="61">
        <f t="shared" si="164"/>
        <v>0</v>
      </c>
      <c r="BD320" s="964"/>
      <c r="BE320" s="964"/>
      <c r="BF320" s="61"/>
      <c r="BG320" s="61"/>
      <c r="BH320" s="61"/>
      <c r="BI320" s="506"/>
      <c r="BJ320" s="506"/>
      <c r="BK320" s="506"/>
      <c r="BL320" s="506"/>
      <c r="BM320" s="506"/>
      <c r="BN320" s="506"/>
      <c r="BO320" s="506"/>
      <c r="BP320" s="506"/>
    </row>
    <row r="321" spans="4:68">
      <c r="E321" s="186" t="s">
        <v>515</v>
      </c>
      <c r="G321" s="62"/>
      <c r="H321" s="62"/>
      <c r="I321" s="62"/>
      <c r="J321" s="62"/>
      <c r="K321" s="62"/>
      <c r="L321" s="62"/>
      <c r="M321" s="534">
        <f>SUM(M294:M320)</f>
        <v>0</v>
      </c>
      <c r="N321" s="62"/>
      <c r="O321" s="534">
        <f>SUM(O294:O320)</f>
        <v>0</v>
      </c>
      <c r="P321" s="62"/>
      <c r="Q321" s="534">
        <f>SUM(Q294:Q320)</f>
        <v>0</v>
      </c>
      <c r="R321" s="62"/>
      <c r="S321" s="936"/>
      <c r="T321" s="534">
        <f>SUM(T294:T320)</f>
        <v>0</v>
      </c>
      <c r="U321" s="1071"/>
      <c r="V321" s="968"/>
      <c r="W321" s="968"/>
      <c r="X321" s="186"/>
      <c r="Y321" s="534">
        <f>SUM(Y294:Y320)</f>
        <v>0</v>
      </c>
      <c r="Z321" s="61"/>
      <c r="AA321" s="61"/>
      <c r="AB321" s="964"/>
      <c r="AC321" s="534">
        <f>SUM(AC294:AC320)</f>
        <v>554092</v>
      </c>
      <c r="AD321" s="1071"/>
      <c r="AE321" s="964"/>
      <c r="AF321" s="964"/>
      <c r="AG321" s="964"/>
      <c r="AH321" s="534">
        <f>SUM(AH294:AH320)</f>
        <v>783841.5</v>
      </c>
      <c r="AI321" s="1071"/>
      <c r="AJ321" s="964"/>
      <c r="AK321" s="964"/>
      <c r="AL321" s="964"/>
      <c r="AM321" s="534">
        <f>SUM(AM294:AM320)</f>
        <v>827962.83499999996</v>
      </c>
      <c r="AN321" s="1071"/>
      <c r="AO321" s="964"/>
      <c r="AP321" s="964"/>
      <c r="AQ321" s="964"/>
      <c r="AR321" s="534">
        <f>SUM(AR294:AR320)</f>
        <v>862215.40005000005</v>
      </c>
      <c r="AS321" s="1071"/>
      <c r="AT321" s="964"/>
      <c r="AU321" s="964"/>
      <c r="AV321" s="964"/>
      <c r="AW321" s="534">
        <f>SUM(AW294:AW320)</f>
        <v>897100.41205150029</v>
      </c>
      <c r="AX321" s="1071"/>
      <c r="AY321" s="964"/>
      <c r="AZ321" s="964"/>
      <c r="BA321" s="964"/>
      <c r="BB321" s="534">
        <f>SUM(BB294:BB320)</f>
        <v>935633.18441304483</v>
      </c>
      <c r="BC321" s="1071"/>
      <c r="BD321" s="964"/>
      <c r="BE321" s="964"/>
      <c r="BF321" s="61"/>
      <c r="BG321" s="61"/>
      <c r="BH321" s="61"/>
      <c r="BI321" s="506"/>
      <c r="BJ321" s="506"/>
      <c r="BK321" s="506"/>
      <c r="BL321" s="506"/>
      <c r="BM321" s="506"/>
      <c r="BN321" s="506"/>
      <c r="BO321" s="506"/>
      <c r="BP321" s="506"/>
    </row>
    <row r="322" spans="4:68">
      <c r="E322" s="186"/>
      <c r="G322" s="62"/>
      <c r="H322" s="62"/>
      <c r="I322" s="62"/>
      <c r="J322" s="62"/>
      <c r="K322" s="62"/>
      <c r="L322" s="62"/>
      <c r="M322" s="533"/>
      <c r="N322" s="62"/>
      <c r="O322" s="533"/>
      <c r="P322" s="62"/>
      <c r="Q322" s="533"/>
      <c r="R322" s="62"/>
      <c r="S322" s="936"/>
      <c r="T322" s="533"/>
      <c r="U322" s="1071"/>
      <c r="V322" s="968"/>
      <c r="W322" s="968"/>
      <c r="X322" s="186"/>
      <c r="Y322" s="533"/>
      <c r="Z322" s="61"/>
      <c r="AA322" s="61"/>
      <c r="AB322" s="964"/>
      <c r="AC322" s="533"/>
      <c r="AD322" s="1071"/>
      <c r="AE322" s="964"/>
      <c r="AF322" s="964"/>
      <c r="AG322" s="964"/>
      <c r="AH322" s="533"/>
      <c r="AI322" s="1071"/>
      <c r="AJ322" s="964"/>
      <c r="AK322" s="964"/>
      <c r="AL322" s="964"/>
      <c r="AM322" s="533"/>
      <c r="AN322" s="1071"/>
      <c r="AO322" s="964"/>
      <c r="AP322" s="964"/>
      <c r="AQ322" s="964"/>
      <c r="AR322" s="533"/>
      <c r="AS322" s="1071"/>
      <c r="AT322" s="964"/>
      <c r="AU322" s="964"/>
      <c r="AV322" s="964"/>
      <c r="AW322" s="533"/>
      <c r="AX322" s="1071"/>
      <c r="AY322" s="964"/>
      <c r="AZ322" s="964"/>
      <c r="BA322" s="964"/>
      <c r="BB322" s="533"/>
      <c r="BC322" s="1071"/>
      <c r="BD322" s="964"/>
      <c r="BE322" s="964"/>
      <c r="BF322" s="61"/>
      <c r="BG322" s="61"/>
      <c r="BH322" s="61"/>
      <c r="BI322" s="506"/>
      <c r="BJ322" s="506"/>
      <c r="BK322" s="506"/>
      <c r="BL322" s="506"/>
      <c r="BM322" s="506"/>
      <c r="BN322" s="506"/>
      <c r="BO322" s="506"/>
      <c r="BP322" s="506"/>
    </row>
    <row r="323" spans="4:68">
      <c r="D323" t="s">
        <v>516</v>
      </c>
      <c r="E323" s="186" t="s">
        <v>1432</v>
      </c>
      <c r="G323" s="62"/>
      <c r="H323" s="62"/>
      <c r="I323" s="62"/>
      <c r="J323" s="62"/>
      <c r="K323" s="62"/>
      <c r="L323" s="62"/>
      <c r="M323" s="61"/>
      <c r="N323" s="62"/>
      <c r="O323" s="61"/>
      <c r="P323" s="62"/>
      <c r="Q323" s="61"/>
      <c r="R323" s="62"/>
      <c r="S323" s="936"/>
      <c r="T323" s="61"/>
      <c r="V323" s="968"/>
      <c r="W323" s="968"/>
      <c r="X323" s="186"/>
      <c r="Y323" s="61">
        <v>646535</v>
      </c>
      <c r="Z323" s="61"/>
      <c r="AA323" s="61"/>
      <c r="AB323" s="964"/>
      <c r="AC323" s="61">
        <f>SUM(AC101:AC112)</f>
        <v>595642</v>
      </c>
      <c r="AE323" s="964"/>
      <c r="AF323" s="964"/>
      <c r="AG323" s="964"/>
      <c r="AH323" s="61">
        <f>SUM(AH101:AH112)</f>
        <v>618038.77</v>
      </c>
      <c r="AJ323" s="964"/>
      <c r="AK323" s="964"/>
      <c r="AL323" s="964"/>
      <c r="AM323" s="61">
        <f>SUM(AM101:AM112)</f>
        <v>654263.61309999996</v>
      </c>
      <c r="AO323" s="964"/>
      <c r="AP323" s="964"/>
      <c r="AQ323" s="964"/>
      <c r="AR323" s="61">
        <f>SUM(AR101:AR112)</f>
        <v>693200.82149300002</v>
      </c>
      <c r="AT323" s="964"/>
      <c r="AU323" s="964"/>
      <c r="AV323" s="964"/>
      <c r="AW323" s="61">
        <f>SUM(AW101:AW112)</f>
        <v>734561.72613779001</v>
      </c>
      <c r="AY323" s="964"/>
      <c r="AZ323" s="964"/>
      <c r="BA323" s="964"/>
      <c r="BB323" s="61">
        <f>SUM(BB101:BB112)</f>
        <v>775406.69792192371</v>
      </c>
      <c r="BD323" s="964"/>
      <c r="BE323" s="964"/>
      <c r="BF323" s="61"/>
      <c r="BG323" s="61"/>
      <c r="BH323" s="61"/>
      <c r="BI323" s="506"/>
      <c r="BJ323" s="506"/>
      <c r="BK323" s="506"/>
      <c r="BL323" s="506"/>
      <c r="BM323" s="506"/>
      <c r="BN323" s="506"/>
      <c r="BO323" s="506"/>
      <c r="BP323" s="506"/>
    </row>
    <row r="324" spans="4:68">
      <c r="D324" t="s">
        <v>1370</v>
      </c>
      <c r="E324" s="186" t="s">
        <v>1433</v>
      </c>
      <c r="G324" s="62"/>
      <c r="H324" s="62"/>
      <c r="I324" s="62"/>
      <c r="J324" s="62"/>
      <c r="K324" s="62"/>
      <c r="L324" s="62"/>
      <c r="M324" s="61"/>
      <c r="N324" s="62"/>
      <c r="O324" s="61"/>
      <c r="P324" s="62"/>
      <c r="Q324" s="61"/>
      <c r="R324" s="62"/>
      <c r="S324" s="936"/>
      <c r="T324" s="61"/>
      <c r="V324" s="968"/>
      <c r="W324" s="968"/>
      <c r="X324" s="186"/>
      <c r="Y324" s="61">
        <v>73159</v>
      </c>
      <c r="Z324" s="61"/>
      <c r="AA324" s="61"/>
      <c r="AB324" s="964"/>
      <c r="AC324" s="61">
        <f>ROUND(SUM(AC134:AC140),0)</f>
        <v>70208</v>
      </c>
      <c r="AE324" s="964"/>
      <c r="AF324" s="964"/>
      <c r="AG324" s="964"/>
      <c r="AH324" s="61">
        <f>ROUND(SUM(AH134:AH140),0)</f>
        <v>153274</v>
      </c>
      <c r="AJ324" s="964"/>
      <c r="AK324" s="964"/>
      <c r="AL324" s="964"/>
      <c r="AM324" s="61">
        <f>ROUND(SUM(AM134:AM140),0)</f>
        <v>157872</v>
      </c>
      <c r="AO324" s="964"/>
      <c r="AP324" s="964"/>
      <c r="AQ324" s="964"/>
      <c r="AR324" s="61">
        <f>ROUND(SUM(AR134:AR140),0)</f>
        <v>162607</v>
      </c>
      <c r="AT324" s="964"/>
      <c r="AU324" s="964"/>
      <c r="AV324" s="964"/>
      <c r="AW324" s="61">
        <f>ROUND(SUM(AW134:AW140),0)</f>
        <v>167484</v>
      </c>
      <c r="AY324" s="964"/>
      <c r="AZ324" s="964"/>
      <c r="BA324" s="964"/>
      <c r="BB324" s="61">
        <f>ROUND(SUM(BB134:BB140),0)</f>
        <v>172507</v>
      </c>
      <c r="BD324" s="964"/>
      <c r="BE324" s="964"/>
      <c r="BF324" s="61"/>
      <c r="BG324" s="61"/>
      <c r="BH324" s="61"/>
      <c r="BI324" s="506"/>
      <c r="BJ324" s="506"/>
      <c r="BK324" s="506"/>
      <c r="BL324" s="506"/>
      <c r="BM324" s="506"/>
      <c r="BN324" s="506"/>
      <c r="BO324" s="506"/>
      <c r="BP324" s="506"/>
    </row>
    <row r="325" spans="4:68">
      <c r="D325" t="s">
        <v>1480</v>
      </c>
      <c r="E325" s="186" t="s">
        <v>1481</v>
      </c>
      <c r="G325" s="62"/>
      <c r="H325" s="62"/>
      <c r="I325" s="62"/>
      <c r="J325" s="62"/>
      <c r="K325" s="62"/>
      <c r="L325" s="62"/>
      <c r="M325" s="61"/>
      <c r="N325" s="62"/>
      <c r="O325" s="61"/>
      <c r="P325" s="62"/>
      <c r="Q325" s="61"/>
      <c r="R325" s="62"/>
      <c r="S325" s="936"/>
      <c r="T325" s="61"/>
      <c r="V325" s="968"/>
      <c r="W325" s="968"/>
      <c r="X325" s="186"/>
      <c r="Y325" s="61">
        <f>Y123</f>
        <v>61475</v>
      </c>
      <c r="Z325" s="61"/>
      <c r="AA325" s="61"/>
      <c r="AB325" s="964"/>
      <c r="AC325" s="61">
        <f>AC123</f>
        <v>71359</v>
      </c>
      <c r="AE325" s="964"/>
      <c r="AF325" s="964"/>
      <c r="AG325" s="964"/>
      <c r="AH325" s="61">
        <f>AH123</f>
        <v>73499.77</v>
      </c>
      <c r="AJ325" s="964"/>
      <c r="AK325" s="964"/>
      <c r="AL325" s="964"/>
      <c r="AM325" s="61">
        <f>AM123</f>
        <v>75704.763100000011</v>
      </c>
      <c r="AO325" s="964"/>
      <c r="AP325" s="964"/>
      <c r="AQ325" s="964"/>
      <c r="AR325" s="61">
        <f>AR123</f>
        <v>77975.905993000008</v>
      </c>
      <c r="AT325" s="964"/>
      <c r="AU325" s="964"/>
      <c r="AV325" s="964"/>
      <c r="AW325" s="61">
        <f>AW123</f>
        <v>80315.183172790013</v>
      </c>
      <c r="AY325" s="964"/>
      <c r="AZ325" s="964"/>
      <c r="BA325" s="964"/>
      <c r="BB325" s="61">
        <f>BB123</f>
        <v>82724.638667973719</v>
      </c>
      <c r="BD325" s="964"/>
      <c r="BE325" s="964"/>
      <c r="BF325" s="61"/>
      <c r="BG325" s="61"/>
      <c r="BH325" s="61"/>
      <c r="BI325" s="506"/>
      <c r="BJ325" s="506"/>
      <c r="BK325" s="506"/>
      <c r="BL325" s="506"/>
      <c r="BM325" s="506"/>
      <c r="BN325" s="506"/>
      <c r="BO325" s="506"/>
      <c r="BP325" s="506"/>
    </row>
    <row r="326" spans="4:68">
      <c r="D326" t="s">
        <v>1371</v>
      </c>
      <c r="E326" s="186" t="s">
        <v>1373</v>
      </c>
      <c r="G326" s="62"/>
      <c r="H326" s="62"/>
      <c r="I326" s="62"/>
      <c r="J326" s="62"/>
      <c r="K326" s="62"/>
      <c r="L326" s="62"/>
      <c r="M326" s="61"/>
      <c r="N326" s="62"/>
      <c r="O326" s="61"/>
      <c r="P326" s="62"/>
      <c r="Q326" s="61"/>
      <c r="R326" s="62"/>
      <c r="S326" s="936"/>
      <c r="T326" s="61"/>
      <c r="V326" s="968"/>
      <c r="W326" s="968"/>
      <c r="X326" s="186"/>
      <c r="Y326" s="61"/>
      <c r="Z326" s="61"/>
      <c r="AA326" s="61"/>
      <c r="AB326" s="964"/>
      <c r="AC326" s="61">
        <v>0</v>
      </c>
      <c r="AE326" s="964"/>
      <c r="AF326" s="964"/>
      <c r="AG326" s="964"/>
      <c r="AH326" s="61">
        <f t="shared" ref="AH326:AH331" si="165">AC326*(1+$AH$9)</f>
        <v>0</v>
      </c>
      <c r="AJ326" s="964"/>
      <c r="AK326" s="964"/>
      <c r="AL326" s="964"/>
      <c r="AM326" s="61">
        <f t="shared" ref="AM326" si="166">AH326*(1+$AH$9)</f>
        <v>0</v>
      </c>
      <c r="AO326" s="964"/>
      <c r="AP326" s="964"/>
      <c r="AQ326" s="964"/>
      <c r="AR326" s="61">
        <f t="shared" ref="AR326" si="167">AM326*(1+$AH$9)</f>
        <v>0</v>
      </c>
      <c r="AT326" s="964"/>
      <c r="AU326" s="964"/>
      <c r="AV326" s="964"/>
      <c r="AW326" s="61">
        <f t="shared" ref="AW326" si="168">AR326*(1+$AH$9)</f>
        <v>0</v>
      </c>
      <c r="AY326" s="964"/>
      <c r="AZ326" s="964"/>
      <c r="BA326" s="964"/>
      <c r="BB326" s="61">
        <f t="shared" ref="BB326" si="169">AW326*(1+$AH$9)</f>
        <v>0</v>
      </c>
      <c r="BD326" s="964"/>
      <c r="BE326" s="964"/>
      <c r="BF326" s="61"/>
      <c r="BG326" s="61"/>
      <c r="BH326" s="61"/>
      <c r="BI326" s="506"/>
      <c r="BJ326" s="506"/>
      <c r="BK326" s="506"/>
      <c r="BL326" s="506"/>
      <c r="BM326" s="506"/>
      <c r="BN326" s="506"/>
      <c r="BO326" s="506"/>
      <c r="BP326" s="506"/>
    </row>
    <row r="327" spans="4:68">
      <c r="D327" t="s">
        <v>1434</v>
      </c>
      <c r="E327" s="186" t="s">
        <v>1381</v>
      </c>
      <c r="G327" s="62"/>
      <c r="H327" s="62"/>
      <c r="I327" s="62"/>
      <c r="J327" s="62"/>
      <c r="K327" s="62"/>
      <c r="L327" s="62"/>
      <c r="M327" s="61"/>
      <c r="N327" s="62"/>
      <c r="O327" s="61"/>
      <c r="P327" s="62"/>
      <c r="Q327" s="61"/>
      <c r="R327" s="62"/>
      <c r="S327" s="936"/>
      <c r="T327" s="61"/>
      <c r="V327" s="968"/>
      <c r="W327" s="968"/>
      <c r="X327" s="186"/>
      <c r="Y327" s="61">
        <v>15500</v>
      </c>
      <c r="Z327" s="61"/>
      <c r="AA327" s="61"/>
      <c r="AB327" s="964"/>
      <c r="AC327" s="61">
        <f>ROUND(SUM(AC323:AC324)*0.012,0)</f>
        <v>7990</v>
      </c>
      <c r="AE327" s="964"/>
      <c r="AF327" s="964"/>
      <c r="AG327" s="964"/>
      <c r="AH327" s="61">
        <f>ROUND(AC327*(1+$AH$9),0)</f>
        <v>8230</v>
      </c>
      <c r="AJ327" s="964"/>
      <c r="AK327" s="964"/>
      <c r="AL327" s="964"/>
      <c r="AM327" s="61">
        <f>ROUND(AH327*(1+$AH$9),0)</f>
        <v>8477</v>
      </c>
      <c r="AO327" s="964"/>
      <c r="AP327" s="964"/>
      <c r="AQ327" s="964"/>
      <c r="AR327" s="61">
        <f>ROUND(AM327*(1+$AH$9),0)</f>
        <v>8731</v>
      </c>
      <c r="AT327" s="964"/>
      <c r="AU327" s="964"/>
      <c r="AV327" s="964"/>
      <c r="AW327" s="61">
        <f>ROUND(AR327*(1+$AH$9),0)</f>
        <v>8993</v>
      </c>
      <c r="AY327" s="964"/>
      <c r="AZ327" s="964"/>
      <c r="BA327" s="964"/>
      <c r="BB327" s="61">
        <f>ROUND(AW327*(1+$AH$9),0)</f>
        <v>9263</v>
      </c>
      <c r="BD327" s="964"/>
      <c r="BE327" s="964"/>
      <c r="BF327" s="61"/>
      <c r="BG327" s="61"/>
      <c r="BH327" s="61"/>
      <c r="BI327" s="506"/>
      <c r="BJ327" s="506"/>
      <c r="BK327" s="506"/>
      <c r="BL327" s="506"/>
      <c r="BM327" s="506"/>
      <c r="BN327" s="506"/>
      <c r="BO327" s="506"/>
      <c r="BP327" s="506"/>
    </row>
    <row r="328" spans="4:68">
      <c r="D328" t="s">
        <v>517</v>
      </c>
      <c r="E328" s="186" t="s">
        <v>518</v>
      </c>
      <c r="G328" s="62"/>
      <c r="H328" s="62"/>
      <c r="I328" s="62"/>
      <c r="J328" s="62"/>
      <c r="K328" s="62"/>
      <c r="L328" s="62"/>
      <c r="M328" s="61"/>
      <c r="N328" s="62"/>
      <c r="O328" s="61"/>
      <c r="P328" s="62"/>
      <c r="Q328" s="61"/>
      <c r="R328" s="62"/>
      <c r="S328" s="936"/>
      <c r="T328" s="61"/>
      <c r="V328" s="968"/>
      <c r="W328" s="968"/>
      <c r="X328" s="186"/>
      <c r="Y328" s="61">
        <v>91617</v>
      </c>
      <c r="Z328" s="61"/>
      <c r="AA328" s="61"/>
      <c r="AB328" s="964"/>
      <c r="AC328" s="61">
        <f>ROUND((AC323*AC16)+(AC324*AC17)+(AC325*AC16),0)</f>
        <v>98309</v>
      </c>
      <c r="AE328" s="964"/>
      <c r="AF328" s="964"/>
      <c r="AG328" s="964"/>
      <c r="AH328" s="61">
        <f>ROUND((AH323*AH16)+(AH324*AH17)+(AH325*AH16),0)</f>
        <v>124745</v>
      </c>
      <c r="AJ328" s="964"/>
      <c r="AK328" s="964"/>
      <c r="AL328" s="964"/>
      <c r="AM328" s="61">
        <f>ROUND((AM323*AM16)+(AM324*AM17)+(AM325*AM16),0)</f>
        <v>151923</v>
      </c>
      <c r="AO328" s="964"/>
      <c r="AP328" s="964"/>
      <c r="AQ328" s="964"/>
      <c r="AR328" s="61">
        <f>ROUND((AR323*AR16)+(AR324*AR17)+(AR325*AR16),0)</f>
        <v>159836</v>
      </c>
      <c r="AT328" s="964"/>
      <c r="AU328" s="964"/>
      <c r="AV328" s="964"/>
      <c r="AW328" s="61">
        <f>ROUND((AW323*AW16)+(AW324*AW17)+(AW325*AW16),0)</f>
        <v>168205</v>
      </c>
      <c r="AY328" s="964"/>
      <c r="AZ328" s="964"/>
      <c r="BA328" s="964"/>
      <c r="BB328" s="61">
        <f>ROUND((BB323*BB16)+(BB324*BB17)+(BB325*BB16),0)</f>
        <v>176520</v>
      </c>
      <c r="BD328" s="964"/>
      <c r="BE328" s="964"/>
      <c r="BF328" s="61"/>
      <c r="BG328" s="61"/>
      <c r="BH328" s="61"/>
      <c r="BI328" s="506"/>
      <c r="BJ328" s="506"/>
      <c r="BK328" s="506"/>
      <c r="BL328" s="506"/>
      <c r="BM328" s="506"/>
      <c r="BN328" s="506"/>
      <c r="BO328" s="506"/>
      <c r="BP328" s="506"/>
    </row>
    <row r="329" spans="4:68">
      <c r="D329" t="s">
        <v>519</v>
      </c>
      <c r="E329" s="186" t="s">
        <v>520</v>
      </c>
      <c r="G329" s="62"/>
      <c r="H329" s="62"/>
      <c r="I329" s="62"/>
      <c r="J329" s="62"/>
      <c r="K329" s="62"/>
      <c r="L329" s="62"/>
      <c r="M329" s="61"/>
      <c r="N329" s="62"/>
      <c r="O329" s="61"/>
      <c r="P329" s="62"/>
      <c r="Q329" s="61"/>
      <c r="R329" s="62"/>
      <c r="S329" s="936"/>
      <c r="T329" s="61"/>
      <c r="V329" s="968"/>
      <c r="W329" s="968"/>
      <c r="X329" s="186"/>
      <c r="Y329" s="61">
        <v>55700</v>
      </c>
      <c r="Z329" s="61"/>
      <c r="AA329" s="61"/>
      <c r="AB329" s="964"/>
      <c r="AC329" s="61" cm="1">
        <f t="array" ref="AC329">ROUND(SUM(AC323:AC325*0.0765),0)</f>
        <v>56396</v>
      </c>
      <c r="AE329" s="964"/>
      <c r="AF329" s="964"/>
      <c r="AG329" s="964"/>
      <c r="AH329" s="61" cm="1">
        <f t="array" ref="AH329">ROUND(SUM(AH323:AH325*0.0765),0)</f>
        <v>64628</v>
      </c>
      <c r="AJ329" s="964"/>
      <c r="AK329" s="964"/>
      <c r="AL329" s="964"/>
      <c r="AM329" s="61" cm="1">
        <f t="array" ref="AM329">ROUND(SUM(AM323:AM325*0.0765),0)</f>
        <v>67920</v>
      </c>
      <c r="AO329" s="964"/>
      <c r="AP329" s="964"/>
      <c r="AQ329" s="964"/>
      <c r="AR329" s="61" cm="1">
        <f t="array" ref="AR329">ROUND(SUM(AR323:AR325*0.0765),0)</f>
        <v>71434</v>
      </c>
      <c r="AT329" s="964"/>
      <c r="AU329" s="964"/>
      <c r="AV329" s="964"/>
      <c r="AW329" s="61" cm="1">
        <f t="array" ref="AW329">ROUND(SUM(AW323:AW325*0.0765),0)</f>
        <v>75151</v>
      </c>
      <c r="AY329" s="964"/>
      <c r="AZ329" s="964"/>
      <c r="BA329" s="964"/>
      <c r="BB329" s="61" cm="1">
        <f t="array" ref="BB329">ROUND(SUM(BB323:BB325*0.0765),0)</f>
        <v>78844</v>
      </c>
      <c r="BD329" s="964"/>
      <c r="BE329" s="964"/>
      <c r="BF329" s="61"/>
      <c r="BG329" s="61"/>
      <c r="BH329" s="61"/>
      <c r="BI329" s="506"/>
      <c r="BJ329" s="506"/>
      <c r="BK329" s="506"/>
      <c r="BL329" s="506"/>
      <c r="BM329" s="506"/>
      <c r="BN329" s="506"/>
      <c r="BO329" s="506"/>
      <c r="BP329" s="506"/>
    </row>
    <row r="330" spans="4:68">
      <c r="D330" t="s">
        <v>521</v>
      </c>
      <c r="E330" s="186" t="s">
        <v>522</v>
      </c>
      <c r="G330" s="62"/>
      <c r="H330" s="62"/>
      <c r="I330" s="62"/>
      <c r="J330" s="62"/>
      <c r="K330" s="62"/>
      <c r="L330" s="62"/>
      <c r="M330" s="61"/>
      <c r="N330" s="62"/>
      <c r="O330" s="61"/>
      <c r="P330" s="62"/>
      <c r="Q330" s="61"/>
      <c r="R330" s="62"/>
      <c r="S330" s="936"/>
      <c r="T330" s="61"/>
      <c r="V330" s="968"/>
      <c r="W330" s="968"/>
      <c r="X330" s="186"/>
      <c r="Y330" s="61">
        <v>105000</v>
      </c>
      <c r="Z330" s="61"/>
      <c r="AA330" s="61"/>
      <c r="AB330" s="964"/>
      <c r="AC330" s="61">
        <f>ROUND((SUM(AC323:AC325)*0.0789)*1.1,0)+1</f>
        <v>63983</v>
      </c>
      <c r="AD330" s="1063" t="s">
        <v>1438</v>
      </c>
      <c r="AE330" s="969"/>
      <c r="AF330" s="964"/>
      <c r="AG330" s="964"/>
      <c r="AH330" s="61">
        <f>ROUND((SUM(AH323:AH325)*0.0789)*1.1,0)+1</f>
        <v>73322</v>
      </c>
      <c r="AJ330" s="964"/>
      <c r="AK330" s="964"/>
      <c r="AL330" s="964"/>
      <c r="AM330" s="61">
        <f>ROUND((SUM(AM323:AM325)*0.0789)*1.1,0)+1</f>
        <v>77057</v>
      </c>
      <c r="AO330" s="964"/>
      <c r="AP330" s="964"/>
      <c r="AQ330" s="964"/>
      <c r="AR330" s="61">
        <f>ROUND((SUM(AR323:AR325)*0.0789)*1.1,0)+1</f>
        <v>81044</v>
      </c>
      <c r="AT330" s="964"/>
      <c r="AU330" s="964"/>
      <c r="AV330" s="964"/>
      <c r="AW330" s="61">
        <f>ROUND((SUM(AW323:AW325)*0.0789)*1.1,0)+1</f>
        <v>85260</v>
      </c>
      <c r="AY330" s="964"/>
      <c r="AZ330" s="964"/>
      <c r="BA330" s="964"/>
      <c r="BB330" s="61">
        <f>ROUND((SUM(BB323:BB325)*0.0789)*1.1,0)+1</f>
        <v>89450</v>
      </c>
      <c r="BD330" s="964"/>
      <c r="BE330" s="964"/>
      <c r="BF330" s="61"/>
      <c r="BG330" s="61"/>
      <c r="BH330" s="61"/>
      <c r="BI330" s="506"/>
      <c r="BJ330" s="506"/>
      <c r="BK330" s="506"/>
      <c r="BL330" s="506"/>
      <c r="BM330" s="506"/>
      <c r="BN330" s="506"/>
      <c r="BO330" s="506"/>
      <c r="BP330" s="506"/>
    </row>
    <row r="331" spans="4:68">
      <c r="D331" t="s">
        <v>523</v>
      </c>
      <c r="E331" s="186" t="s">
        <v>1374</v>
      </c>
      <c r="G331" s="62"/>
      <c r="H331" s="62"/>
      <c r="I331" s="62"/>
      <c r="J331" s="62"/>
      <c r="K331" s="62"/>
      <c r="L331" s="62"/>
      <c r="M331" s="61"/>
      <c r="N331" s="62"/>
      <c r="O331" s="61"/>
      <c r="P331" s="62"/>
      <c r="Q331" s="61"/>
      <c r="R331" s="62"/>
      <c r="S331" s="936"/>
      <c r="T331" s="61"/>
      <c r="V331" s="968"/>
      <c r="W331" s="968"/>
      <c r="X331" s="186"/>
      <c r="Y331" s="61">
        <v>225</v>
      </c>
      <c r="Z331" s="61"/>
      <c r="AA331" s="61"/>
      <c r="AB331" s="964"/>
      <c r="AC331" s="61">
        <v>0</v>
      </c>
      <c r="AE331" s="964"/>
      <c r="AF331" s="964"/>
      <c r="AG331" s="964"/>
      <c r="AH331" s="61">
        <f t="shared" si="165"/>
        <v>0</v>
      </c>
      <c r="AJ331" s="964"/>
      <c r="AK331" s="964"/>
      <c r="AL331" s="964"/>
      <c r="AM331" s="61">
        <f t="shared" ref="AM331" si="170">AH331*(1+$AH$9)</f>
        <v>0</v>
      </c>
      <c r="AO331" s="964"/>
      <c r="AP331" s="964"/>
      <c r="AQ331" s="964"/>
      <c r="AR331" s="61">
        <f t="shared" ref="AR331" si="171">AM331*(1+$AH$9)</f>
        <v>0</v>
      </c>
      <c r="AT331" s="964"/>
      <c r="AU331" s="964"/>
      <c r="AV331" s="964"/>
      <c r="AW331" s="61">
        <f t="shared" ref="AW331" si="172">AR331*(1+$AH$9)</f>
        <v>0</v>
      </c>
      <c r="AY331" s="964"/>
      <c r="AZ331" s="964"/>
      <c r="BA331" s="964"/>
      <c r="BB331" s="61">
        <f t="shared" ref="BB331" si="173">AW331*(1+$AH$9)</f>
        <v>0</v>
      </c>
      <c r="BD331" s="964"/>
      <c r="BE331" s="964"/>
      <c r="BF331" s="61"/>
      <c r="BG331" s="61"/>
      <c r="BH331" s="61"/>
      <c r="BI331" s="506"/>
      <c r="BJ331" s="506"/>
      <c r="BK331" s="506"/>
      <c r="BL331" s="506"/>
      <c r="BM331" s="506"/>
      <c r="BN331" s="506"/>
      <c r="BO331" s="506"/>
      <c r="BP331" s="506"/>
    </row>
    <row r="332" spans="4:68">
      <c r="D332" t="s">
        <v>1376</v>
      </c>
      <c r="E332" s="186" t="s">
        <v>1375</v>
      </c>
      <c r="G332" s="62"/>
      <c r="H332" s="62"/>
      <c r="I332" s="62"/>
      <c r="J332" s="62"/>
      <c r="K332" s="62"/>
      <c r="L332" s="62"/>
      <c r="M332" s="61"/>
      <c r="N332" s="62"/>
      <c r="O332" s="61"/>
      <c r="P332" s="62"/>
      <c r="Q332" s="61"/>
      <c r="R332" s="62"/>
      <c r="S332" s="936"/>
      <c r="T332" s="61"/>
      <c r="V332" s="968"/>
      <c r="W332" s="968"/>
      <c r="X332" s="186"/>
      <c r="Y332" s="61">
        <v>15000</v>
      </c>
      <c r="Z332" s="61"/>
      <c r="AA332" s="61"/>
      <c r="AB332" s="964"/>
      <c r="AC332" s="660">
        <v>5000</v>
      </c>
      <c r="AE332" s="964"/>
      <c r="AF332" s="964"/>
      <c r="AG332" s="964"/>
      <c r="AH332" s="61">
        <v>10000</v>
      </c>
      <c r="AJ332" s="964"/>
      <c r="AK332" s="964"/>
      <c r="AL332" s="964"/>
      <c r="AM332" s="61">
        <f>ROUND(AH332*(1+$AH$9),0)</f>
        <v>10300</v>
      </c>
      <c r="AO332" s="964"/>
      <c r="AP332" s="964"/>
      <c r="AQ332" s="964"/>
      <c r="AR332" s="61">
        <f>ROUND(AM332*(1+$AH$9),0)</f>
        <v>10609</v>
      </c>
      <c r="AT332" s="964"/>
      <c r="AU332" s="964"/>
      <c r="AV332" s="964"/>
      <c r="AW332" s="61">
        <f>ROUND(AR332*(1+$AH$9),0)</f>
        <v>10927</v>
      </c>
      <c r="AY332" s="964"/>
      <c r="AZ332" s="964"/>
      <c r="BA332" s="964"/>
      <c r="BB332" s="61">
        <f>ROUND(AW332*(1+$AH$9),0)</f>
        <v>11255</v>
      </c>
      <c r="BD332" s="964"/>
      <c r="BE332" s="964"/>
      <c r="BF332" s="61"/>
      <c r="BG332" s="61"/>
      <c r="BH332" s="61"/>
      <c r="BI332" s="506"/>
      <c r="BJ332" s="506"/>
      <c r="BK332" s="506"/>
      <c r="BL332" s="506"/>
      <c r="BM332" s="506"/>
      <c r="BN332" s="506"/>
      <c r="BO332" s="506"/>
      <c r="BP332" s="506"/>
    </row>
    <row r="333" spans="4:68">
      <c r="D333" t="s">
        <v>1377</v>
      </c>
      <c r="E333" s="186" t="s">
        <v>1378</v>
      </c>
      <c r="G333" s="62"/>
      <c r="H333" s="62"/>
      <c r="I333" s="62"/>
      <c r="J333" s="62"/>
      <c r="K333" s="62"/>
      <c r="L333" s="62"/>
      <c r="M333" s="61"/>
      <c r="N333" s="62"/>
      <c r="O333" s="61"/>
      <c r="P333" s="62"/>
      <c r="Q333" s="61"/>
      <c r="R333" s="62"/>
      <c r="S333" s="936"/>
      <c r="T333" s="61"/>
      <c r="V333" s="968"/>
      <c r="W333" s="968"/>
      <c r="X333" s="186"/>
      <c r="Y333" s="61">
        <v>1500</v>
      </c>
      <c r="Z333" s="61"/>
      <c r="AA333" s="61"/>
      <c r="AB333" s="964"/>
      <c r="AC333" s="660">
        <v>5000</v>
      </c>
      <c r="AE333" s="964"/>
      <c r="AF333" s="964"/>
      <c r="AG333" s="964"/>
      <c r="AH333" s="61">
        <v>10000</v>
      </c>
      <c r="AJ333" s="964"/>
      <c r="AK333" s="964"/>
      <c r="AL333" s="964"/>
      <c r="AM333" s="61">
        <f>ROUND(AH333*(1+$AH$9),0)</f>
        <v>10300</v>
      </c>
      <c r="AO333" s="964"/>
      <c r="AP333" s="964"/>
      <c r="AQ333" s="964"/>
      <c r="AR333" s="61">
        <f>ROUND(AM333*(1+$AH$9),0)</f>
        <v>10609</v>
      </c>
      <c r="AT333" s="964"/>
      <c r="AU333" s="964"/>
      <c r="AV333" s="964"/>
      <c r="AW333" s="61">
        <f>ROUND(AR333*(1+$AH$9),0)</f>
        <v>10927</v>
      </c>
      <c r="AY333" s="964"/>
      <c r="AZ333" s="964"/>
      <c r="BA333" s="964"/>
      <c r="BB333" s="61">
        <f>ROUND(AW333*(1+$AH$9),0)</f>
        <v>11255</v>
      </c>
      <c r="BD333" s="964"/>
      <c r="BE333" s="964"/>
      <c r="BF333" s="61"/>
      <c r="BG333" s="61"/>
      <c r="BH333" s="61"/>
      <c r="BI333" s="506"/>
      <c r="BJ333" s="506"/>
      <c r="BK333" s="506"/>
      <c r="BL333" s="506"/>
      <c r="BM333" s="506"/>
      <c r="BN333" s="506"/>
      <c r="BO333" s="506"/>
      <c r="BP333" s="506"/>
    </row>
    <row r="334" spans="4:68">
      <c r="D334" t="s">
        <v>1383</v>
      </c>
      <c r="E334" s="186" t="s">
        <v>1384</v>
      </c>
      <c r="G334" s="62"/>
      <c r="H334" s="62"/>
      <c r="I334" s="62"/>
      <c r="J334" s="62"/>
      <c r="K334" s="62"/>
      <c r="L334" s="62"/>
      <c r="M334" s="61"/>
      <c r="N334" s="62"/>
      <c r="O334" s="61"/>
      <c r="P334" s="62"/>
      <c r="Q334" s="61"/>
      <c r="R334" s="62"/>
      <c r="S334" s="936"/>
      <c r="T334" s="61"/>
      <c r="V334" s="968"/>
      <c r="W334" s="968"/>
      <c r="X334" s="186"/>
      <c r="Y334" s="61"/>
      <c r="Z334" s="61"/>
      <c r="AA334" s="61"/>
      <c r="AB334" s="964"/>
      <c r="AC334" s="61">
        <v>0</v>
      </c>
      <c r="AD334"/>
      <c r="AE334" s="964"/>
      <c r="AF334" s="964"/>
      <c r="AG334" s="964"/>
      <c r="AH334" s="61">
        <v>0</v>
      </c>
      <c r="AJ334" s="964"/>
      <c r="AK334" s="964"/>
      <c r="AL334" s="964"/>
      <c r="AM334" s="61">
        <v>0</v>
      </c>
      <c r="AO334" s="964"/>
      <c r="AP334" s="964"/>
      <c r="AQ334" s="964"/>
      <c r="AR334" s="61">
        <v>0</v>
      </c>
      <c r="AT334" s="964"/>
      <c r="AU334" s="964"/>
      <c r="AV334" s="964"/>
      <c r="AW334" s="61">
        <v>0</v>
      </c>
      <c r="AY334" s="964"/>
      <c r="AZ334" s="964"/>
      <c r="BA334" s="964"/>
      <c r="BB334" s="61">
        <v>0</v>
      </c>
      <c r="BD334" s="964"/>
      <c r="BE334" s="964"/>
      <c r="BF334" s="61"/>
      <c r="BG334" s="61"/>
      <c r="BH334" s="61"/>
      <c r="BI334" s="506"/>
      <c r="BJ334" s="506"/>
      <c r="BK334" s="506"/>
      <c r="BL334" s="506"/>
      <c r="BM334" s="506"/>
      <c r="BN334" s="506"/>
      <c r="BO334" s="506"/>
      <c r="BP334" s="506"/>
    </row>
    <row r="335" spans="4:68">
      <c r="D335" t="s">
        <v>1379</v>
      </c>
      <c r="E335" s="186" t="s">
        <v>1380</v>
      </c>
      <c r="G335" s="62"/>
      <c r="H335" s="62"/>
      <c r="I335" s="62"/>
      <c r="J335" s="62"/>
      <c r="K335" s="62"/>
      <c r="L335" s="62"/>
      <c r="M335" s="61"/>
      <c r="N335" s="62"/>
      <c r="O335" s="61"/>
      <c r="P335" s="62"/>
      <c r="Q335" s="61"/>
      <c r="R335" s="62"/>
      <c r="S335" s="936"/>
      <c r="T335" s="61"/>
      <c r="V335" s="968"/>
      <c r="W335" s="968"/>
      <c r="X335" s="186"/>
      <c r="Y335" s="61"/>
      <c r="Z335" s="61"/>
      <c r="AA335" s="61"/>
      <c r="AB335" s="964"/>
      <c r="AC335" s="61">
        <v>0</v>
      </c>
      <c r="AD335"/>
      <c r="AE335" s="964"/>
      <c r="AF335" s="964"/>
      <c r="AG335" s="964"/>
      <c r="AH335" s="61">
        <v>0</v>
      </c>
      <c r="AJ335" s="964"/>
      <c r="AK335" s="964"/>
      <c r="AL335" s="964"/>
      <c r="AM335" s="61">
        <v>0</v>
      </c>
      <c r="AO335" s="964"/>
      <c r="AP335" s="964"/>
      <c r="AQ335" s="964"/>
      <c r="AR335" s="61">
        <v>0</v>
      </c>
      <c r="AT335" s="964"/>
      <c r="AU335" s="964"/>
      <c r="AV335" s="964"/>
      <c r="AW335" s="61">
        <v>0</v>
      </c>
      <c r="AY335" s="964"/>
      <c r="AZ335" s="964"/>
      <c r="BA335" s="964"/>
      <c r="BB335" s="61">
        <v>0</v>
      </c>
      <c r="BD335" s="964"/>
      <c r="BE335" s="964"/>
      <c r="BF335" s="61"/>
      <c r="BG335" s="61"/>
      <c r="BH335" s="61"/>
      <c r="BI335" s="506"/>
      <c r="BJ335" s="506"/>
      <c r="BK335" s="506"/>
      <c r="BL335" s="506"/>
      <c r="BM335" s="506"/>
      <c r="BN335" s="506"/>
      <c r="BO335" s="506"/>
      <c r="BP335" s="506"/>
    </row>
    <row r="336" spans="4:68">
      <c r="E336" s="186" t="s">
        <v>524</v>
      </c>
      <c r="G336" s="62"/>
      <c r="H336" s="62"/>
      <c r="I336" s="62"/>
      <c r="J336" s="62"/>
      <c r="K336" s="62"/>
      <c r="L336" s="62"/>
      <c r="M336" s="534">
        <f>SUM(M323:M335)</f>
        <v>0</v>
      </c>
      <c r="N336" s="62"/>
      <c r="O336" s="534">
        <f>SUM(O323:O335)</f>
        <v>0</v>
      </c>
      <c r="P336" s="62"/>
      <c r="Q336" s="534">
        <f>SUM(Q323:Q335)</f>
        <v>0</v>
      </c>
      <c r="R336" s="62"/>
      <c r="S336" s="936"/>
      <c r="T336" s="534">
        <f>SUM(T323:T335)</f>
        <v>0</v>
      </c>
      <c r="U336" s="1071"/>
      <c r="V336" s="968"/>
      <c r="W336" s="968"/>
      <c r="X336" s="186"/>
      <c r="Y336" s="534">
        <f>SUM(Y323:Y335)</f>
        <v>1065711</v>
      </c>
      <c r="Z336" s="61"/>
      <c r="AA336" s="61"/>
      <c r="AB336" s="964"/>
      <c r="AC336" s="534">
        <f>SUM(AC323:AC335)</f>
        <v>973887</v>
      </c>
      <c r="AD336" s="1071"/>
      <c r="AE336" s="964"/>
      <c r="AF336" s="964"/>
      <c r="AG336" s="964"/>
      <c r="AH336" s="534">
        <f>SUM(AH323:AH335)</f>
        <v>1135737.54</v>
      </c>
      <c r="AI336" s="1071"/>
      <c r="AJ336" s="964"/>
      <c r="AK336" s="964"/>
      <c r="AL336" s="964"/>
      <c r="AM336" s="534">
        <f>SUM(AM323:AM335)</f>
        <v>1213817.3761999998</v>
      </c>
      <c r="AN336" s="1071"/>
      <c r="AO336" s="964"/>
      <c r="AP336" s="964"/>
      <c r="AQ336" s="964"/>
      <c r="AR336" s="534">
        <f>SUM(AR323:AR335)</f>
        <v>1276046.7274859999</v>
      </c>
      <c r="AS336" s="1071"/>
      <c r="AT336" s="964"/>
      <c r="AU336" s="964"/>
      <c r="AV336" s="964"/>
      <c r="AW336" s="534">
        <f>SUM(AW323:AW335)</f>
        <v>1341823.90931058</v>
      </c>
      <c r="AX336" s="1071"/>
      <c r="AY336" s="964"/>
      <c r="AZ336" s="964"/>
      <c r="BA336" s="964"/>
      <c r="BB336" s="534">
        <f>SUM(BB323:BB335)</f>
        <v>1407225.3365898975</v>
      </c>
      <c r="BC336" s="1071"/>
      <c r="BD336" s="964"/>
      <c r="BE336" s="964"/>
      <c r="BF336" s="61"/>
      <c r="BG336" s="61"/>
      <c r="BH336" s="61"/>
      <c r="BI336" s="506"/>
      <c r="BJ336" s="506"/>
      <c r="BK336" s="506"/>
      <c r="BL336" s="506"/>
      <c r="BM336" s="506"/>
      <c r="BN336" s="506"/>
      <c r="BO336" s="506"/>
      <c r="BP336" s="506"/>
    </row>
    <row r="337" spans="4:68">
      <c r="E337" s="186"/>
      <c r="G337" s="62"/>
      <c r="H337" s="62"/>
      <c r="I337" s="62"/>
      <c r="J337" s="62"/>
      <c r="K337" s="62"/>
      <c r="L337" s="62"/>
      <c r="M337" s="533"/>
      <c r="N337" s="62"/>
      <c r="O337" s="533"/>
      <c r="P337" s="62"/>
      <c r="Q337" s="533"/>
      <c r="R337" s="62"/>
      <c r="S337" s="936"/>
      <c r="T337" s="533"/>
      <c r="U337" s="1071"/>
      <c r="V337" s="968"/>
      <c r="W337" s="968"/>
      <c r="X337" s="186"/>
      <c r="Y337" s="533"/>
      <c r="Z337" s="61"/>
      <c r="AA337" s="61"/>
      <c r="AB337" s="964"/>
      <c r="AC337" s="533"/>
      <c r="AD337" s="1071"/>
      <c r="AE337" s="964"/>
      <c r="AF337" s="964"/>
      <c r="AG337" s="964"/>
      <c r="AH337" s="533"/>
      <c r="AI337" s="1071"/>
      <c r="AJ337" s="964"/>
      <c r="AK337" s="964"/>
      <c r="AL337" s="964"/>
      <c r="AM337" s="533"/>
      <c r="AN337" s="1071"/>
      <c r="AO337" s="964"/>
      <c r="AP337" s="964"/>
      <c r="AQ337" s="964"/>
      <c r="AR337" s="533"/>
      <c r="AS337" s="1071"/>
      <c r="AT337" s="964"/>
      <c r="AU337" s="964"/>
      <c r="AV337" s="964"/>
      <c r="AW337" s="533"/>
      <c r="AX337" s="1071"/>
      <c r="AY337" s="964"/>
      <c r="AZ337" s="964"/>
      <c r="BA337" s="964"/>
      <c r="BB337" s="533"/>
      <c r="BC337" s="1071"/>
      <c r="BD337" s="964"/>
      <c r="BE337" s="964"/>
      <c r="BF337" s="61"/>
      <c r="BG337" s="61"/>
      <c r="BH337" s="61"/>
      <c r="BI337" s="506"/>
      <c r="BJ337" s="506"/>
      <c r="BK337" s="506"/>
      <c r="BL337" s="506"/>
      <c r="BM337" s="506"/>
      <c r="BN337" s="506"/>
      <c r="BO337" s="506"/>
      <c r="BP337" s="506"/>
    </row>
    <row r="338" spans="4:68">
      <c r="D338" t="s">
        <v>525</v>
      </c>
      <c r="E338" s="186" t="s">
        <v>526</v>
      </c>
      <c r="G338" s="62"/>
      <c r="H338" s="62"/>
      <c r="I338" s="62"/>
      <c r="J338" s="62"/>
      <c r="K338" s="62"/>
      <c r="L338" s="62"/>
      <c r="M338" s="61"/>
      <c r="N338" s="62"/>
      <c r="O338" s="61"/>
      <c r="P338" s="62"/>
      <c r="Q338" s="61"/>
      <c r="R338" s="62"/>
      <c r="S338" s="936"/>
      <c r="T338" s="61"/>
      <c r="V338" s="968"/>
      <c r="W338" s="968"/>
      <c r="X338" s="186"/>
      <c r="Y338" s="61"/>
      <c r="Z338" s="61"/>
      <c r="AA338" s="61"/>
      <c r="AB338" s="964"/>
      <c r="AC338" s="61">
        <v>0</v>
      </c>
      <c r="AE338" s="964"/>
      <c r="AF338" s="964"/>
      <c r="AG338" s="964"/>
      <c r="AH338" s="61">
        <f t="shared" ref="AH338:AH347" si="174">AC338*(1+$AH$9)</f>
        <v>0</v>
      </c>
      <c r="AJ338" s="964"/>
      <c r="AK338" s="964"/>
      <c r="AL338" s="964"/>
      <c r="AM338" s="61">
        <f t="shared" ref="AM338:AM347" si="175">AH338*(1+$AH$9)</f>
        <v>0</v>
      </c>
      <c r="AO338" s="964"/>
      <c r="AP338" s="964"/>
      <c r="AQ338" s="964"/>
      <c r="AR338" s="61">
        <f t="shared" ref="AR338:AR347" si="176">AM338*(1+$AH$9)</f>
        <v>0</v>
      </c>
      <c r="AT338" s="964"/>
      <c r="AU338" s="964"/>
      <c r="AV338" s="964"/>
      <c r="AW338" s="61">
        <f t="shared" ref="AW338:AW347" si="177">AR338*(1+$AH$9)</f>
        <v>0</v>
      </c>
      <c r="AY338" s="964"/>
      <c r="AZ338" s="964"/>
      <c r="BA338" s="964"/>
      <c r="BB338" s="61">
        <f t="shared" ref="BB338:BB347" si="178">AW338*(1+$AH$9)</f>
        <v>0</v>
      </c>
      <c r="BD338" s="964"/>
      <c r="BE338" s="964"/>
      <c r="BF338" s="61"/>
      <c r="BG338" s="61"/>
      <c r="BH338" s="61"/>
      <c r="BI338" s="506"/>
      <c r="BJ338" s="506"/>
      <c r="BK338" s="506"/>
      <c r="BL338" s="506"/>
      <c r="BM338" s="506"/>
      <c r="BN338" s="506"/>
      <c r="BO338" s="506"/>
      <c r="BP338" s="506"/>
    </row>
    <row r="339" spans="4:68">
      <c r="D339" t="s">
        <v>527</v>
      </c>
      <c r="E339" s="186" t="s">
        <v>528</v>
      </c>
      <c r="G339" s="62"/>
      <c r="H339" s="62"/>
      <c r="I339" s="62"/>
      <c r="J339" s="62"/>
      <c r="K339" s="62"/>
      <c r="L339" s="62"/>
      <c r="M339" s="61"/>
      <c r="N339" s="62"/>
      <c r="O339" s="61"/>
      <c r="P339" s="62"/>
      <c r="Q339" s="61"/>
      <c r="R339" s="62"/>
      <c r="S339" s="936"/>
      <c r="T339" s="61"/>
      <c r="V339" s="968"/>
      <c r="W339" s="968"/>
      <c r="X339" s="186"/>
      <c r="Y339" s="61"/>
      <c r="Z339" s="61"/>
      <c r="AA339" s="61"/>
      <c r="AB339" s="964"/>
      <c r="AC339" s="61">
        <v>0</v>
      </c>
      <c r="AE339" s="964"/>
      <c r="AF339" s="964"/>
      <c r="AG339" s="964"/>
      <c r="AH339" s="61">
        <f t="shared" si="174"/>
        <v>0</v>
      </c>
      <c r="AJ339" s="964"/>
      <c r="AK339" s="964"/>
      <c r="AL339" s="964"/>
      <c r="AM339" s="61">
        <f t="shared" si="175"/>
        <v>0</v>
      </c>
      <c r="AO339" s="964"/>
      <c r="AP339" s="964"/>
      <c r="AQ339" s="964"/>
      <c r="AR339" s="61">
        <f t="shared" si="176"/>
        <v>0</v>
      </c>
      <c r="AT339" s="964"/>
      <c r="AU339" s="964"/>
      <c r="AV339" s="964"/>
      <c r="AW339" s="61">
        <f t="shared" si="177"/>
        <v>0</v>
      </c>
      <c r="AY339" s="964"/>
      <c r="AZ339" s="964"/>
      <c r="BA339" s="964"/>
      <c r="BB339" s="61">
        <f t="shared" si="178"/>
        <v>0</v>
      </c>
      <c r="BD339" s="964"/>
      <c r="BE339" s="964"/>
      <c r="BF339" s="61"/>
      <c r="BG339" s="61"/>
      <c r="BH339" s="61"/>
      <c r="BI339" s="506"/>
      <c r="BJ339" s="506"/>
      <c r="BK339" s="506"/>
      <c r="BL339" s="506"/>
      <c r="BM339" s="506"/>
      <c r="BN339" s="506"/>
      <c r="BO339" s="506"/>
      <c r="BP339" s="506"/>
    </row>
    <row r="340" spans="4:68">
      <c r="D340" t="s">
        <v>529</v>
      </c>
      <c r="E340" s="186" t="s">
        <v>530</v>
      </c>
      <c r="G340" s="62"/>
      <c r="H340" s="62"/>
      <c r="I340" s="62"/>
      <c r="J340" s="62"/>
      <c r="K340" s="62"/>
      <c r="L340" s="62"/>
      <c r="M340" s="61"/>
      <c r="N340" s="62"/>
      <c r="O340" s="61"/>
      <c r="P340" s="62"/>
      <c r="Q340" s="61"/>
      <c r="R340" s="62"/>
      <c r="S340" s="936"/>
      <c r="T340" s="61"/>
      <c r="V340" s="968"/>
      <c r="W340" s="968"/>
      <c r="X340" s="186"/>
      <c r="Y340" s="61"/>
      <c r="Z340" s="61"/>
      <c r="AA340" s="61"/>
      <c r="AB340" s="964"/>
      <c r="AC340" s="61">
        <v>0</v>
      </c>
      <c r="AE340" s="964"/>
      <c r="AF340" s="964"/>
      <c r="AG340" s="964"/>
      <c r="AH340" s="61">
        <f t="shared" si="174"/>
        <v>0</v>
      </c>
      <c r="AJ340" s="964"/>
      <c r="AK340" s="964"/>
      <c r="AL340" s="964"/>
      <c r="AM340" s="61">
        <f t="shared" si="175"/>
        <v>0</v>
      </c>
      <c r="AO340" s="964"/>
      <c r="AP340" s="964"/>
      <c r="AQ340" s="964"/>
      <c r="AR340" s="61">
        <f t="shared" si="176"/>
        <v>0</v>
      </c>
      <c r="AT340" s="964"/>
      <c r="AU340" s="964"/>
      <c r="AV340" s="964"/>
      <c r="AW340" s="61">
        <f t="shared" si="177"/>
        <v>0</v>
      </c>
      <c r="AY340" s="964"/>
      <c r="AZ340" s="964"/>
      <c r="BA340" s="964"/>
      <c r="BB340" s="61">
        <f t="shared" si="178"/>
        <v>0</v>
      </c>
      <c r="BD340" s="964"/>
      <c r="BE340" s="964"/>
      <c r="BF340" s="61"/>
      <c r="BG340" s="61"/>
      <c r="BH340" s="61"/>
      <c r="BI340" s="506"/>
      <c r="BJ340" s="506"/>
      <c r="BK340" s="506"/>
      <c r="BL340" s="506"/>
      <c r="BM340" s="506"/>
      <c r="BN340" s="506"/>
      <c r="BO340" s="506"/>
      <c r="BP340" s="506"/>
    </row>
    <row r="341" spans="4:68">
      <c r="D341" t="s">
        <v>531</v>
      </c>
      <c r="E341" s="186" t="s">
        <v>532</v>
      </c>
      <c r="G341" s="62"/>
      <c r="H341" s="62"/>
      <c r="I341" s="62"/>
      <c r="J341" s="62"/>
      <c r="K341" s="62"/>
      <c r="L341" s="62"/>
      <c r="M341" s="61"/>
      <c r="N341" s="62"/>
      <c r="O341" s="61"/>
      <c r="P341" s="62"/>
      <c r="Q341" s="61"/>
      <c r="R341" s="62"/>
      <c r="S341" s="936"/>
      <c r="T341" s="61"/>
      <c r="V341" s="968"/>
      <c r="W341" s="968"/>
      <c r="X341" s="186"/>
      <c r="Y341" s="61"/>
      <c r="Z341" s="61"/>
      <c r="AA341" s="61"/>
      <c r="AB341" s="964"/>
      <c r="AC341" s="61">
        <v>0</v>
      </c>
      <c r="AE341" s="964"/>
      <c r="AF341" s="964"/>
      <c r="AG341" s="964"/>
      <c r="AH341" s="61">
        <f t="shared" si="174"/>
        <v>0</v>
      </c>
      <c r="AJ341" s="964"/>
      <c r="AK341" s="964"/>
      <c r="AL341" s="964"/>
      <c r="AM341" s="61">
        <f t="shared" si="175"/>
        <v>0</v>
      </c>
      <c r="AO341" s="964"/>
      <c r="AP341" s="964"/>
      <c r="AQ341" s="964"/>
      <c r="AR341" s="61">
        <f t="shared" si="176"/>
        <v>0</v>
      </c>
      <c r="AT341" s="964"/>
      <c r="AU341" s="964"/>
      <c r="AV341" s="964"/>
      <c r="AW341" s="61">
        <f t="shared" si="177"/>
        <v>0</v>
      </c>
      <c r="AY341" s="964"/>
      <c r="AZ341" s="964"/>
      <c r="BA341" s="964"/>
      <c r="BB341" s="61">
        <f t="shared" si="178"/>
        <v>0</v>
      </c>
      <c r="BD341" s="964"/>
      <c r="BE341" s="964"/>
      <c r="BF341" s="61"/>
      <c r="BG341" s="61"/>
      <c r="BH341" s="61"/>
      <c r="BI341" s="506"/>
      <c r="BJ341" s="506"/>
      <c r="BK341" s="506"/>
      <c r="BL341" s="506"/>
      <c r="BM341" s="506"/>
      <c r="BN341" s="506"/>
      <c r="BO341" s="506"/>
      <c r="BP341" s="506"/>
    </row>
    <row r="342" spans="4:68">
      <c r="D342" t="s">
        <v>533</v>
      </c>
      <c r="E342" s="186" t="s">
        <v>534</v>
      </c>
      <c r="G342" s="62"/>
      <c r="H342" s="62"/>
      <c r="I342" s="62"/>
      <c r="J342" s="62"/>
      <c r="K342" s="62"/>
      <c r="L342" s="62"/>
      <c r="M342" s="61"/>
      <c r="N342" s="62"/>
      <c r="O342" s="61"/>
      <c r="P342" s="62"/>
      <c r="Q342" s="61"/>
      <c r="R342" s="62"/>
      <c r="S342" s="936"/>
      <c r="T342" s="61"/>
      <c r="V342" s="968"/>
      <c r="W342" s="968"/>
      <c r="X342" s="186"/>
      <c r="Y342" s="61"/>
      <c r="Z342" s="61"/>
      <c r="AA342" s="61"/>
      <c r="AB342" s="964"/>
      <c r="AC342" s="61">
        <v>0</v>
      </c>
      <c r="AE342" s="964"/>
      <c r="AF342" s="964"/>
      <c r="AG342" s="964"/>
      <c r="AH342" s="61">
        <f t="shared" si="174"/>
        <v>0</v>
      </c>
      <c r="AJ342" s="964"/>
      <c r="AK342" s="964"/>
      <c r="AL342" s="964"/>
      <c r="AM342" s="61">
        <f t="shared" si="175"/>
        <v>0</v>
      </c>
      <c r="AO342" s="964"/>
      <c r="AP342" s="964"/>
      <c r="AQ342" s="964"/>
      <c r="AR342" s="61">
        <f t="shared" si="176"/>
        <v>0</v>
      </c>
      <c r="AT342" s="964"/>
      <c r="AU342" s="964"/>
      <c r="AV342" s="964"/>
      <c r="AW342" s="61">
        <f t="shared" si="177"/>
        <v>0</v>
      </c>
      <c r="AY342" s="964"/>
      <c r="AZ342" s="964"/>
      <c r="BA342" s="964"/>
      <c r="BB342" s="61">
        <f t="shared" si="178"/>
        <v>0</v>
      </c>
      <c r="BD342" s="964"/>
      <c r="BE342" s="964"/>
      <c r="BF342" s="61"/>
      <c r="BG342" s="61"/>
      <c r="BH342" s="61"/>
      <c r="BI342" s="506"/>
      <c r="BJ342" s="506"/>
      <c r="BK342" s="506"/>
      <c r="BL342" s="506"/>
      <c r="BM342" s="506"/>
      <c r="BN342" s="506"/>
      <c r="BO342" s="506"/>
      <c r="BP342" s="506"/>
    </row>
    <row r="343" spans="4:68">
      <c r="D343" t="s">
        <v>535</v>
      </c>
      <c r="E343" s="186" t="s">
        <v>536</v>
      </c>
      <c r="G343" s="62"/>
      <c r="H343" s="62"/>
      <c r="I343" s="62"/>
      <c r="J343" s="62"/>
      <c r="K343" s="62"/>
      <c r="L343" s="62"/>
      <c r="M343" s="61"/>
      <c r="N343" s="62"/>
      <c r="O343" s="61"/>
      <c r="P343" s="62"/>
      <c r="Q343" s="61"/>
      <c r="R343" s="62"/>
      <c r="S343" s="936"/>
      <c r="T343" s="61"/>
      <c r="V343" s="968"/>
      <c r="W343" s="968"/>
      <c r="X343" s="186"/>
      <c r="Y343" s="61"/>
      <c r="Z343" s="61"/>
      <c r="AA343" s="61"/>
      <c r="AB343" s="964"/>
      <c r="AC343" s="61">
        <v>0</v>
      </c>
      <c r="AE343" s="964"/>
      <c r="AF343" s="964"/>
      <c r="AG343" s="964"/>
      <c r="AH343" s="61">
        <f t="shared" si="174"/>
        <v>0</v>
      </c>
      <c r="AJ343" s="964"/>
      <c r="AK343" s="964"/>
      <c r="AL343" s="964"/>
      <c r="AM343" s="61">
        <f t="shared" si="175"/>
        <v>0</v>
      </c>
      <c r="AO343" s="964"/>
      <c r="AP343" s="964"/>
      <c r="AQ343" s="964"/>
      <c r="AR343" s="61">
        <f t="shared" si="176"/>
        <v>0</v>
      </c>
      <c r="AT343" s="964"/>
      <c r="AU343" s="964"/>
      <c r="AV343" s="964"/>
      <c r="AW343" s="61">
        <f t="shared" si="177"/>
        <v>0</v>
      </c>
      <c r="AY343" s="964"/>
      <c r="AZ343" s="964"/>
      <c r="BA343" s="964"/>
      <c r="BB343" s="61">
        <f t="shared" si="178"/>
        <v>0</v>
      </c>
      <c r="BD343" s="964"/>
      <c r="BE343" s="964"/>
      <c r="BF343" s="61"/>
      <c r="BG343" s="61"/>
      <c r="BH343" s="61"/>
      <c r="BI343" s="506"/>
      <c r="BJ343" s="506"/>
      <c r="BK343" s="506"/>
      <c r="BL343" s="506"/>
      <c r="BM343" s="506"/>
      <c r="BN343" s="506"/>
      <c r="BO343" s="506"/>
      <c r="BP343" s="506"/>
    </row>
    <row r="344" spans="4:68">
      <c r="D344" t="s">
        <v>537</v>
      </c>
      <c r="E344" s="186" t="s">
        <v>538</v>
      </c>
      <c r="G344" s="62"/>
      <c r="H344" s="62"/>
      <c r="I344" s="62"/>
      <c r="J344" s="62"/>
      <c r="K344" s="62"/>
      <c r="L344" s="62"/>
      <c r="M344" s="61"/>
      <c r="N344" s="62"/>
      <c r="O344" s="61"/>
      <c r="P344" s="62"/>
      <c r="Q344" s="61"/>
      <c r="R344" s="62"/>
      <c r="S344" s="936"/>
      <c r="T344" s="61"/>
      <c r="V344" s="968"/>
      <c r="W344" s="968"/>
      <c r="X344" s="186"/>
      <c r="Y344" s="61">
        <v>1300</v>
      </c>
      <c r="Z344" s="61"/>
      <c r="AA344" s="61"/>
      <c r="AB344" s="964"/>
      <c r="AC344" s="61">
        <v>0</v>
      </c>
      <c r="AE344" s="964"/>
      <c r="AF344" s="964"/>
      <c r="AG344" s="964"/>
      <c r="AH344" s="61">
        <v>1500</v>
      </c>
      <c r="AJ344" s="964"/>
      <c r="AK344" s="964"/>
      <c r="AL344" s="964"/>
      <c r="AM344" s="61">
        <f t="shared" si="175"/>
        <v>1545</v>
      </c>
      <c r="AO344" s="964"/>
      <c r="AP344" s="964"/>
      <c r="AQ344" s="964"/>
      <c r="AR344" s="61">
        <f t="shared" si="176"/>
        <v>1591.3500000000001</v>
      </c>
      <c r="AT344" s="964"/>
      <c r="AU344" s="964"/>
      <c r="AV344" s="964"/>
      <c r="AW344" s="61">
        <f t="shared" si="177"/>
        <v>1639.0905000000002</v>
      </c>
      <c r="AY344" s="964"/>
      <c r="AZ344" s="964"/>
      <c r="BA344" s="964"/>
      <c r="BB344" s="61">
        <f t="shared" si="178"/>
        <v>1688.2632150000004</v>
      </c>
      <c r="BD344" s="964"/>
      <c r="BE344" s="964"/>
      <c r="BF344" s="61"/>
      <c r="BG344" s="61"/>
      <c r="BH344" s="61"/>
      <c r="BI344" s="506"/>
      <c r="BJ344" s="506"/>
      <c r="BK344" s="506"/>
      <c r="BL344" s="506"/>
      <c r="BM344" s="506"/>
      <c r="BN344" s="506"/>
      <c r="BO344" s="506"/>
      <c r="BP344" s="506"/>
    </row>
    <row r="345" spans="4:68">
      <c r="D345" t="s">
        <v>539</v>
      </c>
      <c r="E345" s="186" t="s">
        <v>540</v>
      </c>
      <c r="G345" s="62"/>
      <c r="H345" s="62"/>
      <c r="I345" s="62"/>
      <c r="J345" s="62"/>
      <c r="K345" s="62"/>
      <c r="L345" s="62"/>
      <c r="M345" s="61"/>
      <c r="N345" s="62"/>
      <c r="O345" s="61"/>
      <c r="P345" s="62"/>
      <c r="Q345" s="61"/>
      <c r="R345" s="62"/>
      <c r="S345" s="936"/>
      <c r="T345" s="61"/>
      <c r="V345" s="968"/>
      <c r="W345" s="968"/>
      <c r="X345" s="186"/>
      <c r="Y345" s="61">
        <v>100</v>
      </c>
      <c r="Z345" s="61"/>
      <c r="AA345" s="61"/>
      <c r="AB345" s="964"/>
      <c r="AC345" s="61">
        <v>0</v>
      </c>
      <c r="AE345" s="964"/>
      <c r="AF345" s="964"/>
      <c r="AG345" s="964"/>
      <c r="AH345" s="61">
        <v>1500</v>
      </c>
      <c r="AJ345" s="964"/>
      <c r="AK345" s="964"/>
      <c r="AL345" s="964"/>
      <c r="AM345" s="61">
        <f t="shared" si="175"/>
        <v>1545</v>
      </c>
      <c r="AO345" s="964"/>
      <c r="AP345" s="964"/>
      <c r="AQ345" s="964"/>
      <c r="AR345" s="61">
        <f t="shared" si="176"/>
        <v>1591.3500000000001</v>
      </c>
      <c r="AT345" s="964"/>
      <c r="AU345" s="964"/>
      <c r="AV345" s="964"/>
      <c r="AW345" s="61">
        <f t="shared" si="177"/>
        <v>1639.0905000000002</v>
      </c>
      <c r="AY345" s="964"/>
      <c r="AZ345" s="964"/>
      <c r="BA345" s="964"/>
      <c r="BB345" s="61">
        <f t="shared" si="178"/>
        <v>1688.2632150000004</v>
      </c>
      <c r="BD345" s="964"/>
      <c r="BE345" s="964"/>
      <c r="BF345" s="61"/>
      <c r="BG345" s="61"/>
      <c r="BH345" s="61"/>
      <c r="BI345" s="506"/>
      <c r="BJ345" s="506"/>
      <c r="BK345" s="506"/>
      <c r="BL345" s="506"/>
      <c r="BM345" s="506"/>
      <c r="BN345" s="506"/>
      <c r="BO345" s="506"/>
      <c r="BP345" s="506"/>
    </row>
    <row r="346" spans="4:68">
      <c r="D346" t="s">
        <v>541</v>
      </c>
      <c r="E346" s="186" t="s">
        <v>542</v>
      </c>
      <c r="G346" s="62"/>
      <c r="H346" s="62"/>
      <c r="I346" s="62"/>
      <c r="J346" s="62"/>
      <c r="K346" s="62"/>
      <c r="L346" s="62"/>
      <c r="M346" s="61"/>
      <c r="N346" s="62"/>
      <c r="O346" s="61"/>
      <c r="P346" s="62"/>
      <c r="Q346" s="61"/>
      <c r="R346" s="62"/>
      <c r="S346" s="936"/>
      <c r="T346" s="61"/>
      <c r="V346" s="968"/>
      <c r="W346" s="968"/>
      <c r="X346" s="186"/>
      <c r="Y346" s="61"/>
      <c r="Z346" s="61"/>
      <c r="AA346" s="61"/>
      <c r="AB346" s="964"/>
      <c r="AC346" s="61">
        <v>0</v>
      </c>
      <c r="AE346" s="964"/>
      <c r="AF346" s="964"/>
      <c r="AG346" s="964"/>
      <c r="AH346" s="61">
        <f t="shared" si="174"/>
        <v>0</v>
      </c>
      <c r="AJ346" s="964"/>
      <c r="AK346" s="964"/>
      <c r="AL346" s="964"/>
      <c r="AM346" s="61">
        <f t="shared" si="175"/>
        <v>0</v>
      </c>
      <c r="AO346" s="964"/>
      <c r="AP346" s="964"/>
      <c r="AQ346" s="964"/>
      <c r="AR346" s="61">
        <f t="shared" si="176"/>
        <v>0</v>
      </c>
      <c r="AT346" s="964"/>
      <c r="AU346" s="964"/>
      <c r="AV346" s="964"/>
      <c r="AW346" s="61">
        <f t="shared" si="177"/>
        <v>0</v>
      </c>
      <c r="AY346" s="964"/>
      <c r="AZ346" s="964"/>
      <c r="BA346" s="964"/>
      <c r="BB346" s="61">
        <f t="shared" si="178"/>
        <v>0</v>
      </c>
      <c r="BD346" s="964"/>
      <c r="BE346" s="964"/>
      <c r="BF346" s="61"/>
      <c r="BG346" s="61"/>
      <c r="BH346" s="61"/>
      <c r="BI346" s="506"/>
      <c r="BJ346" s="506"/>
      <c r="BK346" s="506"/>
      <c r="BL346" s="506"/>
      <c r="BM346" s="506"/>
      <c r="BN346" s="506"/>
      <c r="BO346" s="506"/>
      <c r="BP346" s="506"/>
    </row>
    <row r="347" spans="4:68">
      <c r="D347" t="s">
        <v>543</v>
      </c>
      <c r="E347" s="186" t="s">
        <v>544</v>
      </c>
      <c r="G347" s="62"/>
      <c r="H347" s="62"/>
      <c r="I347" s="62"/>
      <c r="J347" s="62"/>
      <c r="K347" s="62"/>
      <c r="L347" s="62"/>
      <c r="M347" s="61"/>
      <c r="N347" s="62"/>
      <c r="O347" s="61"/>
      <c r="P347" s="62"/>
      <c r="Q347" s="61"/>
      <c r="R347" s="62"/>
      <c r="S347" s="936"/>
      <c r="T347" s="61"/>
      <c r="V347" s="968"/>
      <c r="W347" s="968"/>
      <c r="X347" s="186"/>
      <c r="Y347" s="61"/>
      <c r="Z347" s="61"/>
      <c r="AA347" s="61"/>
      <c r="AB347" s="964"/>
      <c r="AC347" s="61">
        <v>0</v>
      </c>
      <c r="AE347" s="964"/>
      <c r="AF347" s="964"/>
      <c r="AG347" s="964"/>
      <c r="AH347" s="61">
        <f t="shared" si="174"/>
        <v>0</v>
      </c>
      <c r="AJ347" s="964"/>
      <c r="AK347" s="964"/>
      <c r="AL347" s="964"/>
      <c r="AM347" s="61">
        <f t="shared" si="175"/>
        <v>0</v>
      </c>
      <c r="AO347" s="964"/>
      <c r="AP347" s="964"/>
      <c r="AQ347" s="964"/>
      <c r="AR347" s="61">
        <f t="shared" si="176"/>
        <v>0</v>
      </c>
      <c r="AT347" s="964"/>
      <c r="AU347" s="964"/>
      <c r="AV347" s="964"/>
      <c r="AW347" s="61">
        <f t="shared" si="177"/>
        <v>0</v>
      </c>
      <c r="AY347" s="964"/>
      <c r="AZ347" s="964"/>
      <c r="BA347" s="964"/>
      <c r="BB347" s="61">
        <f t="shared" si="178"/>
        <v>0</v>
      </c>
      <c r="BD347" s="964"/>
      <c r="BE347" s="964"/>
      <c r="BF347" s="61"/>
      <c r="BG347" s="61"/>
      <c r="BH347" s="61"/>
      <c r="BI347" s="506"/>
      <c r="BJ347" s="506"/>
      <c r="BK347" s="506"/>
      <c r="BL347" s="506"/>
      <c r="BM347" s="506"/>
      <c r="BN347" s="506"/>
      <c r="BO347" s="506"/>
      <c r="BP347" s="506"/>
    </row>
    <row r="348" spans="4:68">
      <c r="E348" s="186" t="s">
        <v>545</v>
      </c>
      <c r="G348" s="62"/>
      <c r="H348" s="62"/>
      <c r="I348" s="62"/>
      <c r="J348" s="62"/>
      <c r="K348" s="62"/>
      <c r="L348" s="62"/>
      <c r="M348" s="534">
        <f>SUM(M338:M347)</f>
        <v>0</v>
      </c>
      <c r="N348" s="62"/>
      <c r="O348" s="534">
        <f>SUM(O338:O347)</f>
        <v>0</v>
      </c>
      <c r="P348" s="62"/>
      <c r="Q348" s="534">
        <f>SUM(Q338:Q347)</f>
        <v>0</v>
      </c>
      <c r="R348" s="62"/>
      <c r="S348" s="936"/>
      <c r="T348" s="534">
        <f>SUM(T338:T347)</f>
        <v>0</v>
      </c>
      <c r="U348" s="1071"/>
      <c r="V348" s="968"/>
      <c r="W348" s="968"/>
      <c r="X348" s="186"/>
      <c r="Y348" s="534">
        <f>SUM(Y338:Y347)</f>
        <v>1400</v>
      </c>
      <c r="Z348" s="61"/>
      <c r="AA348" s="61"/>
      <c r="AB348" s="964"/>
      <c r="AC348" s="534">
        <f>SUM(AC338:AC347)</f>
        <v>0</v>
      </c>
      <c r="AD348" s="1071"/>
      <c r="AE348" s="964"/>
      <c r="AF348" s="964"/>
      <c r="AG348" s="964"/>
      <c r="AH348" s="534">
        <f>SUM(AH338:AH347)</f>
        <v>3000</v>
      </c>
      <c r="AI348" s="1071"/>
      <c r="AJ348" s="964"/>
      <c r="AK348" s="964"/>
      <c r="AL348" s="964"/>
      <c r="AM348" s="534">
        <f>SUM(AM338:AM347)</f>
        <v>3090</v>
      </c>
      <c r="AN348" s="1071"/>
      <c r="AO348" s="964"/>
      <c r="AP348" s="964"/>
      <c r="AQ348" s="964"/>
      <c r="AR348" s="534">
        <f>SUM(AR338:AR347)</f>
        <v>3182.7000000000003</v>
      </c>
      <c r="AS348" s="1071"/>
      <c r="AT348" s="964"/>
      <c r="AU348" s="964"/>
      <c r="AV348" s="964"/>
      <c r="AW348" s="534">
        <f>SUM(AW338:AW347)</f>
        <v>3278.1810000000005</v>
      </c>
      <c r="AX348" s="1071"/>
      <c r="AY348" s="964"/>
      <c r="AZ348" s="964"/>
      <c r="BA348" s="964"/>
      <c r="BB348" s="534">
        <f>SUM(BB338:BB347)</f>
        <v>3376.5264300000008</v>
      </c>
      <c r="BC348" s="1071"/>
      <c r="BD348" s="964"/>
      <c r="BE348" s="964"/>
      <c r="BF348" s="61"/>
      <c r="BG348" s="61"/>
      <c r="BH348" s="61"/>
      <c r="BI348" s="506"/>
      <c r="BJ348" s="506"/>
      <c r="BK348" s="506"/>
      <c r="BL348" s="506"/>
      <c r="BM348" s="506"/>
      <c r="BN348" s="506"/>
      <c r="BO348" s="506"/>
      <c r="BP348" s="506"/>
    </row>
    <row r="349" spans="4:68">
      <c r="E349" s="186"/>
      <c r="G349" s="62"/>
      <c r="H349" s="62"/>
      <c r="I349" s="62"/>
      <c r="J349" s="62"/>
      <c r="K349" s="62"/>
      <c r="L349" s="62"/>
      <c r="M349" s="61"/>
      <c r="N349" s="62"/>
      <c r="O349" s="61"/>
      <c r="P349" s="62"/>
      <c r="Q349" s="61"/>
      <c r="R349" s="62"/>
      <c r="S349" s="936"/>
      <c r="T349" s="61"/>
      <c r="V349" s="968"/>
      <c r="W349" s="968"/>
      <c r="X349" s="186"/>
      <c r="Y349" s="61"/>
      <c r="Z349" s="61"/>
      <c r="AA349" s="61"/>
      <c r="AB349" s="964"/>
      <c r="AC349" s="61"/>
      <c r="AE349" s="964"/>
      <c r="AF349" s="964"/>
      <c r="AG349" s="964"/>
      <c r="AH349" s="61"/>
      <c r="AJ349" s="964"/>
      <c r="AK349" s="964"/>
      <c r="AL349" s="964"/>
      <c r="AM349" s="61"/>
      <c r="AO349" s="964"/>
      <c r="AP349" s="964"/>
      <c r="AQ349" s="964"/>
      <c r="AR349" s="61"/>
      <c r="AT349" s="964"/>
      <c r="AU349" s="964"/>
      <c r="AV349" s="964"/>
      <c r="AW349" s="61"/>
      <c r="AY349" s="964"/>
      <c r="AZ349" s="964"/>
      <c r="BA349" s="964"/>
      <c r="BB349" s="61"/>
      <c r="BD349" s="964"/>
      <c r="BE349" s="964"/>
      <c r="BF349" s="61"/>
      <c r="BG349" s="61"/>
      <c r="BH349" s="61"/>
      <c r="BI349" s="506"/>
      <c r="BJ349" s="506"/>
      <c r="BK349" s="506"/>
      <c r="BL349" s="506"/>
      <c r="BM349" s="506"/>
      <c r="BN349" s="506"/>
      <c r="BO349" s="506"/>
      <c r="BP349" s="506"/>
    </row>
    <row r="350" spans="4:68">
      <c r="D350" t="s">
        <v>546</v>
      </c>
      <c r="E350" s="186" t="s">
        <v>547</v>
      </c>
      <c r="M350" s="61"/>
      <c r="N350" s="668"/>
      <c r="O350" s="61"/>
      <c r="P350" s="668"/>
      <c r="Q350" s="61"/>
      <c r="S350" s="936"/>
      <c r="T350" s="61"/>
      <c r="V350" s="968"/>
      <c r="W350" s="968"/>
      <c r="X350" s="186"/>
      <c r="Y350" s="61"/>
      <c r="Z350" s="61"/>
      <c r="AA350" s="61"/>
      <c r="AB350" s="964"/>
      <c r="AC350" s="61">
        <v>0</v>
      </c>
      <c r="AE350" s="964"/>
      <c r="AF350" s="964"/>
      <c r="AG350" s="964"/>
      <c r="AH350" s="61">
        <f>AC350*(1+$AH$9)</f>
        <v>0</v>
      </c>
      <c r="AJ350" s="964"/>
      <c r="AK350" s="964"/>
      <c r="AL350" s="964"/>
      <c r="AM350" s="61">
        <f>AH350*(1+$AH$9)</f>
        <v>0</v>
      </c>
      <c r="AO350" s="964"/>
      <c r="AP350" s="964"/>
      <c r="AQ350" s="964"/>
      <c r="AR350" s="61">
        <f>AM350*(1+$AH$9)</f>
        <v>0</v>
      </c>
      <c r="AT350" s="964"/>
      <c r="AU350" s="964"/>
      <c r="AV350" s="964"/>
      <c r="AW350" s="61">
        <f>AR350*(1+$AH$9)</f>
        <v>0</v>
      </c>
      <c r="AY350" s="964"/>
      <c r="AZ350" s="964"/>
      <c r="BA350" s="964"/>
      <c r="BB350" s="61">
        <f>AW350*(1+$AH$9)</f>
        <v>0</v>
      </c>
      <c r="BD350" s="964"/>
      <c r="BE350" s="964"/>
      <c r="BF350" s="61"/>
      <c r="BG350" s="61"/>
      <c r="BH350" s="61"/>
      <c r="BI350" s="506"/>
      <c r="BJ350" s="506"/>
      <c r="BK350" s="506"/>
      <c r="BL350" s="506"/>
      <c r="BM350" s="506"/>
      <c r="BN350" s="506"/>
      <c r="BO350" s="506"/>
      <c r="BP350" s="506"/>
    </row>
    <row r="351" spans="4:68">
      <c r="E351" s="186" t="s">
        <v>548</v>
      </c>
      <c r="G351" s="62"/>
      <c r="H351" s="62"/>
      <c r="I351" s="62"/>
      <c r="J351" s="62"/>
      <c r="K351" s="62"/>
      <c r="L351" s="62"/>
      <c r="M351" s="534">
        <f>SUM(M350)</f>
        <v>0</v>
      </c>
      <c r="N351" s="62"/>
      <c r="O351" s="534">
        <f>SUM(O350)</f>
        <v>0</v>
      </c>
      <c r="P351" s="62"/>
      <c r="Q351" s="534">
        <f>SUM(Q350)</f>
        <v>0</v>
      </c>
      <c r="R351" s="62"/>
      <c r="S351" s="936"/>
      <c r="T351" s="534">
        <f>SUM(T350)</f>
        <v>0</v>
      </c>
      <c r="U351" s="1071"/>
      <c r="V351" s="968"/>
      <c r="W351" s="968"/>
      <c r="X351" s="186"/>
      <c r="Y351" s="534">
        <f>SUM(Y350)</f>
        <v>0</v>
      </c>
      <c r="Z351" s="61"/>
      <c r="AA351" s="61"/>
      <c r="AB351" s="964"/>
      <c r="AC351" s="534">
        <f>SUM(AC350)</f>
        <v>0</v>
      </c>
      <c r="AD351" s="1071"/>
      <c r="AE351" s="964"/>
      <c r="AF351" s="964"/>
      <c r="AG351" s="964"/>
      <c r="AH351" s="534">
        <f>SUM(AH350)</f>
        <v>0</v>
      </c>
      <c r="AI351" s="1071"/>
      <c r="AJ351" s="964"/>
      <c r="AK351" s="964"/>
      <c r="AL351" s="964"/>
      <c r="AM351" s="534">
        <f>SUM(AM350)</f>
        <v>0</v>
      </c>
      <c r="AN351" s="1071"/>
      <c r="AO351" s="964"/>
      <c r="AP351" s="964"/>
      <c r="AQ351" s="964"/>
      <c r="AR351" s="534">
        <f>SUM(AR350)</f>
        <v>0</v>
      </c>
      <c r="AS351" s="1071"/>
      <c r="AT351" s="964"/>
      <c r="AU351" s="964"/>
      <c r="AV351" s="964"/>
      <c r="AW351" s="534">
        <f>SUM(AW350)</f>
        <v>0</v>
      </c>
      <c r="AX351" s="1071"/>
      <c r="AY351" s="964"/>
      <c r="AZ351" s="964"/>
      <c r="BA351" s="964"/>
      <c r="BB351" s="534">
        <f>SUM(BB350)</f>
        <v>0</v>
      </c>
      <c r="BC351" s="1071"/>
      <c r="BD351" s="964"/>
      <c r="BE351" s="964"/>
      <c r="BF351" s="61"/>
      <c r="BG351" s="61"/>
      <c r="BH351" s="61"/>
      <c r="BI351" s="506"/>
      <c r="BJ351" s="506"/>
      <c r="BK351" s="506"/>
      <c r="BL351" s="506"/>
      <c r="BM351" s="506"/>
      <c r="BN351" s="506"/>
      <c r="BO351" s="506"/>
      <c r="BP351" s="506"/>
    </row>
    <row r="352" spans="4:68">
      <c r="E352" s="186"/>
      <c r="G352" s="62"/>
      <c r="H352" s="62"/>
      <c r="I352" s="62"/>
      <c r="J352" s="62"/>
      <c r="K352" s="62"/>
      <c r="L352" s="62"/>
      <c r="M352" s="61"/>
      <c r="N352" s="62"/>
      <c r="O352" s="61"/>
      <c r="P352" s="62"/>
      <c r="Q352" s="61"/>
      <c r="R352" s="62"/>
      <c r="S352" s="936"/>
      <c r="T352" s="61"/>
      <c r="V352" s="968"/>
      <c r="W352" s="968"/>
      <c r="X352" s="186"/>
      <c r="Y352" s="61"/>
      <c r="Z352" s="61"/>
      <c r="AA352" s="61"/>
      <c r="AB352" s="964"/>
      <c r="AC352" s="61"/>
      <c r="AE352" s="964"/>
      <c r="AF352" s="964"/>
      <c r="AG352" s="964"/>
      <c r="AH352" s="61"/>
      <c r="AJ352" s="964"/>
      <c r="AK352" s="964"/>
      <c r="AL352" s="964"/>
      <c r="AM352" s="61"/>
      <c r="AO352" s="964"/>
      <c r="AP352" s="964"/>
      <c r="AQ352" s="964"/>
      <c r="AR352" s="61"/>
      <c r="AT352" s="964"/>
      <c r="AU352" s="964"/>
      <c r="AV352" s="964"/>
      <c r="AW352" s="61"/>
      <c r="AY352" s="964"/>
      <c r="AZ352" s="964"/>
      <c r="BA352" s="964"/>
      <c r="BB352" s="61"/>
      <c r="BD352" s="964"/>
      <c r="BE352" s="964"/>
      <c r="BF352" s="61"/>
      <c r="BG352" s="61"/>
      <c r="BH352" s="61"/>
      <c r="BI352" s="506"/>
      <c r="BJ352" s="506"/>
      <c r="BK352" s="506"/>
      <c r="BL352" s="506"/>
      <c r="BM352" s="506"/>
      <c r="BN352" s="506"/>
      <c r="BO352" s="506"/>
      <c r="BP352" s="506"/>
    </row>
    <row r="353" spans="4:68">
      <c r="D353" t="s">
        <v>1445</v>
      </c>
      <c r="E353" s="186" t="s">
        <v>1448</v>
      </c>
      <c r="G353" s="62"/>
      <c r="H353" s="62"/>
      <c r="I353" s="62"/>
      <c r="J353" s="62"/>
      <c r="K353" s="62"/>
      <c r="L353" s="62"/>
      <c r="M353" s="61"/>
      <c r="N353" s="62"/>
      <c r="O353" s="61"/>
      <c r="P353" s="62"/>
      <c r="Q353" s="61"/>
      <c r="R353" s="62"/>
      <c r="S353" s="936"/>
      <c r="T353" s="61"/>
      <c r="V353" s="968"/>
      <c r="W353" s="968"/>
      <c r="X353" s="186"/>
      <c r="Y353" s="61">
        <v>50</v>
      </c>
      <c r="Z353" s="61"/>
      <c r="AA353" s="61"/>
      <c r="AB353" s="964"/>
      <c r="AC353" s="61">
        <v>7500</v>
      </c>
      <c r="AE353" s="964"/>
      <c r="AF353" s="964"/>
      <c r="AG353" s="964"/>
      <c r="AH353" s="61">
        <f>ROUND(AC353*(1+$AH$9),0)</f>
        <v>7725</v>
      </c>
      <c r="AJ353" s="964"/>
      <c r="AK353" s="964"/>
      <c r="AL353" s="964"/>
      <c r="AM353" s="61">
        <f>ROUND(AH353*(1+$AH$9),0)</f>
        <v>7957</v>
      </c>
      <c r="AO353" s="964"/>
      <c r="AP353" s="964"/>
      <c r="AQ353" s="964"/>
      <c r="AR353" s="61">
        <f>ROUND(AM353*(1+$AH$9),0)</f>
        <v>8196</v>
      </c>
      <c r="AT353" s="964"/>
      <c r="AU353" s="964"/>
      <c r="AV353" s="964"/>
      <c r="AW353" s="61">
        <f>ROUND(AR353*(1+$AH$9),0)</f>
        <v>8442</v>
      </c>
      <c r="AY353" s="964"/>
      <c r="AZ353" s="964"/>
      <c r="BA353" s="964"/>
      <c r="BB353" s="61">
        <f>ROUND(AW353*(1+$AH$9),0)</f>
        <v>8695</v>
      </c>
      <c r="BD353" s="964"/>
      <c r="BE353" s="964"/>
      <c r="BF353" s="61"/>
      <c r="BG353" s="61"/>
      <c r="BH353" s="61"/>
      <c r="BI353" s="506"/>
      <c r="BJ353" s="506"/>
      <c r="BK353" s="506"/>
      <c r="BL353" s="506"/>
      <c r="BM353" s="506"/>
      <c r="BN353" s="506"/>
      <c r="BO353" s="506"/>
      <c r="BP353" s="506"/>
    </row>
    <row r="354" spans="4:68">
      <c r="D354" t="s">
        <v>1446</v>
      </c>
      <c r="E354" s="186" t="s">
        <v>1447</v>
      </c>
      <c r="G354" s="62"/>
      <c r="H354" s="62"/>
      <c r="I354" s="62"/>
      <c r="J354" s="62"/>
      <c r="K354" s="62"/>
      <c r="L354" s="62"/>
      <c r="M354" s="61"/>
      <c r="N354" s="62"/>
      <c r="O354" s="61"/>
      <c r="P354" s="62"/>
      <c r="Q354" s="61"/>
      <c r="R354" s="62"/>
      <c r="S354" s="936"/>
      <c r="T354" s="61"/>
      <c r="V354" s="968"/>
      <c r="W354" s="968"/>
      <c r="X354" s="186"/>
      <c r="Y354" s="61">
        <v>6100</v>
      </c>
      <c r="Z354" s="61"/>
      <c r="AA354" s="61"/>
      <c r="AB354" s="964"/>
      <c r="AC354" s="61"/>
      <c r="AE354" s="964"/>
      <c r="AF354" s="964"/>
      <c r="AG354" s="964"/>
      <c r="AH354" s="61"/>
      <c r="AJ354" s="964"/>
      <c r="AK354" s="964"/>
      <c r="AL354" s="964"/>
      <c r="AM354" s="61"/>
      <c r="AO354" s="964"/>
      <c r="AP354" s="964"/>
      <c r="AQ354" s="964"/>
      <c r="AR354" s="61"/>
      <c r="AT354" s="964"/>
      <c r="AU354" s="964"/>
      <c r="AV354" s="964"/>
      <c r="AW354" s="61"/>
      <c r="AY354" s="964"/>
      <c r="AZ354" s="964"/>
      <c r="BA354" s="964"/>
      <c r="BB354" s="61"/>
      <c r="BD354" s="964"/>
      <c r="BE354" s="964"/>
      <c r="BF354" s="61"/>
      <c r="BG354" s="61"/>
      <c r="BH354" s="61"/>
      <c r="BI354" s="506"/>
      <c r="BJ354" s="506"/>
      <c r="BK354" s="506"/>
      <c r="BL354" s="506"/>
      <c r="BM354" s="506"/>
      <c r="BN354" s="506"/>
      <c r="BO354" s="506"/>
      <c r="BP354" s="506"/>
    </row>
    <row r="355" spans="4:68">
      <c r="D355" t="s">
        <v>552</v>
      </c>
      <c r="E355" s="186" t="s">
        <v>553</v>
      </c>
      <c r="G355" s="62"/>
      <c r="H355" s="62"/>
      <c r="I355" s="62"/>
      <c r="J355" s="62"/>
      <c r="K355" s="62"/>
      <c r="L355" s="62"/>
      <c r="M355" s="61"/>
      <c r="N355" s="62"/>
      <c r="O355" s="61"/>
      <c r="P355" s="62"/>
      <c r="Q355" s="61"/>
      <c r="R355" s="62"/>
      <c r="S355" s="936"/>
      <c r="T355" s="61"/>
      <c r="V355" s="968"/>
      <c r="W355" s="968"/>
      <c r="X355" s="186"/>
      <c r="Y355" s="61">
        <v>1000</v>
      </c>
      <c r="Z355" s="61"/>
      <c r="AA355" s="61"/>
      <c r="AB355" s="964"/>
      <c r="AC355" s="61">
        <v>2500</v>
      </c>
      <c r="AE355" s="964"/>
      <c r="AF355" s="964"/>
      <c r="AG355" s="964"/>
      <c r="AH355" s="61">
        <f>ROUND(AC355*(1+$AH$9),0)</f>
        <v>2575</v>
      </c>
      <c r="AJ355" s="964"/>
      <c r="AK355" s="964"/>
      <c r="AL355" s="964"/>
      <c r="AM355" s="61">
        <f>ROUND(AH355*(1+$AH$9),0)</f>
        <v>2652</v>
      </c>
      <c r="AO355" s="964"/>
      <c r="AP355" s="964"/>
      <c r="AQ355" s="964"/>
      <c r="AR355" s="61">
        <f>ROUND(AM355*(1+$AH$9),0)</f>
        <v>2732</v>
      </c>
      <c r="AT355" s="964"/>
      <c r="AU355" s="964"/>
      <c r="AV355" s="964"/>
      <c r="AW355" s="61">
        <f>ROUND(AR355*(1+$AH$9),0)</f>
        <v>2814</v>
      </c>
      <c r="AY355" s="964"/>
      <c r="AZ355" s="964"/>
      <c r="BA355" s="964"/>
      <c r="BB355" s="61">
        <f>ROUND(AW355*(1+$AH$9),0)</f>
        <v>2898</v>
      </c>
      <c r="BD355" s="964"/>
      <c r="BE355" s="964"/>
      <c r="BF355" s="61"/>
      <c r="BG355" s="61"/>
      <c r="BH355" s="61"/>
      <c r="BI355" s="506"/>
      <c r="BJ355" s="506"/>
      <c r="BK355" s="506"/>
      <c r="BL355" s="506"/>
      <c r="BM355" s="506"/>
      <c r="BN355" s="506"/>
      <c r="BO355" s="506"/>
      <c r="BP355" s="506"/>
    </row>
    <row r="356" spans="4:68">
      <c r="D356" t="s">
        <v>554</v>
      </c>
      <c r="E356" s="186" t="s">
        <v>555</v>
      </c>
      <c r="G356" s="62"/>
      <c r="H356" s="62"/>
      <c r="I356" s="62"/>
      <c r="J356" s="62"/>
      <c r="K356" s="62"/>
      <c r="L356" s="62"/>
      <c r="M356" s="61"/>
      <c r="N356" s="62"/>
      <c r="O356" s="61"/>
      <c r="P356" s="62"/>
      <c r="Q356" s="61"/>
      <c r="R356" s="62"/>
      <c r="S356" s="936"/>
      <c r="T356" s="61"/>
      <c r="V356" s="968"/>
      <c r="W356" s="968"/>
      <c r="X356" s="186"/>
      <c r="Y356" s="61"/>
      <c r="Z356" s="61"/>
      <c r="AA356" s="61"/>
      <c r="AB356" s="964"/>
      <c r="AC356" s="61">
        <v>6600</v>
      </c>
      <c r="AE356" s="964"/>
      <c r="AF356" s="964"/>
      <c r="AG356" s="964"/>
      <c r="AH356" s="61">
        <f>ROUND(AC356*(1+$AH$9),0)</f>
        <v>6798</v>
      </c>
      <c r="AJ356" s="964"/>
      <c r="AK356" s="964"/>
      <c r="AL356" s="964"/>
      <c r="AM356" s="61">
        <f>ROUND(AH356*(1+$AH$9),0)</f>
        <v>7002</v>
      </c>
      <c r="AO356" s="964"/>
      <c r="AP356" s="964"/>
      <c r="AQ356" s="964"/>
      <c r="AR356" s="61">
        <f>ROUND(AM356*(1+$AH$9),0)</f>
        <v>7212</v>
      </c>
      <c r="AT356" s="964"/>
      <c r="AU356" s="964"/>
      <c r="AV356" s="964"/>
      <c r="AW356" s="61">
        <f>ROUND(AR356*(1+$AH$9),0)</f>
        <v>7428</v>
      </c>
      <c r="AY356" s="964"/>
      <c r="AZ356" s="964"/>
      <c r="BA356" s="964"/>
      <c r="BB356" s="61">
        <f>ROUND(AW356*(1+$AH$9),0)</f>
        <v>7651</v>
      </c>
      <c r="BD356" s="964"/>
      <c r="BE356" s="964"/>
      <c r="BF356" s="61"/>
      <c r="BG356" s="61"/>
      <c r="BH356" s="61"/>
      <c r="BI356" s="506"/>
      <c r="BJ356" s="506"/>
      <c r="BK356" s="506"/>
      <c r="BL356" s="506"/>
      <c r="BM356" s="506"/>
      <c r="BN356" s="506"/>
      <c r="BO356" s="506"/>
      <c r="BP356" s="506"/>
    </row>
    <row r="357" spans="4:68">
      <c r="D357" t="s">
        <v>556</v>
      </c>
      <c r="E357" s="186" t="s">
        <v>557</v>
      </c>
      <c r="G357" s="62"/>
      <c r="H357" s="62"/>
      <c r="I357" s="62"/>
      <c r="J357" s="62"/>
      <c r="K357" s="62"/>
      <c r="L357" s="62"/>
      <c r="M357" s="61"/>
      <c r="N357" s="62"/>
      <c r="O357" s="61"/>
      <c r="P357" s="62"/>
      <c r="Q357" s="61"/>
      <c r="R357" s="62"/>
      <c r="S357" s="936"/>
      <c r="T357" s="61"/>
      <c r="V357" s="968"/>
      <c r="W357" s="968"/>
      <c r="X357" s="186"/>
      <c r="Y357" s="61">
        <v>5700</v>
      </c>
      <c r="Z357" s="61"/>
      <c r="AA357" s="61"/>
      <c r="AB357" s="964"/>
      <c r="AC357" s="61">
        <v>7800</v>
      </c>
      <c r="AE357" s="964"/>
      <c r="AF357" s="964"/>
      <c r="AG357" s="964"/>
      <c r="AH357" s="61">
        <f>ROUND(AC357*(1+$AH$9),0)</f>
        <v>8034</v>
      </c>
      <c r="AJ357" s="964"/>
      <c r="AK357" s="964"/>
      <c r="AL357" s="964"/>
      <c r="AM357" s="61">
        <f>ROUND(AH357*(1+$AH$9),0)</f>
        <v>8275</v>
      </c>
      <c r="AO357" s="964"/>
      <c r="AP357" s="964"/>
      <c r="AQ357" s="964"/>
      <c r="AR357" s="61">
        <f>ROUND(AM357*(1+$AH$9),0)</f>
        <v>8523</v>
      </c>
      <c r="AT357" s="964"/>
      <c r="AU357" s="964"/>
      <c r="AV357" s="964"/>
      <c r="AW357" s="61">
        <f>ROUND(AR357*(1+$AH$9),0)</f>
        <v>8779</v>
      </c>
      <c r="AY357" s="964"/>
      <c r="AZ357" s="964"/>
      <c r="BA357" s="964"/>
      <c r="BB357" s="61">
        <f>ROUND(AW357*(1+$AH$9),0)</f>
        <v>9042</v>
      </c>
      <c r="BD357" s="964"/>
      <c r="BE357" s="964"/>
      <c r="BF357" s="61"/>
      <c r="BG357" s="61"/>
      <c r="BH357" s="61"/>
      <c r="BI357" s="506"/>
      <c r="BJ357" s="506"/>
      <c r="BK357" s="506"/>
      <c r="BL357" s="506"/>
      <c r="BM357" s="506"/>
      <c r="BN357" s="506"/>
      <c r="BO357" s="506"/>
      <c r="BP357" s="506"/>
    </row>
    <row r="358" spans="4:68">
      <c r="E358" s="186" t="s">
        <v>558</v>
      </c>
      <c r="G358" s="62"/>
      <c r="H358" s="62"/>
      <c r="I358" s="62"/>
      <c r="J358" s="62"/>
      <c r="K358" s="62"/>
      <c r="L358" s="62"/>
      <c r="M358" s="534">
        <f>SUM(M355:M357)</f>
        <v>0</v>
      </c>
      <c r="N358" s="62"/>
      <c r="O358" s="534">
        <f>SUM(O355:O357)</f>
        <v>0</v>
      </c>
      <c r="P358" s="62"/>
      <c r="Q358" s="534">
        <f>SUM(Q355:Q357)</f>
        <v>0</v>
      </c>
      <c r="R358" s="62"/>
      <c r="S358" s="936"/>
      <c r="T358" s="534">
        <f>SUM(T355:T357)</f>
        <v>0</v>
      </c>
      <c r="U358" s="1071"/>
      <c r="V358" s="968"/>
      <c r="W358" s="968"/>
      <c r="X358" s="186"/>
      <c r="Y358" s="534">
        <f>SUM(Y353:Y357)</f>
        <v>12850</v>
      </c>
      <c r="Z358" s="61"/>
      <c r="AA358" s="61"/>
      <c r="AB358" s="964"/>
      <c r="AC358" s="534">
        <f>SUM(AC353:AC357)</f>
        <v>24400</v>
      </c>
      <c r="AD358" s="1071"/>
      <c r="AE358" s="964"/>
      <c r="AF358" s="964"/>
      <c r="AG358" s="964"/>
      <c r="AH358" s="534">
        <f>SUM(AH355:AH357)</f>
        <v>17407</v>
      </c>
      <c r="AI358" s="1071"/>
      <c r="AJ358" s="964"/>
      <c r="AK358" s="964"/>
      <c r="AL358" s="964"/>
      <c r="AM358" s="534">
        <f>SUM(AM355:AM357)</f>
        <v>17929</v>
      </c>
      <c r="AN358" s="1071"/>
      <c r="AO358" s="964"/>
      <c r="AP358" s="964"/>
      <c r="AQ358" s="964"/>
      <c r="AR358" s="534">
        <f>SUM(AR355:AR357)</f>
        <v>18467</v>
      </c>
      <c r="AS358" s="1071"/>
      <c r="AT358" s="964"/>
      <c r="AU358" s="964"/>
      <c r="AV358" s="964"/>
      <c r="AW358" s="534">
        <f>SUM(AW355:AW357)</f>
        <v>19021</v>
      </c>
      <c r="AX358" s="1071"/>
      <c r="AY358" s="964"/>
      <c r="AZ358" s="964"/>
      <c r="BA358" s="964"/>
      <c r="BB358" s="534">
        <f>SUM(BB355:BB357)</f>
        <v>19591</v>
      </c>
      <c r="BC358" s="1071"/>
      <c r="BD358" s="964"/>
      <c r="BE358" s="964"/>
      <c r="BF358" s="61"/>
      <c r="BG358" s="61"/>
      <c r="BH358" s="61"/>
      <c r="BI358" s="506"/>
      <c r="BJ358" s="506"/>
      <c r="BK358" s="506"/>
      <c r="BL358" s="506"/>
      <c r="BM358" s="506"/>
      <c r="BN358" s="506"/>
      <c r="BO358" s="506"/>
      <c r="BP358" s="506"/>
    </row>
    <row r="359" spans="4:68">
      <c r="E359" s="186"/>
      <c r="G359" s="62"/>
      <c r="H359" s="62"/>
      <c r="I359" s="62"/>
      <c r="J359" s="62"/>
      <c r="K359" s="62"/>
      <c r="L359" s="62"/>
      <c r="M359" s="533"/>
      <c r="N359" s="62"/>
      <c r="O359" s="533"/>
      <c r="P359" s="62"/>
      <c r="Q359" s="533"/>
      <c r="R359" s="62"/>
      <c r="S359" s="936"/>
      <c r="T359" s="533"/>
      <c r="U359" s="1071"/>
      <c r="V359" s="968"/>
      <c r="W359" s="968"/>
      <c r="X359" s="186"/>
      <c r="Y359" s="533"/>
      <c r="Z359" s="61"/>
      <c r="AA359" s="61"/>
      <c r="AB359" s="964"/>
      <c r="AC359" s="533"/>
      <c r="AD359" s="1071"/>
      <c r="AE359" s="964"/>
      <c r="AF359" s="964"/>
      <c r="AG359" s="964"/>
      <c r="AH359" s="533"/>
      <c r="AI359" s="1071"/>
      <c r="AJ359" s="964"/>
      <c r="AK359" s="964"/>
      <c r="AL359" s="964"/>
      <c r="AM359" s="533"/>
      <c r="AN359" s="1071"/>
      <c r="AO359" s="964"/>
      <c r="AP359" s="964"/>
      <c r="AQ359" s="964"/>
      <c r="AR359" s="533"/>
      <c r="AS359" s="1071"/>
      <c r="AT359" s="964"/>
      <c r="AU359" s="964"/>
      <c r="AV359" s="964"/>
      <c r="AW359" s="533"/>
      <c r="AX359" s="1071"/>
      <c r="AY359" s="964"/>
      <c r="AZ359" s="964"/>
      <c r="BA359" s="964"/>
      <c r="BB359" s="533"/>
      <c r="BC359" s="1071"/>
      <c r="BD359" s="964"/>
      <c r="BE359" s="964"/>
      <c r="BF359" s="61"/>
      <c r="BG359" s="61"/>
      <c r="BH359" s="61"/>
      <c r="BI359" s="506"/>
      <c r="BJ359" s="506"/>
      <c r="BK359" s="506"/>
      <c r="BL359" s="506"/>
      <c r="BM359" s="506"/>
      <c r="BN359" s="506"/>
      <c r="BO359" s="506"/>
      <c r="BP359" s="506"/>
    </row>
    <row r="360" spans="4:68">
      <c r="D360" t="s">
        <v>559</v>
      </c>
      <c r="E360" s="186" t="s">
        <v>560</v>
      </c>
      <c r="G360" s="62"/>
      <c r="H360" s="62"/>
      <c r="I360" s="62"/>
      <c r="J360" s="62"/>
      <c r="K360" s="62"/>
      <c r="L360" s="62"/>
      <c r="M360" s="61"/>
      <c r="N360" s="62"/>
      <c r="O360" s="61"/>
      <c r="P360" s="62"/>
      <c r="Q360" s="61"/>
      <c r="R360" s="62"/>
      <c r="S360" s="936"/>
      <c r="T360" s="61"/>
      <c r="V360" s="968"/>
      <c r="W360" s="968"/>
      <c r="X360" s="186"/>
      <c r="Y360" s="61">
        <v>0</v>
      </c>
      <c r="Z360" s="61"/>
      <c r="AA360" s="61"/>
      <c r="AB360" s="964"/>
      <c r="AC360" s="61">
        <v>0</v>
      </c>
      <c r="AE360" s="964"/>
      <c r="AF360" s="964"/>
      <c r="AG360" s="964"/>
      <c r="AH360" s="61">
        <f>AC360*(1+$AH$9)</f>
        <v>0</v>
      </c>
      <c r="AJ360" s="964"/>
      <c r="AK360" s="964"/>
      <c r="AL360" s="964"/>
      <c r="AM360" s="61">
        <f>AH360*(1+$AH$9)</f>
        <v>0</v>
      </c>
      <c r="AO360" s="964"/>
      <c r="AP360" s="964"/>
      <c r="AQ360" s="964"/>
      <c r="AR360" s="61">
        <f>AM360*(1+$AH$9)</f>
        <v>0</v>
      </c>
      <c r="AT360" s="964"/>
      <c r="AU360" s="964"/>
      <c r="AV360" s="964"/>
      <c r="AW360" s="61">
        <f>AR360*(1+$AH$9)</f>
        <v>0</v>
      </c>
      <c r="AY360" s="964"/>
      <c r="AZ360" s="964"/>
      <c r="BA360" s="964"/>
      <c r="BB360" s="61">
        <f>AW360*(1+$AH$9)</f>
        <v>0</v>
      </c>
      <c r="BD360" s="964"/>
      <c r="BE360" s="964"/>
      <c r="BF360" s="61"/>
      <c r="BG360" s="61"/>
      <c r="BH360" s="61"/>
      <c r="BI360" s="506"/>
      <c r="BJ360" s="506"/>
      <c r="BK360" s="506"/>
      <c r="BL360" s="506"/>
      <c r="BM360" s="506"/>
      <c r="BN360" s="506"/>
      <c r="BO360" s="506"/>
      <c r="BP360" s="506"/>
    </row>
    <row r="361" spans="4:68">
      <c r="D361" t="s">
        <v>561</v>
      </c>
      <c r="E361" s="186" t="s">
        <v>562</v>
      </c>
      <c r="G361" s="62"/>
      <c r="H361" s="62"/>
      <c r="I361" s="62"/>
      <c r="J361" s="62"/>
      <c r="K361" s="62"/>
      <c r="L361" s="62"/>
      <c r="M361" s="61"/>
      <c r="N361" s="62"/>
      <c r="O361" s="61"/>
      <c r="P361" s="62"/>
      <c r="Q361" s="61"/>
      <c r="R361" s="62"/>
      <c r="S361" s="936"/>
      <c r="T361" s="61"/>
      <c r="V361" s="968"/>
      <c r="W361" s="968"/>
      <c r="X361" s="186"/>
      <c r="Y361" s="61">
        <v>0</v>
      </c>
      <c r="Z361" s="61"/>
      <c r="AA361" s="61"/>
      <c r="AB361" s="964"/>
      <c r="AC361" s="61">
        <v>0</v>
      </c>
      <c r="AE361" s="964"/>
      <c r="AF361" s="964"/>
      <c r="AG361" s="964"/>
      <c r="AH361" s="61">
        <f>AC361*(1+$AH$9)</f>
        <v>0</v>
      </c>
      <c r="AJ361" s="964"/>
      <c r="AK361" s="964"/>
      <c r="AL361" s="964"/>
      <c r="AM361" s="61">
        <f>AH361*(1+$AH$9)</f>
        <v>0</v>
      </c>
      <c r="AO361" s="964"/>
      <c r="AP361" s="964"/>
      <c r="AQ361" s="964"/>
      <c r="AR361" s="61">
        <f>AM361*(1+$AH$9)</f>
        <v>0</v>
      </c>
      <c r="AT361" s="964"/>
      <c r="AU361" s="964"/>
      <c r="AV361" s="964"/>
      <c r="AW361" s="61">
        <f>AR361*(1+$AH$9)</f>
        <v>0</v>
      </c>
      <c r="AY361" s="964"/>
      <c r="AZ361" s="964"/>
      <c r="BA361" s="964"/>
      <c r="BB361" s="61">
        <f>AW361*(1+$AH$9)</f>
        <v>0</v>
      </c>
      <c r="BD361" s="964"/>
      <c r="BE361" s="964"/>
      <c r="BF361" s="61"/>
      <c r="BG361" s="61"/>
      <c r="BH361" s="61"/>
      <c r="BI361" s="506"/>
      <c r="BJ361" s="506"/>
      <c r="BK361" s="506"/>
      <c r="BL361" s="506"/>
      <c r="BM361" s="506"/>
      <c r="BN361" s="506"/>
      <c r="BO361" s="506"/>
      <c r="BP361" s="506"/>
    </row>
    <row r="362" spans="4:68">
      <c r="D362" t="s">
        <v>563</v>
      </c>
      <c r="E362" s="186" t="s">
        <v>564</v>
      </c>
      <c r="G362" s="62"/>
      <c r="H362" s="62"/>
      <c r="I362" s="62"/>
      <c r="J362" s="62"/>
      <c r="K362" s="62"/>
      <c r="L362" s="62"/>
      <c r="M362" s="61"/>
      <c r="N362" s="62"/>
      <c r="O362" s="61"/>
      <c r="P362" s="62"/>
      <c r="Q362" s="61"/>
      <c r="R362" s="62"/>
      <c r="S362" s="936"/>
      <c r="T362" s="61"/>
      <c r="V362" s="968"/>
      <c r="W362" s="968"/>
      <c r="X362" s="186"/>
      <c r="Y362" s="61">
        <v>500</v>
      </c>
      <c r="Z362" s="61"/>
      <c r="AA362" s="61"/>
      <c r="AB362" s="964"/>
      <c r="AC362" s="61">
        <v>500</v>
      </c>
      <c r="AE362" s="964"/>
      <c r="AF362" s="964"/>
      <c r="AG362" s="964"/>
      <c r="AH362" s="61">
        <f>ROUND(AC362*(1+$AH$9),0)</f>
        <v>515</v>
      </c>
      <c r="AJ362" s="964"/>
      <c r="AK362" s="964"/>
      <c r="AL362" s="964"/>
      <c r="AM362" s="61">
        <f>ROUND(AH362*(1+$AH$9),0)</f>
        <v>530</v>
      </c>
      <c r="AO362" s="964"/>
      <c r="AP362" s="964"/>
      <c r="AQ362" s="964"/>
      <c r="AR362" s="61">
        <f>ROUND(AM362*(1+$AH$9),0)</f>
        <v>546</v>
      </c>
      <c r="AT362" s="964"/>
      <c r="AU362" s="964"/>
      <c r="AV362" s="964"/>
      <c r="AW362" s="61">
        <f>ROUND(AR362*(1+$AH$9),0)</f>
        <v>562</v>
      </c>
      <c r="AY362" s="964"/>
      <c r="AZ362" s="964"/>
      <c r="BA362" s="964"/>
      <c r="BB362" s="61">
        <f>ROUND(AW362*(1+$AH$9),0)</f>
        <v>579</v>
      </c>
      <c r="BD362" s="964"/>
      <c r="BE362" s="964"/>
      <c r="BF362" s="61"/>
      <c r="BG362" s="61"/>
      <c r="BH362" s="61"/>
      <c r="BI362" s="506"/>
      <c r="BJ362" s="506"/>
      <c r="BK362" s="506"/>
      <c r="BL362" s="506"/>
      <c r="BM362" s="506"/>
      <c r="BN362" s="506"/>
      <c r="BO362" s="506"/>
      <c r="BP362" s="506"/>
    </row>
    <row r="363" spans="4:68">
      <c r="E363" s="186" t="s">
        <v>565</v>
      </c>
      <c r="G363" s="62"/>
      <c r="H363" s="62"/>
      <c r="I363" s="62"/>
      <c r="J363" s="62"/>
      <c r="K363" s="62"/>
      <c r="L363" s="62"/>
      <c r="M363" s="534">
        <f>SUM(M360:M362)</f>
        <v>0</v>
      </c>
      <c r="N363" s="62"/>
      <c r="O363" s="534">
        <f>SUM(O360:O362)</f>
        <v>0</v>
      </c>
      <c r="P363" s="62"/>
      <c r="Q363" s="534">
        <f>SUM(Q360:Q362)</f>
        <v>0</v>
      </c>
      <c r="R363" s="62"/>
      <c r="S363" s="936"/>
      <c r="T363" s="534">
        <f>SUM(T360:T362)</f>
        <v>0</v>
      </c>
      <c r="U363" s="1071"/>
      <c r="V363" s="968"/>
      <c r="W363" s="968"/>
      <c r="X363" s="186"/>
      <c r="Y363" s="534">
        <f>SUM(Y360:Y362)</f>
        <v>500</v>
      </c>
      <c r="Z363" s="61"/>
      <c r="AA363" s="61"/>
      <c r="AB363" s="964"/>
      <c r="AC363" s="534">
        <f>SUM(AC360:AC362)</f>
        <v>500</v>
      </c>
      <c r="AD363" s="1071"/>
      <c r="AE363" s="964"/>
      <c r="AF363" s="964"/>
      <c r="AG363" s="964"/>
      <c r="AH363" s="534">
        <f>SUM(AH360:AH362)</f>
        <v>515</v>
      </c>
      <c r="AI363" s="1071"/>
      <c r="AJ363" s="964"/>
      <c r="AK363" s="964"/>
      <c r="AL363" s="964"/>
      <c r="AM363" s="534">
        <f>SUM(AM360:AM362)</f>
        <v>530</v>
      </c>
      <c r="AN363" s="1071"/>
      <c r="AO363" s="964"/>
      <c r="AP363" s="964"/>
      <c r="AQ363" s="964"/>
      <c r="AR363" s="534">
        <f>SUM(AR360:AR362)</f>
        <v>546</v>
      </c>
      <c r="AS363" s="1071"/>
      <c r="AT363" s="964"/>
      <c r="AU363" s="964"/>
      <c r="AV363" s="964"/>
      <c r="AW363" s="534">
        <f>SUM(AW360:AW362)</f>
        <v>562</v>
      </c>
      <c r="AX363" s="1071"/>
      <c r="AY363" s="964"/>
      <c r="AZ363" s="964"/>
      <c r="BA363" s="964"/>
      <c r="BB363" s="534">
        <f>SUM(BB360:BB362)</f>
        <v>579</v>
      </c>
      <c r="BC363" s="1071"/>
      <c r="BD363" s="964"/>
      <c r="BE363" s="964"/>
      <c r="BF363" s="61"/>
      <c r="BG363" s="61"/>
      <c r="BH363" s="61"/>
      <c r="BI363" s="506"/>
      <c r="BJ363" s="506"/>
      <c r="BK363" s="506"/>
      <c r="BL363" s="506"/>
      <c r="BM363" s="506"/>
      <c r="BN363" s="506"/>
      <c r="BO363" s="506"/>
      <c r="BP363" s="506"/>
    </row>
    <row r="364" spans="4:68">
      <c r="E364" s="186"/>
      <c r="G364" s="62"/>
      <c r="H364" s="62"/>
      <c r="I364" s="62"/>
      <c r="J364" s="62"/>
      <c r="K364" s="62"/>
      <c r="L364" s="62"/>
      <c r="M364" s="61"/>
      <c r="N364" s="62"/>
      <c r="O364" s="61"/>
      <c r="P364" s="62"/>
      <c r="Q364" s="61"/>
      <c r="R364" s="62"/>
      <c r="S364" s="936"/>
      <c r="T364" s="61"/>
      <c r="V364" s="968"/>
      <c r="W364" s="968"/>
      <c r="X364" s="186"/>
      <c r="Y364" s="61"/>
      <c r="Z364" s="61"/>
      <c r="AA364" s="61"/>
      <c r="AB364" s="964"/>
      <c r="AC364" s="61"/>
      <c r="AE364" s="964"/>
      <c r="AF364" s="964"/>
      <c r="AG364" s="964"/>
      <c r="AH364" s="61"/>
      <c r="AJ364" s="964"/>
      <c r="AK364" s="964"/>
      <c r="AL364" s="964"/>
      <c r="AM364" s="61"/>
      <c r="AO364" s="964"/>
      <c r="AP364" s="964"/>
      <c r="AQ364" s="964"/>
      <c r="AR364" s="61"/>
      <c r="AT364" s="964"/>
      <c r="AU364" s="964"/>
      <c r="AV364" s="964"/>
      <c r="AW364" s="61"/>
      <c r="AY364" s="964"/>
      <c r="AZ364" s="964"/>
      <c r="BA364" s="964"/>
      <c r="BB364" s="61"/>
      <c r="BD364" s="964"/>
      <c r="BE364" s="964"/>
      <c r="BF364" s="61"/>
      <c r="BG364" s="61"/>
      <c r="BH364" s="61"/>
      <c r="BI364" s="506"/>
      <c r="BJ364" s="506"/>
      <c r="BK364" s="506"/>
      <c r="BL364" s="506"/>
      <c r="BM364" s="506"/>
      <c r="BN364" s="506"/>
      <c r="BO364" s="506"/>
      <c r="BP364" s="506"/>
    </row>
    <row r="365" spans="4:68">
      <c r="D365" t="s">
        <v>1483</v>
      </c>
      <c r="E365" s="186" t="s">
        <v>1484</v>
      </c>
      <c r="G365" s="62"/>
      <c r="H365" s="62"/>
      <c r="I365" s="62"/>
      <c r="J365" s="62"/>
      <c r="K365" s="62"/>
      <c r="L365" s="62"/>
      <c r="M365" s="61"/>
      <c r="N365" s="62"/>
      <c r="O365" s="61"/>
      <c r="P365" s="62"/>
      <c r="Q365" s="61"/>
      <c r="R365" s="62"/>
      <c r="S365" s="936"/>
      <c r="T365" s="61"/>
      <c r="V365" s="968"/>
      <c r="W365" s="968"/>
      <c r="X365" s="186"/>
      <c r="Y365" s="61">
        <v>185781</v>
      </c>
      <c r="Z365" s="61"/>
      <c r="AA365" s="61"/>
      <c r="AB365" s="964"/>
      <c r="AC365" s="61">
        <f>AC90</f>
        <v>185000</v>
      </c>
      <c r="AE365" s="964"/>
      <c r="AF365" s="964"/>
      <c r="AG365" s="964"/>
      <c r="AH365" s="61">
        <f>AH90</f>
        <v>190550</v>
      </c>
      <c r="AJ365" s="964"/>
      <c r="AK365" s="964"/>
      <c r="AL365" s="964"/>
      <c r="AM365" s="61">
        <f>AM90</f>
        <v>196267</v>
      </c>
      <c r="AO365" s="964"/>
      <c r="AP365" s="964"/>
      <c r="AQ365" s="964"/>
      <c r="AR365" s="61">
        <f>AR90</f>
        <v>202155</v>
      </c>
      <c r="AT365" s="964"/>
      <c r="AU365" s="964"/>
      <c r="AV365" s="964"/>
      <c r="AW365" s="61">
        <f>AW90</f>
        <v>208220</v>
      </c>
      <c r="AY365" s="964"/>
      <c r="AZ365" s="964"/>
      <c r="BA365" s="964"/>
      <c r="BB365" s="61">
        <f>BB90</f>
        <v>214466</v>
      </c>
      <c r="BD365" s="964"/>
      <c r="BE365" s="964"/>
      <c r="BF365" s="61"/>
      <c r="BG365" s="61"/>
      <c r="BH365" s="61"/>
      <c r="BI365" s="506"/>
      <c r="BJ365" s="506"/>
      <c r="BK365" s="506"/>
      <c r="BL365" s="506"/>
      <c r="BM365" s="506"/>
      <c r="BN365" s="506"/>
      <c r="BO365" s="506"/>
      <c r="BP365" s="506"/>
    </row>
    <row r="366" spans="4:68">
      <c r="D366" t="s">
        <v>1480</v>
      </c>
      <c r="E366" s="186" t="s">
        <v>1485</v>
      </c>
      <c r="G366" s="62"/>
      <c r="H366" s="62"/>
      <c r="I366" s="62"/>
      <c r="J366" s="62"/>
      <c r="K366" s="62"/>
      <c r="L366" s="62"/>
      <c r="M366" s="61"/>
      <c r="N366" s="62"/>
      <c r="O366" s="61"/>
      <c r="P366" s="62"/>
      <c r="Q366" s="61"/>
      <c r="R366" s="62"/>
      <c r="S366" s="936"/>
      <c r="T366" s="61"/>
      <c r="V366" s="968"/>
      <c r="W366" s="968"/>
      <c r="X366" s="186"/>
      <c r="Y366" s="61">
        <v>6426</v>
      </c>
      <c r="Z366" s="61"/>
      <c r="AA366" s="61"/>
      <c r="AB366" s="964"/>
      <c r="AC366" s="61">
        <f>SUM(AC128:AC129)</f>
        <v>32640</v>
      </c>
      <c r="AE366" s="964"/>
      <c r="AF366" s="964"/>
      <c r="AG366" s="964"/>
      <c r="AH366" s="61">
        <f>SUM(AH128:AH129)</f>
        <v>33619</v>
      </c>
      <c r="AJ366" s="964"/>
      <c r="AK366" s="964"/>
      <c r="AL366" s="964"/>
      <c r="AM366" s="61">
        <f>SUM(AM128:AM129)</f>
        <v>34627</v>
      </c>
      <c r="AO366" s="964"/>
      <c r="AP366" s="964"/>
      <c r="AQ366" s="964"/>
      <c r="AR366" s="61">
        <f>SUM(AR128:AR129)</f>
        <v>35665</v>
      </c>
      <c r="AT366" s="964"/>
      <c r="AU366" s="964"/>
      <c r="AV366" s="964"/>
      <c r="AW366" s="61">
        <f>SUM(AW128:AW129)</f>
        <v>36735</v>
      </c>
      <c r="AY366" s="964"/>
      <c r="AZ366" s="964"/>
      <c r="BA366" s="964"/>
      <c r="BB366" s="61">
        <f>SUM(BB128:BB129)</f>
        <v>37837</v>
      </c>
      <c r="BD366" s="964"/>
      <c r="BE366" s="964"/>
      <c r="BF366" s="61"/>
      <c r="BG366" s="61"/>
      <c r="BH366" s="61"/>
      <c r="BI366" s="506"/>
      <c r="BJ366" s="506"/>
      <c r="BK366" s="506"/>
      <c r="BL366" s="506"/>
      <c r="BM366" s="506"/>
      <c r="BN366" s="506"/>
      <c r="BO366" s="506"/>
      <c r="BP366" s="506"/>
    </row>
    <row r="367" spans="4:68">
      <c r="D367" t="s">
        <v>1482</v>
      </c>
      <c r="E367" s="186" t="s">
        <v>1481</v>
      </c>
      <c r="G367" s="62"/>
      <c r="H367" s="62"/>
      <c r="I367" s="62"/>
      <c r="J367" s="62"/>
      <c r="K367" s="62"/>
      <c r="L367" s="62"/>
      <c r="M367" s="61"/>
      <c r="N367" s="62"/>
      <c r="O367" s="61"/>
      <c r="P367" s="62"/>
      <c r="Q367" s="61"/>
      <c r="R367" s="62"/>
      <c r="S367" s="936"/>
      <c r="T367" s="61"/>
      <c r="V367" s="968"/>
      <c r="W367" s="968"/>
      <c r="X367" s="186"/>
      <c r="Y367" s="61"/>
      <c r="Z367" s="61"/>
      <c r="AA367" s="61"/>
      <c r="AB367" s="964"/>
      <c r="AC367" s="61"/>
      <c r="AE367" s="964"/>
      <c r="AF367" s="964"/>
      <c r="AG367" s="964"/>
      <c r="AH367" s="61"/>
      <c r="AJ367" s="964"/>
      <c r="AK367" s="964"/>
      <c r="AL367" s="964"/>
      <c r="AM367" s="61"/>
      <c r="AO367" s="964"/>
      <c r="AP367" s="964"/>
      <c r="AQ367" s="964"/>
      <c r="AR367" s="61"/>
      <c r="AT367" s="964"/>
      <c r="AU367" s="964"/>
      <c r="AV367" s="964"/>
      <c r="AW367" s="61"/>
      <c r="AY367" s="964"/>
      <c r="AZ367" s="964"/>
      <c r="BA367" s="964"/>
      <c r="BB367" s="61"/>
      <c r="BD367" s="964"/>
      <c r="BE367" s="964"/>
      <c r="BF367" s="61"/>
      <c r="BG367" s="61"/>
      <c r="BH367" s="61"/>
      <c r="BI367" s="506"/>
      <c r="BJ367" s="506"/>
      <c r="BK367" s="506"/>
      <c r="BL367" s="506"/>
      <c r="BM367" s="506"/>
      <c r="BN367" s="506"/>
      <c r="BO367" s="506"/>
      <c r="BP367" s="506"/>
    </row>
    <row r="368" spans="4:68">
      <c r="D368" t="s">
        <v>1486</v>
      </c>
      <c r="E368" s="186" t="s">
        <v>566</v>
      </c>
      <c r="G368" s="62"/>
      <c r="H368" s="62"/>
      <c r="I368" s="62"/>
      <c r="J368" s="62"/>
      <c r="K368" s="62"/>
      <c r="L368" s="62"/>
      <c r="M368" s="61"/>
      <c r="N368" s="62"/>
      <c r="O368" s="61"/>
      <c r="P368" s="62"/>
      <c r="Q368" s="61"/>
      <c r="R368" s="62"/>
      <c r="S368" s="936"/>
      <c r="T368" s="61"/>
      <c r="V368" s="968"/>
      <c r="W368" s="968"/>
      <c r="X368" s="186"/>
      <c r="Y368" s="61">
        <v>31875</v>
      </c>
      <c r="Z368" s="61"/>
      <c r="AA368" s="61"/>
      <c r="AB368" s="964"/>
      <c r="AC368" s="61">
        <f>ROUND((AC365*AC16)+(AC366*AC17),0)</f>
        <v>28842</v>
      </c>
      <c r="AE368" s="964"/>
      <c r="AF368" s="964"/>
      <c r="AG368" s="964"/>
      <c r="AH368" s="61">
        <f>ROUND((AH365*AH16)+(AH366*AH17),0)</f>
        <v>33207</v>
      </c>
      <c r="AJ368" s="964"/>
      <c r="AK368" s="964"/>
      <c r="AL368" s="964"/>
      <c r="AM368" s="61">
        <f>ROUND((AM365*AM16)+(AM366*AM17),0)</f>
        <v>39607</v>
      </c>
      <c r="AO368" s="964"/>
      <c r="AP368" s="964"/>
      <c r="AQ368" s="964"/>
      <c r="AR368" s="61">
        <f>ROUND((AR365*AR16)+(AR366*AR17),0)</f>
        <v>40795</v>
      </c>
      <c r="AT368" s="964"/>
      <c r="AU368" s="964"/>
      <c r="AV368" s="964"/>
      <c r="AW368" s="61">
        <f>ROUND((AW365*AW16)+(AW366*AW17),0)</f>
        <v>42018</v>
      </c>
      <c r="AY368" s="964"/>
      <c r="AZ368" s="964"/>
      <c r="BA368" s="964"/>
      <c r="BB368" s="61">
        <f>ROUND((BB365*BB16)+(BB366*BB17),0)</f>
        <v>43279</v>
      </c>
      <c r="BD368" s="964"/>
      <c r="BE368" s="964"/>
      <c r="BF368" s="61"/>
      <c r="BG368" s="61"/>
      <c r="BH368" s="61"/>
      <c r="BI368" s="506"/>
      <c r="BJ368" s="506"/>
      <c r="BK368" s="506"/>
      <c r="BL368" s="506"/>
      <c r="BM368" s="506"/>
      <c r="BN368" s="506"/>
      <c r="BO368" s="506"/>
      <c r="BP368" s="506"/>
    </row>
    <row r="369" spans="3:68">
      <c r="D369" t="s">
        <v>1487</v>
      </c>
      <c r="E369" s="186" t="s">
        <v>567</v>
      </c>
      <c r="G369" s="62"/>
      <c r="H369" s="62"/>
      <c r="I369" s="62"/>
      <c r="J369" s="62"/>
      <c r="K369" s="62"/>
      <c r="L369" s="62"/>
      <c r="M369" s="61"/>
      <c r="N369" s="62"/>
      <c r="O369" s="61"/>
      <c r="P369" s="62"/>
      <c r="Q369" s="61"/>
      <c r="R369" s="62"/>
      <c r="S369" s="936"/>
      <c r="T369" s="61"/>
      <c r="V369" s="968"/>
      <c r="W369" s="968"/>
      <c r="X369" s="186"/>
      <c r="Y369" s="61">
        <v>19738</v>
      </c>
      <c r="Z369" s="61"/>
      <c r="AA369" s="61"/>
      <c r="AB369" s="964"/>
      <c r="AC369" s="61" cm="1">
        <f t="array" ref="AC369">ROUND(SUM(AC365:AC366*0.0765),0)</f>
        <v>16649</v>
      </c>
      <c r="AE369" s="964"/>
      <c r="AF369" s="964"/>
      <c r="AG369" s="964"/>
      <c r="AH369" s="61" cm="1">
        <f t="array" ref="AH369">ROUND(SUM(AH365:AH366*0.0765),0)</f>
        <v>17149</v>
      </c>
      <c r="AJ369" s="964"/>
      <c r="AK369" s="964"/>
      <c r="AL369" s="964"/>
      <c r="AM369" s="61" cm="1">
        <f t="array" ref="AM369">ROUND(SUM(AM365:AM366*0.0765),0)</f>
        <v>17663</v>
      </c>
      <c r="AO369" s="964"/>
      <c r="AP369" s="964"/>
      <c r="AQ369" s="964"/>
      <c r="AR369" s="61" cm="1">
        <f t="array" ref="AR369">ROUND(SUM(AR365:AR366*0.0765),0)</f>
        <v>18193</v>
      </c>
      <c r="AT369" s="964"/>
      <c r="AU369" s="964"/>
      <c r="AV369" s="964"/>
      <c r="AW369" s="61" cm="1">
        <f t="array" ref="AW369">ROUND(SUM(AW365:AW366*0.0765),0)</f>
        <v>18739</v>
      </c>
      <c r="AY369" s="964"/>
      <c r="AZ369" s="964"/>
      <c r="BA369" s="964"/>
      <c r="BB369" s="61" cm="1">
        <f t="array" ref="BB369">ROUND(SUM(BB365:BB366*0.0765),0)</f>
        <v>19301</v>
      </c>
      <c r="BD369" s="964"/>
      <c r="BE369" s="964"/>
      <c r="BF369" s="61"/>
      <c r="BG369" s="61"/>
      <c r="BH369" s="61"/>
      <c r="BI369" s="506"/>
      <c r="BJ369" s="506"/>
      <c r="BK369" s="506"/>
      <c r="BL369" s="506"/>
      <c r="BM369" s="506"/>
      <c r="BN369" s="506"/>
      <c r="BO369" s="506"/>
      <c r="BP369" s="506"/>
    </row>
    <row r="370" spans="3:68">
      <c r="C370" s="1121">
        <v>0.185</v>
      </c>
      <c r="D370" t="s">
        <v>1488</v>
      </c>
      <c r="E370" s="186" t="s">
        <v>568</v>
      </c>
      <c r="G370" s="62"/>
      <c r="H370" s="62"/>
      <c r="I370" s="62"/>
      <c r="J370" s="62"/>
      <c r="K370" s="62"/>
      <c r="L370" s="62"/>
      <c r="M370" s="61"/>
      <c r="N370" s="62"/>
      <c r="O370" s="61"/>
      <c r="P370" s="62"/>
      <c r="Q370" s="61"/>
      <c r="R370" s="62"/>
      <c r="S370" s="936"/>
      <c r="T370" s="61"/>
      <c r="V370" s="968"/>
      <c r="W370" s="968"/>
      <c r="X370" s="186"/>
      <c r="Y370" s="61">
        <v>25725</v>
      </c>
      <c r="Z370" s="61"/>
      <c r="AA370" s="61"/>
      <c r="AB370" s="964"/>
      <c r="AC370" s="61">
        <f>ROUND((SUM(AC365:AC366)*0.0789)*1.1,0)</f>
        <v>18889</v>
      </c>
      <c r="AD370" s="1063" t="s">
        <v>1438</v>
      </c>
      <c r="AE370" s="969"/>
      <c r="AF370" s="964"/>
      <c r="AG370" s="964"/>
      <c r="AH370" s="61">
        <f>ROUND((SUM(AH365:AH366)*0.0789)*1.1,0)</f>
        <v>19456</v>
      </c>
      <c r="AJ370" s="964"/>
      <c r="AK370" s="964"/>
      <c r="AL370" s="964"/>
      <c r="AM370" s="61">
        <f>ROUND((SUM(AM365:AM366)*0.0789)*1.1,0)</f>
        <v>20039</v>
      </c>
      <c r="AO370" s="964"/>
      <c r="AP370" s="964"/>
      <c r="AQ370" s="964"/>
      <c r="AR370" s="61">
        <f>ROUND((SUM(AR365:AR366)*0.0789)*1.1,0)</f>
        <v>20640</v>
      </c>
      <c r="AT370" s="964"/>
      <c r="AU370" s="964"/>
      <c r="AV370" s="964"/>
      <c r="AW370" s="61">
        <f>ROUND((SUM(AW365:AW366)*0.0789)*1.1,0)</f>
        <v>21260</v>
      </c>
      <c r="AY370" s="964"/>
      <c r="AZ370" s="964"/>
      <c r="BA370" s="964"/>
      <c r="BB370" s="61">
        <f>ROUND((SUM(BB365:BB366)*0.0789)*1.1,0)</f>
        <v>21897</v>
      </c>
      <c r="BD370" s="964"/>
      <c r="BE370" s="964"/>
      <c r="BF370" s="61"/>
      <c r="BG370" s="61"/>
      <c r="BH370" s="61"/>
      <c r="BI370" s="506"/>
      <c r="BJ370" s="506"/>
      <c r="BK370" s="506"/>
      <c r="BL370" s="506"/>
      <c r="BM370" s="506"/>
      <c r="BN370" s="506"/>
      <c r="BO370" s="506"/>
      <c r="BP370" s="506"/>
    </row>
    <row r="371" spans="3:68">
      <c r="D371" t="s">
        <v>569</v>
      </c>
      <c r="E371" s="186" t="s">
        <v>570</v>
      </c>
      <c r="G371" s="62"/>
      <c r="H371" s="62"/>
      <c r="I371" s="62"/>
      <c r="J371" s="62"/>
      <c r="K371" s="62"/>
      <c r="L371" s="62"/>
      <c r="M371" s="61"/>
      <c r="N371" s="62"/>
      <c r="O371" s="61"/>
      <c r="P371" s="62"/>
      <c r="Q371" s="61"/>
      <c r="R371" s="62"/>
      <c r="S371" s="936"/>
      <c r="T371" s="61"/>
      <c r="V371" s="968"/>
      <c r="W371" s="968"/>
      <c r="X371" s="186"/>
      <c r="Y371" s="61">
        <v>11350</v>
      </c>
      <c r="Z371" s="61"/>
      <c r="AA371" s="61"/>
      <c r="AB371" s="964"/>
      <c r="AC371" s="61">
        <v>0</v>
      </c>
      <c r="AE371" s="964"/>
      <c r="AF371" s="964"/>
      <c r="AG371" s="964"/>
      <c r="AH371" s="61">
        <f t="shared" ref="AH371:AH382" si="179">AC371*(1+$AH$9)</f>
        <v>0</v>
      </c>
      <c r="AJ371" s="964"/>
      <c r="AK371" s="964"/>
      <c r="AL371" s="964"/>
      <c r="AM371" s="61">
        <f t="shared" ref="AM371:AM382" si="180">AH371*(1+$AH$9)</f>
        <v>0</v>
      </c>
      <c r="AO371" s="964"/>
      <c r="AP371" s="964"/>
      <c r="AQ371" s="964"/>
      <c r="AR371" s="61">
        <f t="shared" ref="AR371:AR382" si="181">AM371*(1+$AH$9)</f>
        <v>0</v>
      </c>
      <c r="AT371" s="964"/>
      <c r="AU371" s="964"/>
      <c r="AV371" s="964"/>
      <c r="AW371" s="61">
        <f t="shared" ref="AW371:AW382" si="182">AR371*(1+$AH$9)</f>
        <v>0</v>
      </c>
      <c r="AY371" s="964"/>
      <c r="AZ371" s="964"/>
      <c r="BA371" s="964"/>
      <c r="BB371" s="61">
        <f t="shared" ref="BB371:BB382" si="183">AW371*(1+$AH$9)</f>
        <v>0</v>
      </c>
      <c r="BD371" s="964"/>
      <c r="BE371" s="964"/>
      <c r="BF371" s="61"/>
      <c r="BG371" s="61"/>
      <c r="BH371" s="61"/>
      <c r="BI371" s="506"/>
      <c r="BJ371" s="506"/>
      <c r="BK371" s="506"/>
      <c r="BL371" s="506"/>
      <c r="BM371" s="506"/>
      <c r="BN371" s="506"/>
      <c r="BO371" s="506"/>
      <c r="BP371" s="506"/>
    </row>
    <row r="372" spans="3:68">
      <c r="D372" t="s">
        <v>1390</v>
      </c>
      <c r="E372" s="186" t="s">
        <v>1389</v>
      </c>
      <c r="G372" s="62"/>
      <c r="H372" s="62"/>
      <c r="I372" s="62"/>
      <c r="J372" s="62"/>
      <c r="K372" s="62"/>
      <c r="L372" s="62"/>
      <c r="M372" s="61"/>
      <c r="N372" s="62"/>
      <c r="O372" s="61"/>
      <c r="P372" s="62"/>
      <c r="Q372" s="61"/>
      <c r="R372" s="62"/>
      <c r="S372" s="936"/>
      <c r="T372" s="61"/>
      <c r="V372" s="968"/>
      <c r="W372" s="968"/>
      <c r="X372" s="186"/>
      <c r="Y372" s="61">
        <v>0</v>
      </c>
      <c r="Z372" s="61"/>
      <c r="AA372" s="61"/>
      <c r="AB372" s="964"/>
      <c r="AC372" s="660">
        <v>0</v>
      </c>
      <c r="AE372" s="964"/>
      <c r="AF372" s="964"/>
      <c r="AG372" s="964"/>
      <c r="AH372" s="61">
        <f t="shared" si="179"/>
        <v>0</v>
      </c>
      <c r="AJ372" s="964"/>
      <c r="AK372" s="964"/>
      <c r="AL372" s="964"/>
      <c r="AM372" s="61">
        <f t="shared" si="180"/>
        <v>0</v>
      </c>
      <c r="AO372" s="964"/>
      <c r="AP372" s="964"/>
      <c r="AQ372" s="964"/>
      <c r="AR372" s="61">
        <f t="shared" si="181"/>
        <v>0</v>
      </c>
      <c r="AT372" s="964"/>
      <c r="AU372" s="964"/>
      <c r="AV372" s="964"/>
      <c r="AW372" s="61">
        <f t="shared" si="182"/>
        <v>0</v>
      </c>
      <c r="AY372" s="964"/>
      <c r="AZ372" s="964"/>
      <c r="BA372" s="964"/>
      <c r="BB372" s="61">
        <f t="shared" si="183"/>
        <v>0</v>
      </c>
      <c r="BD372" s="964"/>
      <c r="BE372" s="964"/>
      <c r="BF372" s="61"/>
      <c r="BG372" s="61"/>
      <c r="BH372" s="61"/>
      <c r="BI372" s="506"/>
      <c r="BJ372" s="506"/>
      <c r="BK372" s="506"/>
      <c r="BL372" s="506"/>
      <c r="BM372" s="506"/>
      <c r="BN372" s="506"/>
      <c r="BO372" s="506"/>
      <c r="BP372" s="506"/>
    </row>
    <row r="373" spans="3:68">
      <c r="D373" t="s">
        <v>1391</v>
      </c>
      <c r="E373" s="186" t="s">
        <v>1392</v>
      </c>
      <c r="G373" s="62"/>
      <c r="H373" s="62"/>
      <c r="I373" s="62"/>
      <c r="J373" s="62"/>
      <c r="K373" s="62"/>
      <c r="L373" s="62"/>
      <c r="M373" s="61"/>
      <c r="N373" s="62"/>
      <c r="O373" s="61"/>
      <c r="P373" s="62"/>
      <c r="Q373" s="61"/>
      <c r="R373" s="62"/>
      <c r="S373" s="936"/>
      <c r="T373" s="61"/>
      <c r="V373" s="968"/>
      <c r="W373" s="968"/>
      <c r="X373" s="186"/>
      <c r="Y373" s="61">
        <v>1450</v>
      </c>
      <c r="Z373" s="61"/>
      <c r="AA373" s="61"/>
      <c r="AB373" s="964"/>
      <c r="AC373" s="61">
        <v>1100</v>
      </c>
      <c r="AE373" s="964"/>
      <c r="AF373" s="964"/>
      <c r="AG373" s="964"/>
      <c r="AH373" s="61">
        <f>ROUND(AC373*(1+$AH$9),0)</f>
        <v>1133</v>
      </c>
      <c r="AJ373" s="964"/>
      <c r="AK373" s="964"/>
      <c r="AL373" s="964"/>
      <c r="AM373" s="61">
        <f>ROUND(AH373*(1+$AH$9),0)</f>
        <v>1167</v>
      </c>
      <c r="AO373" s="964"/>
      <c r="AP373" s="964"/>
      <c r="AQ373" s="964"/>
      <c r="AR373" s="61">
        <f>ROUND(AM373*(1+$AH$9),0)</f>
        <v>1202</v>
      </c>
      <c r="AT373" s="964"/>
      <c r="AU373" s="964"/>
      <c r="AV373" s="964"/>
      <c r="AW373" s="61">
        <f>ROUND(AR373*(1+$AH$9),0)</f>
        <v>1238</v>
      </c>
      <c r="AY373" s="964"/>
      <c r="AZ373" s="964"/>
      <c r="BA373" s="964"/>
      <c r="BB373" s="61">
        <f>ROUND(AW373*(1+$AH$9),0)</f>
        <v>1275</v>
      </c>
      <c r="BD373" s="964"/>
      <c r="BE373" s="964"/>
      <c r="BF373" s="61"/>
      <c r="BG373" s="61"/>
      <c r="BH373" s="61"/>
      <c r="BI373" s="506"/>
      <c r="BJ373" s="506"/>
      <c r="BK373" s="506"/>
      <c r="BL373" s="506"/>
      <c r="BM373" s="506"/>
      <c r="BN373" s="506"/>
      <c r="BO373" s="506"/>
      <c r="BP373" s="506"/>
    </row>
    <row r="374" spans="3:68">
      <c r="D374" t="s">
        <v>1394</v>
      </c>
      <c r="E374" s="186" t="s">
        <v>1393</v>
      </c>
      <c r="G374" s="62"/>
      <c r="H374" s="62"/>
      <c r="I374" s="62"/>
      <c r="J374" s="62"/>
      <c r="K374" s="62"/>
      <c r="L374" s="62"/>
      <c r="M374" s="61"/>
      <c r="N374" s="62"/>
      <c r="O374" s="61"/>
      <c r="P374" s="62"/>
      <c r="Q374" s="61"/>
      <c r="R374" s="62"/>
      <c r="S374" s="936"/>
      <c r="T374" s="61"/>
      <c r="V374" s="968"/>
      <c r="W374" s="968"/>
      <c r="X374" s="186"/>
      <c r="Y374" s="61">
        <v>0</v>
      </c>
      <c r="Z374" s="61"/>
      <c r="AA374" s="61"/>
      <c r="AB374" s="964"/>
      <c r="AC374" s="61">
        <v>6225</v>
      </c>
      <c r="AE374" s="964"/>
      <c r="AF374" s="964"/>
      <c r="AG374" s="964"/>
      <c r="AH374" s="61">
        <f>ROUND(AC374*(1+$AH$9),0)</f>
        <v>6412</v>
      </c>
      <c r="AJ374" s="964"/>
      <c r="AK374" s="964"/>
      <c r="AL374" s="964"/>
      <c r="AM374" s="61">
        <f>ROUND(AH374*(1+$AH$9),0)</f>
        <v>6604</v>
      </c>
      <c r="AO374" s="964"/>
      <c r="AP374" s="964"/>
      <c r="AQ374" s="964"/>
      <c r="AR374" s="61">
        <f>ROUND(AM374*(1+$AH$9),0)</f>
        <v>6802</v>
      </c>
      <c r="AT374" s="964"/>
      <c r="AU374" s="964"/>
      <c r="AV374" s="964"/>
      <c r="AW374" s="61">
        <f>ROUND(AR374*(1+$AH$9),0)</f>
        <v>7006</v>
      </c>
      <c r="AY374" s="964"/>
      <c r="AZ374" s="964"/>
      <c r="BA374" s="964"/>
      <c r="BB374" s="61">
        <f>ROUND(AW374*(1+$AH$9),0)</f>
        <v>7216</v>
      </c>
      <c r="BD374" s="964"/>
      <c r="BE374" s="964"/>
      <c r="BF374" s="61"/>
      <c r="BG374" s="61"/>
      <c r="BH374" s="61"/>
      <c r="BI374" s="506"/>
      <c r="BJ374" s="506"/>
      <c r="BK374" s="506"/>
      <c r="BL374" s="506"/>
      <c r="BM374" s="506"/>
      <c r="BN374" s="506"/>
      <c r="BO374" s="506"/>
      <c r="BP374" s="506"/>
    </row>
    <row r="375" spans="3:68">
      <c r="D375" t="s">
        <v>571</v>
      </c>
      <c r="E375" s="186" t="s">
        <v>572</v>
      </c>
      <c r="G375" s="62"/>
      <c r="H375" s="62"/>
      <c r="I375" s="62"/>
      <c r="J375" s="62"/>
      <c r="K375" s="62"/>
      <c r="L375" s="62"/>
      <c r="M375" s="61"/>
      <c r="N375" s="62"/>
      <c r="O375" s="61"/>
      <c r="P375" s="62"/>
      <c r="Q375" s="61"/>
      <c r="R375" s="62"/>
      <c r="S375" s="936"/>
      <c r="T375" s="61"/>
      <c r="V375" s="968"/>
      <c r="W375" s="968"/>
      <c r="X375" s="186"/>
      <c r="Y375" s="61">
        <v>0</v>
      </c>
      <c r="Z375" s="61"/>
      <c r="AA375" s="61"/>
      <c r="AB375" s="964"/>
      <c r="AC375" s="61">
        <v>500</v>
      </c>
      <c r="AE375" s="964"/>
      <c r="AF375" s="964"/>
      <c r="AG375" s="964"/>
      <c r="AH375" s="61">
        <f>ROUND(AC375*(1+$AH$9),0)</f>
        <v>515</v>
      </c>
      <c r="AJ375" s="964"/>
      <c r="AK375" s="964"/>
      <c r="AL375" s="964"/>
      <c r="AM375" s="61">
        <f>ROUND(AH375*(1+$AH$9),0)</f>
        <v>530</v>
      </c>
      <c r="AO375" s="964"/>
      <c r="AP375" s="964"/>
      <c r="AQ375" s="964"/>
      <c r="AR375" s="61">
        <f>ROUND(AM375*(1+$AH$9),0)</f>
        <v>546</v>
      </c>
      <c r="AT375" s="964"/>
      <c r="AU375" s="964"/>
      <c r="AV375" s="964"/>
      <c r="AW375" s="61">
        <f>ROUND(AR375*(1+$AH$9),0)</f>
        <v>562</v>
      </c>
      <c r="AY375" s="964"/>
      <c r="AZ375" s="964"/>
      <c r="BA375" s="964"/>
      <c r="BB375" s="61">
        <f>ROUND(AW375*(1+$AH$9),0)</f>
        <v>579</v>
      </c>
      <c r="BD375" s="964"/>
      <c r="BE375" s="964"/>
      <c r="BF375" s="61"/>
      <c r="BG375" s="61"/>
      <c r="BH375" s="61"/>
      <c r="BI375" s="506"/>
      <c r="BJ375" s="506"/>
      <c r="BK375" s="506"/>
      <c r="BL375" s="506"/>
      <c r="BM375" s="506"/>
      <c r="BN375" s="506"/>
      <c r="BO375" s="506"/>
      <c r="BP375" s="506"/>
    </row>
    <row r="376" spans="3:68">
      <c r="D376" t="s">
        <v>573</v>
      </c>
      <c r="E376" s="186" t="s">
        <v>574</v>
      </c>
      <c r="G376" s="62"/>
      <c r="H376" s="62"/>
      <c r="I376" s="62"/>
      <c r="J376" s="62"/>
      <c r="K376" s="62"/>
      <c r="L376" s="62"/>
      <c r="M376" s="61"/>
      <c r="N376" s="62"/>
      <c r="O376" s="61"/>
      <c r="P376" s="62"/>
      <c r="Q376" s="61"/>
      <c r="R376" s="62"/>
      <c r="S376" s="936"/>
      <c r="T376" s="61"/>
      <c r="V376" s="968"/>
      <c r="W376" s="968"/>
      <c r="X376" s="186"/>
      <c r="Y376" s="61">
        <v>0</v>
      </c>
      <c r="Z376" s="61"/>
      <c r="AA376" s="61"/>
      <c r="AB376" s="964"/>
      <c r="AC376" s="61">
        <v>0</v>
      </c>
      <c r="AE376" s="964"/>
      <c r="AF376" s="964"/>
      <c r="AG376" s="964"/>
      <c r="AH376" s="61">
        <f t="shared" si="179"/>
        <v>0</v>
      </c>
      <c r="AJ376" s="964"/>
      <c r="AK376" s="964"/>
      <c r="AL376" s="964"/>
      <c r="AM376" s="61">
        <f t="shared" ref="AM376:AM378" si="184">AH376*(1+$AH$9)</f>
        <v>0</v>
      </c>
      <c r="AO376" s="964"/>
      <c r="AP376" s="964"/>
      <c r="AQ376" s="964"/>
      <c r="AR376" s="61">
        <f t="shared" ref="AR376:AR378" si="185">AM376*(1+$AH$9)</f>
        <v>0</v>
      </c>
      <c r="AT376" s="964"/>
      <c r="AU376" s="964"/>
      <c r="AV376" s="964"/>
      <c r="AW376" s="61">
        <f t="shared" ref="AW376:AW378" si="186">AR376*(1+$AH$9)</f>
        <v>0</v>
      </c>
      <c r="AY376" s="964"/>
      <c r="AZ376" s="964"/>
      <c r="BA376" s="964"/>
      <c r="BB376" s="61">
        <f t="shared" ref="BB376:BB378" si="187">AW376*(1+$AH$9)</f>
        <v>0</v>
      </c>
      <c r="BD376" s="964"/>
      <c r="BE376" s="964"/>
      <c r="BF376" s="61"/>
      <c r="BG376" s="61"/>
      <c r="BH376" s="61"/>
      <c r="BI376" s="506"/>
      <c r="BJ376" s="506"/>
      <c r="BK376" s="506"/>
      <c r="BL376" s="506"/>
      <c r="BM376" s="506"/>
      <c r="BN376" s="506"/>
      <c r="BO376" s="506"/>
      <c r="BP376" s="506"/>
    </row>
    <row r="377" spans="3:68">
      <c r="D377" t="s">
        <v>575</v>
      </c>
      <c r="E377" s="186" t="s">
        <v>576</v>
      </c>
      <c r="G377" s="62"/>
      <c r="H377" s="62"/>
      <c r="I377" s="62"/>
      <c r="J377" s="62"/>
      <c r="K377" s="62"/>
      <c r="L377" s="62"/>
      <c r="M377" s="61"/>
      <c r="N377" s="62"/>
      <c r="O377" s="61"/>
      <c r="P377" s="62"/>
      <c r="Q377" s="61"/>
      <c r="R377" s="62"/>
      <c r="S377" s="936"/>
      <c r="T377" s="61"/>
      <c r="V377" s="968"/>
      <c r="W377" s="968"/>
      <c r="X377" s="186"/>
      <c r="Y377" s="61">
        <v>3235</v>
      </c>
      <c r="Z377" s="61"/>
      <c r="AA377" s="61"/>
      <c r="AB377" s="964"/>
      <c r="AC377" s="61">
        <v>7500</v>
      </c>
      <c r="AE377" s="964"/>
      <c r="AF377" s="964"/>
      <c r="AG377" s="964"/>
      <c r="AH377" s="61">
        <f>ROUND(AC377*(1+$AH$9),0)</f>
        <v>7725</v>
      </c>
      <c r="AJ377" s="964"/>
      <c r="AK377" s="964"/>
      <c r="AL377" s="964"/>
      <c r="AM377" s="61">
        <f>ROUND(AH377*(1+$AH$9),0)</f>
        <v>7957</v>
      </c>
      <c r="AO377" s="964"/>
      <c r="AP377" s="964"/>
      <c r="AQ377" s="964"/>
      <c r="AR377" s="61">
        <f>ROUND(AM377*(1+$AH$9),0)</f>
        <v>8196</v>
      </c>
      <c r="AT377" s="964"/>
      <c r="AU377" s="964"/>
      <c r="AV377" s="964"/>
      <c r="AW377" s="61">
        <f>ROUND(AR377*(1+$AH$9),0)</f>
        <v>8442</v>
      </c>
      <c r="AY377" s="964"/>
      <c r="AZ377" s="964"/>
      <c r="BA377" s="964"/>
      <c r="BB377" s="61">
        <f>ROUND(AW377*(1+$AH$9),0)</f>
        <v>8695</v>
      </c>
      <c r="BD377" s="964"/>
      <c r="BE377" s="964"/>
      <c r="BF377" s="61"/>
      <c r="BG377" s="61"/>
      <c r="BH377" s="61"/>
      <c r="BI377" s="506"/>
      <c r="BJ377" s="506"/>
      <c r="BK377" s="506"/>
      <c r="BL377" s="506"/>
      <c r="BM377" s="506"/>
      <c r="BN377" s="506"/>
      <c r="BO377" s="506"/>
      <c r="BP377" s="506"/>
    </row>
    <row r="378" spans="3:68">
      <c r="D378" t="s">
        <v>577</v>
      </c>
      <c r="E378" s="186" t="s">
        <v>578</v>
      </c>
      <c r="G378" s="62"/>
      <c r="H378" s="62"/>
      <c r="I378" s="62"/>
      <c r="J378" s="62"/>
      <c r="K378" s="62"/>
      <c r="L378" s="62"/>
      <c r="M378" s="61"/>
      <c r="N378" s="62"/>
      <c r="O378" s="61"/>
      <c r="P378" s="62"/>
      <c r="Q378" s="61"/>
      <c r="R378" s="62"/>
      <c r="S378" s="936"/>
      <c r="T378" s="61"/>
      <c r="V378" s="968"/>
      <c r="W378" s="968"/>
      <c r="X378" s="186"/>
      <c r="Y378" s="61">
        <v>0</v>
      </c>
      <c r="Z378" s="61"/>
      <c r="AA378" s="61"/>
      <c r="AB378" s="964"/>
      <c r="AC378" s="61">
        <v>0</v>
      </c>
      <c r="AE378" s="964"/>
      <c r="AF378" s="964"/>
      <c r="AG378" s="964"/>
      <c r="AH378" s="61">
        <f t="shared" si="179"/>
        <v>0</v>
      </c>
      <c r="AJ378" s="964"/>
      <c r="AK378" s="964"/>
      <c r="AL378" s="964"/>
      <c r="AM378" s="61">
        <f t="shared" si="184"/>
        <v>0</v>
      </c>
      <c r="AO378" s="964"/>
      <c r="AP378" s="964"/>
      <c r="AQ378" s="964"/>
      <c r="AR378" s="61">
        <f t="shared" si="185"/>
        <v>0</v>
      </c>
      <c r="AT378" s="964"/>
      <c r="AU378" s="964"/>
      <c r="AV378" s="964"/>
      <c r="AW378" s="61">
        <f t="shared" si="186"/>
        <v>0</v>
      </c>
      <c r="AY378" s="964"/>
      <c r="AZ378" s="964"/>
      <c r="BA378" s="964"/>
      <c r="BB378" s="61">
        <f t="shared" si="187"/>
        <v>0</v>
      </c>
      <c r="BD378" s="964"/>
      <c r="BE378" s="964"/>
      <c r="BF378" s="61"/>
      <c r="BG378" s="61"/>
      <c r="BH378" s="61"/>
      <c r="BI378" s="506"/>
      <c r="BJ378" s="506"/>
      <c r="BK378" s="506"/>
      <c r="BL378" s="506"/>
      <c r="BM378" s="506"/>
      <c r="BN378" s="506"/>
      <c r="BO378" s="506"/>
      <c r="BP378" s="506"/>
    </row>
    <row r="379" spans="3:68">
      <c r="D379" t="s">
        <v>579</v>
      </c>
      <c r="E379" s="186" t="s">
        <v>580</v>
      </c>
      <c r="G379" s="62"/>
      <c r="H379" s="62"/>
      <c r="I379" s="62"/>
      <c r="J379" s="62"/>
      <c r="K379" s="62"/>
      <c r="L379" s="62"/>
      <c r="M379" s="61"/>
      <c r="N379" s="62"/>
      <c r="O379" s="61"/>
      <c r="P379" s="62"/>
      <c r="Q379" s="61"/>
      <c r="R379" s="62"/>
      <c r="S379" s="936"/>
      <c r="T379" s="61"/>
      <c r="V379" s="968"/>
      <c r="W379" s="968"/>
      <c r="X379" s="186"/>
      <c r="Y379" s="61">
        <v>17000</v>
      </c>
      <c r="Z379" s="61"/>
      <c r="AA379" s="61"/>
      <c r="AB379" s="964"/>
      <c r="AC379" s="660">
        <v>11025</v>
      </c>
      <c r="AE379" s="964"/>
      <c r="AF379" s="964"/>
      <c r="AG379" s="964"/>
      <c r="AH379" s="61">
        <f>ROUND(AC379*(1+$AH$9),0)</f>
        <v>11356</v>
      </c>
      <c r="AJ379" s="964"/>
      <c r="AK379" s="964"/>
      <c r="AL379" s="964"/>
      <c r="AM379" s="61">
        <f>ROUND(AH379*(1+$AH$9),0)</f>
        <v>11697</v>
      </c>
      <c r="AO379" s="964"/>
      <c r="AP379" s="964"/>
      <c r="AQ379" s="964"/>
      <c r="AR379" s="61">
        <f>ROUND(AM379*(1+$AH$9),0)</f>
        <v>12048</v>
      </c>
      <c r="AT379" s="964"/>
      <c r="AU379" s="964"/>
      <c r="AV379" s="964"/>
      <c r="AW379" s="61">
        <f>ROUND(AR379*(1+$AH$9),0)</f>
        <v>12409</v>
      </c>
      <c r="AY379" s="964"/>
      <c r="AZ379" s="964"/>
      <c r="BA379" s="964"/>
      <c r="BB379" s="61">
        <f>ROUND(AW379*(1+$AH$9),0)</f>
        <v>12781</v>
      </c>
      <c r="BD379" s="964"/>
      <c r="BE379" s="964"/>
      <c r="BF379" s="61"/>
      <c r="BG379" s="61"/>
      <c r="BH379" s="61"/>
      <c r="BI379" s="506"/>
      <c r="BJ379" s="506"/>
      <c r="BK379" s="506"/>
      <c r="BL379" s="506"/>
      <c r="BM379" s="506"/>
      <c r="BN379" s="506"/>
      <c r="BO379" s="506"/>
      <c r="BP379" s="506"/>
    </row>
    <row r="380" spans="3:68">
      <c r="D380" t="s">
        <v>581</v>
      </c>
      <c r="E380" s="186" t="s">
        <v>582</v>
      </c>
      <c r="G380" s="62"/>
      <c r="H380" s="62"/>
      <c r="I380" s="62"/>
      <c r="J380" s="62"/>
      <c r="K380" s="62"/>
      <c r="L380" s="62"/>
      <c r="M380" s="61"/>
      <c r="N380" s="62"/>
      <c r="O380" s="61"/>
      <c r="P380" s="62"/>
      <c r="Q380" s="61"/>
      <c r="R380" s="62"/>
      <c r="S380" s="936"/>
      <c r="T380" s="61"/>
      <c r="V380" s="968"/>
      <c r="W380" s="968"/>
      <c r="X380" s="186"/>
      <c r="Y380" s="61">
        <v>0</v>
      </c>
      <c r="Z380" s="61"/>
      <c r="AA380" s="61"/>
      <c r="AB380" s="964"/>
      <c r="AC380" s="61">
        <v>0</v>
      </c>
      <c r="AE380" s="964"/>
      <c r="AF380" s="964"/>
      <c r="AG380" s="964"/>
      <c r="AH380" s="61">
        <f t="shared" si="179"/>
        <v>0</v>
      </c>
      <c r="AJ380" s="964"/>
      <c r="AK380" s="964"/>
      <c r="AL380" s="964"/>
      <c r="AM380" s="61">
        <f t="shared" si="180"/>
        <v>0</v>
      </c>
      <c r="AO380" s="964"/>
      <c r="AP380" s="964"/>
      <c r="AQ380" s="964"/>
      <c r="AR380" s="61">
        <f t="shared" si="181"/>
        <v>0</v>
      </c>
      <c r="AT380" s="964"/>
      <c r="AU380" s="964"/>
      <c r="AV380" s="964"/>
      <c r="AW380" s="61">
        <f t="shared" si="182"/>
        <v>0</v>
      </c>
      <c r="AY380" s="964"/>
      <c r="AZ380" s="964"/>
      <c r="BA380" s="964"/>
      <c r="BB380" s="61">
        <f t="shared" si="183"/>
        <v>0</v>
      </c>
      <c r="BD380" s="964"/>
      <c r="BE380" s="964"/>
      <c r="BF380" s="61"/>
      <c r="BG380" s="61"/>
      <c r="BH380" s="61"/>
      <c r="BI380" s="506"/>
      <c r="BJ380" s="506"/>
      <c r="BK380" s="506"/>
      <c r="BL380" s="506"/>
      <c r="BM380" s="506"/>
      <c r="BN380" s="506"/>
      <c r="BO380" s="506"/>
      <c r="BP380" s="506"/>
    </row>
    <row r="381" spans="3:68">
      <c r="D381" t="s">
        <v>583</v>
      </c>
      <c r="E381" s="186" t="s">
        <v>584</v>
      </c>
      <c r="G381" s="62"/>
      <c r="H381" s="62"/>
      <c r="I381" s="62"/>
      <c r="J381" s="62"/>
      <c r="K381" s="62"/>
      <c r="L381" s="62"/>
      <c r="M381" s="61"/>
      <c r="N381" s="62"/>
      <c r="O381" s="61"/>
      <c r="P381" s="62"/>
      <c r="Q381" s="61"/>
      <c r="R381" s="62"/>
      <c r="S381" s="936"/>
      <c r="T381" s="61"/>
      <c r="V381" s="968"/>
      <c r="W381" s="968"/>
      <c r="X381" s="186"/>
      <c r="Y381" s="61">
        <v>0</v>
      </c>
      <c r="Z381" s="61"/>
      <c r="AA381" s="61"/>
      <c r="AB381" s="964"/>
      <c r="AC381" s="61">
        <v>0</v>
      </c>
      <c r="AE381" s="964"/>
      <c r="AF381" s="964"/>
      <c r="AG381" s="964"/>
      <c r="AH381" s="61">
        <f t="shared" si="179"/>
        <v>0</v>
      </c>
      <c r="AJ381" s="964"/>
      <c r="AK381" s="964"/>
      <c r="AL381" s="964"/>
      <c r="AM381" s="61">
        <f t="shared" si="180"/>
        <v>0</v>
      </c>
      <c r="AO381" s="964"/>
      <c r="AP381" s="964"/>
      <c r="AQ381" s="964"/>
      <c r="AR381" s="61">
        <f t="shared" si="181"/>
        <v>0</v>
      </c>
      <c r="AT381" s="964"/>
      <c r="AU381" s="964"/>
      <c r="AV381" s="964"/>
      <c r="AW381" s="61">
        <f t="shared" si="182"/>
        <v>0</v>
      </c>
      <c r="AY381" s="964"/>
      <c r="AZ381" s="964"/>
      <c r="BA381" s="964"/>
      <c r="BB381" s="61">
        <f t="shared" si="183"/>
        <v>0</v>
      </c>
      <c r="BD381" s="964"/>
      <c r="BE381" s="964"/>
      <c r="BF381" s="61"/>
      <c r="BG381" s="61"/>
      <c r="BH381" s="61"/>
      <c r="BI381" s="506"/>
      <c r="BJ381" s="506"/>
      <c r="BK381" s="506"/>
      <c r="BL381" s="506"/>
      <c r="BM381" s="506"/>
      <c r="BN381" s="506"/>
      <c r="BO381" s="506"/>
      <c r="BP381" s="506"/>
    </row>
    <row r="382" spans="3:68">
      <c r="D382" t="s">
        <v>585</v>
      </c>
      <c r="E382" s="186" t="s">
        <v>1443</v>
      </c>
      <c r="G382" s="62"/>
      <c r="H382" s="62"/>
      <c r="I382" s="62"/>
      <c r="J382" s="62"/>
      <c r="K382" s="62"/>
      <c r="L382" s="62"/>
      <c r="M382" s="61"/>
      <c r="N382" s="62"/>
      <c r="O382" s="61"/>
      <c r="P382" s="62"/>
      <c r="Q382" s="61"/>
      <c r="R382" s="62"/>
      <c r="S382" s="936"/>
      <c r="T382" s="61"/>
      <c r="V382" s="968"/>
      <c r="W382" s="968"/>
      <c r="X382" s="186"/>
      <c r="Y382" s="61">
        <v>0</v>
      </c>
      <c r="Z382" s="61"/>
      <c r="AA382" s="61"/>
      <c r="AB382" s="964"/>
      <c r="AC382" s="61"/>
      <c r="AE382" s="964"/>
      <c r="AF382" s="964"/>
      <c r="AG382" s="964"/>
      <c r="AH382" s="61">
        <f t="shared" si="179"/>
        <v>0</v>
      </c>
      <c r="AJ382" s="964"/>
      <c r="AK382" s="964"/>
      <c r="AL382" s="964"/>
      <c r="AM382" s="61">
        <f t="shared" si="180"/>
        <v>0</v>
      </c>
      <c r="AO382" s="964"/>
      <c r="AP382" s="964"/>
      <c r="AQ382" s="964"/>
      <c r="AR382" s="61">
        <f t="shared" si="181"/>
        <v>0</v>
      </c>
      <c r="AT382" s="964"/>
      <c r="AU382" s="964"/>
      <c r="AV382" s="964"/>
      <c r="AW382" s="61">
        <f t="shared" si="182"/>
        <v>0</v>
      </c>
      <c r="AY382" s="964"/>
      <c r="AZ382" s="964"/>
      <c r="BA382" s="964"/>
      <c r="BB382" s="61">
        <f t="shared" si="183"/>
        <v>0</v>
      </c>
      <c r="BD382" s="964"/>
      <c r="BE382" s="964"/>
      <c r="BF382" s="61"/>
      <c r="BG382" s="61"/>
      <c r="BH382" s="61"/>
      <c r="BI382" s="506"/>
      <c r="BJ382" s="506"/>
      <c r="BK382" s="506"/>
      <c r="BL382" s="506"/>
      <c r="BM382" s="506"/>
      <c r="BN382" s="506"/>
      <c r="BO382" s="506"/>
      <c r="BP382" s="506"/>
    </row>
    <row r="383" spans="3:68">
      <c r="E383" s="186" t="s">
        <v>587</v>
      </c>
      <c r="G383" s="62"/>
      <c r="H383" s="62"/>
      <c r="I383" s="62"/>
      <c r="J383" s="62"/>
      <c r="K383" s="62"/>
      <c r="L383" s="62"/>
      <c r="M383" s="534">
        <f>SUM(M365:M382)</f>
        <v>0</v>
      </c>
      <c r="N383" s="62"/>
      <c r="O383" s="534">
        <f>SUM(O365:O382)</f>
        <v>0</v>
      </c>
      <c r="P383" s="62"/>
      <c r="Q383" s="534">
        <f>SUM(Q365:Q382)</f>
        <v>0</v>
      </c>
      <c r="R383" s="62"/>
      <c r="S383" s="936"/>
      <c r="T383" s="534">
        <f>SUM(T365:T382)</f>
        <v>0</v>
      </c>
      <c r="U383" s="1071"/>
      <c r="V383" s="968"/>
      <c r="W383" s="968"/>
      <c r="X383" s="186"/>
      <c r="Y383" s="534">
        <f>SUM(Y365:Y382)</f>
        <v>302580</v>
      </c>
      <c r="Z383" s="61"/>
      <c r="AA383" s="61"/>
      <c r="AB383" s="964"/>
      <c r="AC383" s="534">
        <f>SUM(AC365:AC382)</f>
        <v>308370</v>
      </c>
      <c r="AD383" s="1071"/>
      <c r="AE383" s="964"/>
      <c r="AF383" s="964"/>
      <c r="AG383" s="964"/>
      <c r="AH383" s="534">
        <f>SUM(AH365:AH382)</f>
        <v>321122</v>
      </c>
      <c r="AI383" s="1071"/>
      <c r="AJ383" s="964"/>
      <c r="AK383" s="964"/>
      <c r="AL383" s="964"/>
      <c r="AM383" s="534">
        <f>SUM(AM365:AM382)</f>
        <v>336158</v>
      </c>
      <c r="AN383" s="1071"/>
      <c r="AO383" s="964"/>
      <c r="AP383" s="964"/>
      <c r="AQ383" s="964"/>
      <c r="AR383" s="534">
        <f>SUM(AR365:AR382)</f>
        <v>346242</v>
      </c>
      <c r="AS383" s="1071"/>
      <c r="AT383" s="964"/>
      <c r="AU383" s="964"/>
      <c r="AV383" s="964"/>
      <c r="AW383" s="534">
        <f>SUM(AW365:AW382)</f>
        <v>356629</v>
      </c>
      <c r="AX383" s="1071"/>
      <c r="AY383" s="964"/>
      <c r="AZ383" s="964"/>
      <c r="BA383" s="964"/>
      <c r="BB383" s="534">
        <f>SUM(BB365:BB382)</f>
        <v>367326</v>
      </c>
      <c r="BC383" s="1071"/>
      <c r="BD383" s="964"/>
      <c r="BE383" s="964"/>
      <c r="BF383" s="61"/>
      <c r="BG383" s="61"/>
      <c r="BH383" s="61"/>
      <c r="BI383" s="506"/>
      <c r="BJ383" s="506"/>
      <c r="BK383" s="506"/>
      <c r="BL383" s="506"/>
      <c r="BM383" s="506"/>
      <c r="BN383" s="506"/>
      <c r="BO383" s="506"/>
      <c r="BP383" s="506"/>
    </row>
    <row r="384" spans="3:68">
      <c r="E384" s="186"/>
      <c r="G384" s="62"/>
      <c r="H384" s="62"/>
      <c r="I384" s="62"/>
      <c r="J384" s="62"/>
      <c r="K384" s="62"/>
      <c r="L384" s="62"/>
      <c r="M384" s="533"/>
      <c r="N384" s="62"/>
      <c r="O384" s="533"/>
      <c r="P384" s="62"/>
      <c r="Q384" s="533"/>
      <c r="R384" s="62"/>
      <c r="S384" s="936"/>
      <c r="T384" s="533"/>
      <c r="U384" s="1071"/>
      <c r="V384" s="968"/>
      <c r="W384" s="968"/>
      <c r="X384" s="186"/>
      <c r="Y384" s="533"/>
      <c r="Z384" s="61"/>
      <c r="AA384" s="61"/>
      <c r="AB384" s="964"/>
      <c r="AC384" s="533"/>
      <c r="AD384" s="1071"/>
      <c r="AE384" s="964"/>
      <c r="AF384" s="964"/>
      <c r="AG384" s="964"/>
      <c r="AH384" s="533"/>
      <c r="AI384" s="1071"/>
      <c r="AJ384" s="964"/>
      <c r="AK384" s="964"/>
      <c r="AL384" s="964"/>
      <c r="AM384" s="533"/>
      <c r="AN384" s="1071"/>
      <c r="AO384" s="964"/>
      <c r="AP384" s="964"/>
      <c r="AQ384" s="964"/>
      <c r="AR384" s="533"/>
      <c r="AS384" s="1071"/>
      <c r="AT384" s="964"/>
      <c r="AU384" s="964"/>
      <c r="AV384" s="964"/>
      <c r="AW384" s="533"/>
      <c r="AX384" s="1071"/>
      <c r="AY384" s="964"/>
      <c r="AZ384" s="964"/>
      <c r="BA384" s="964"/>
      <c r="BB384" s="533"/>
      <c r="BC384" s="1071"/>
      <c r="BD384" s="964"/>
      <c r="BE384" s="964"/>
      <c r="BF384" s="61"/>
      <c r="BG384" s="61"/>
      <c r="BH384" s="61"/>
      <c r="BI384" s="506"/>
      <c r="BJ384" s="506"/>
      <c r="BK384" s="506"/>
      <c r="BL384" s="506"/>
      <c r="BM384" s="506"/>
      <c r="BN384" s="506"/>
      <c r="BO384" s="506"/>
      <c r="BP384" s="506"/>
    </row>
    <row r="385" spans="4:68">
      <c r="D385" t="s">
        <v>588</v>
      </c>
      <c r="E385" s="186" t="s">
        <v>589</v>
      </c>
      <c r="G385" s="62"/>
      <c r="H385" s="62"/>
      <c r="I385" s="62"/>
      <c r="J385" s="62"/>
      <c r="K385" s="62"/>
      <c r="L385" s="62"/>
      <c r="M385" s="61"/>
      <c r="N385" s="62"/>
      <c r="O385" s="61"/>
      <c r="P385" s="62"/>
      <c r="Q385" s="61"/>
      <c r="R385" s="62"/>
      <c r="S385" s="936"/>
      <c r="T385" s="61"/>
      <c r="V385" s="968"/>
      <c r="W385" s="968"/>
      <c r="X385" s="186"/>
      <c r="Y385" s="61"/>
      <c r="Z385" s="61"/>
      <c r="AA385" s="61"/>
      <c r="AB385" s="964"/>
      <c r="AC385" s="61">
        <v>0</v>
      </c>
      <c r="AE385" s="964"/>
      <c r="AF385" s="964"/>
      <c r="AG385" s="964"/>
      <c r="AH385" s="61">
        <f>AC385*(1+$AH$9)</f>
        <v>0</v>
      </c>
      <c r="AJ385" s="964"/>
      <c r="AK385" s="964"/>
      <c r="AL385" s="964"/>
      <c r="AM385" s="61">
        <f>AH385*(1+$AH$9)</f>
        <v>0</v>
      </c>
      <c r="AO385" s="964"/>
      <c r="AP385" s="964"/>
      <c r="AQ385" s="964"/>
      <c r="AR385" s="61">
        <f>AM385*(1+$AH$9)</f>
        <v>0</v>
      </c>
      <c r="AT385" s="964"/>
      <c r="AU385" s="964"/>
      <c r="AV385" s="964"/>
      <c r="AW385" s="61">
        <f>AR385*(1+$AH$9)</f>
        <v>0</v>
      </c>
      <c r="AY385" s="964"/>
      <c r="AZ385" s="964"/>
      <c r="BA385" s="964"/>
      <c r="BB385" s="61">
        <f>AW385*(1+$AH$9)</f>
        <v>0</v>
      </c>
      <c r="BD385" s="964"/>
      <c r="BE385" s="964"/>
      <c r="BF385" s="61"/>
      <c r="BG385" s="61"/>
      <c r="BH385" s="61"/>
      <c r="BI385" s="506"/>
      <c r="BJ385" s="506"/>
      <c r="BK385" s="506"/>
      <c r="BL385" s="506"/>
      <c r="BM385" s="506"/>
      <c r="BN385" s="506"/>
      <c r="BO385" s="506"/>
      <c r="BP385" s="506"/>
    </row>
    <row r="386" spans="4:68">
      <c r="D386" t="s">
        <v>590</v>
      </c>
      <c r="E386" s="186" t="s">
        <v>591</v>
      </c>
      <c r="G386" s="62"/>
      <c r="H386" s="62"/>
      <c r="I386" s="62"/>
      <c r="J386" s="62"/>
      <c r="K386" s="62"/>
      <c r="L386" s="62"/>
      <c r="M386" s="61"/>
      <c r="N386" s="62"/>
      <c r="O386" s="61"/>
      <c r="P386" s="62"/>
      <c r="Q386" s="61"/>
      <c r="R386" s="62"/>
      <c r="S386" s="936"/>
      <c r="T386" s="61"/>
      <c r="V386" s="968"/>
      <c r="W386" s="968"/>
      <c r="X386" s="186"/>
      <c r="Y386" s="61"/>
      <c r="Z386" s="61"/>
      <c r="AA386" s="61"/>
      <c r="AB386" s="964"/>
      <c r="AC386" s="61">
        <v>0</v>
      </c>
      <c r="AE386" s="964"/>
      <c r="AF386" s="964"/>
      <c r="AG386" s="964"/>
      <c r="AH386" s="61">
        <f>AC386*(1+$AH$9)</f>
        <v>0</v>
      </c>
      <c r="AJ386" s="964"/>
      <c r="AK386" s="964"/>
      <c r="AL386" s="964"/>
      <c r="AM386" s="61">
        <f>AH386*(1+$AH$9)</f>
        <v>0</v>
      </c>
      <c r="AO386" s="964"/>
      <c r="AP386" s="964"/>
      <c r="AQ386" s="964"/>
      <c r="AR386" s="61">
        <f>AM386*(1+$AH$9)</f>
        <v>0</v>
      </c>
      <c r="AT386" s="964"/>
      <c r="AU386" s="964"/>
      <c r="AV386" s="964"/>
      <c r="AW386" s="61">
        <f>AR386*(1+$AH$9)</f>
        <v>0</v>
      </c>
      <c r="AY386" s="964"/>
      <c r="AZ386" s="964"/>
      <c r="BA386" s="964"/>
      <c r="BB386" s="61">
        <f>AW386*(1+$AH$9)</f>
        <v>0</v>
      </c>
      <c r="BD386" s="964"/>
      <c r="BE386" s="964"/>
      <c r="BF386" s="61"/>
      <c r="BG386" s="61"/>
      <c r="BH386" s="61"/>
      <c r="BI386" s="506"/>
      <c r="BJ386" s="506"/>
      <c r="BK386" s="506"/>
      <c r="BL386" s="506"/>
      <c r="BM386" s="506"/>
      <c r="BN386" s="506"/>
      <c r="BO386" s="506"/>
      <c r="BP386" s="506"/>
    </row>
    <row r="387" spans="4:68">
      <c r="D387" t="s">
        <v>592</v>
      </c>
      <c r="E387" s="186" t="s">
        <v>593</v>
      </c>
      <c r="G387" s="62"/>
      <c r="H387" s="62"/>
      <c r="I387" s="62"/>
      <c r="J387" s="62"/>
      <c r="K387" s="62"/>
      <c r="L387" s="62"/>
      <c r="M387" s="61"/>
      <c r="N387" s="62"/>
      <c r="O387" s="61"/>
      <c r="P387" s="62"/>
      <c r="Q387" s="61"/>
      <c r="R387" s="62"/>
      <c r="S387" s="936"/>
      <c r="T387" s="61"/>
      <c r="V387" s="968"/>
      <c r="W387" s="968"/>
      <c r="X387" s="186"/>
      <c r="Y387" s="61"/>
      <c r="Z387" s="61"/>
      <c r="AA387" s="61"/>
      <c r="AB387" s="964"/>
      <c r="AC387" s="61">
        <v>0</v>
      </c>
      <c r="AE387" s="964"/>
      <c r="AF387" s="964"/>
      <c r="AG387" s="964"/>
      <c r="AH387" s="61">
        <f>AC387*(1+$AH$9)</f>
        <v>0</v>
      </c>
      <c r="AJ387" s="964"/>
      <c r="AK387" s="964"/>
      <c r="AL387" s="964"/>
      <c r="AM387" s="61">
        <f>AH387*(1+$AH$9)</f>
        <v>0</v>
      </c>
      <c r="AO387" s="964"/>
      <c r="AP387" s="964"/>
      <c r="AQ387" s="964"/>
      <c r="AR387" s="61">
        <f>AM387*(1+$AH$9)</f>
        <v>0</v>
      </c>
      <c r="AT387" s="964"/>
      <c r="AU387" s="964"/>
      <c r="AV387" s="964"/>
      <c r="AW387" s="61">
        <f>AR387*(1+$AH$9)</f>
        <v>0</v>
      </c>
      <c r="AY387" s="964"/>
      <c r="AZ387" s="964"/>
      <c r="BA387" s="964"/>
      <c r="BB387" s="61">
        <f>AW387*(1+$AH$9)</f>
        <v>0</v>
      </c>
      <c r="BD387" s="964"/>
      <c r="BE387" s="964"/>
      <c r="BF387" s="61"/>
      <c r="BG387" s="61"/>
      <c r="BH387" s="61"/>
      <c r="BI387" s="506"/>
      <c r="BJ387" s="506"/>
      <c r="BK387" s="506"/>
      <c r="BL387" s="506"/>
      <c r="BM387" s="506"/>
      <c r="BN387" s="506"/>
      <c r="BO387" s="506"/>
      <c r="BP387" s="506"/>
    </row>
    <row r="388" spans="4:68">
      <c r="D388" t="s">
        <v>594</v>
      </c>
      <c r="E388" s="186" t="s">
        <v>595</v>
      </c>
      <c r="G388" s="62"/>
      <c r="H388" s="62"/>
      <c r="I388" s="62"/>
      <c r="J388" s="62"/>
      <c r="K388" s="62"/>
      <c r="L388" s="62"/>
      <c r="M388" s="61"/>
      <c r="N388" s="62"/>
      <c r="O388" s="61"/>
      <c r="P388" s="62"/>
      <c r="Q388" s="61"/>
      <c r="R388" s="62"/>
      <c r="S388" s="936"/>
      <c r="T388" s="61"/>
      <c r="V388" s="968"/>
      <c r="W388" s="968"/>
      <c r="X388" s="186"/>
      <c r="Y388" s="61"/>
      <c r="Z388" s="61"/>
      <c r="AA388" s="61"/>
      <c r="AB388" s="964"/>
      <c r="AC388" s="61">
        <v>0</v>
      </c>
      <c r="AE388" s="964"/>
      <c r="AF388" s="964"/>
      <c r="AG388" s="964"/>
      <c r="AH388" s="61">
        <f>AC388*(1+$AH$9)</f>
        <v>0</v>
      </c>
      <c r="AJ388" s="964"/>
      <c r="AK388" s="964"/>
      <c r="AL388" s="964"/>
      <c r="AM388" s="61">
        <f>AH388*(1+$AH$9)</f>
        <v>0</v>
      </c>
      <c r="AO388" s="964"/>
      <c r="AP388" s="964"/>
      <c r="AQ388" s="964"/>
      <c r="AR388" s="61">
        <f>AM388*(1+$AH$9)</f>
        <v>0</v>
      </c>
      <c r="AT388" s="964"/>
      <c r="AU388" s="964"/>
      <c r="AV388" s="964"/>
      <c r="AW388" s="61">
        <f>AR388*(1+$AH$9)</f>
        <v>0</v>
      </c>
      <c r="AY388" s="964"/>
      <c r="AZ388" s="964"/>
      <c r="BA388" s="964"/>
      <c r="BB388" s="61">
        <f>AW388*(1+$AH$9)</f>
        <v>0</v>
      </c>
      <c r="BD388" s="964"/>
      <c r="BE388" s="964"/>
      <c r="BF388" s="61"/>
      <c r="BG388" s="61"/>
      <c r="BH388" s="61"/>
      <c r="BI388" s="506"/>
      <c r="BJ388" s="506"/>
      <c r="BK388" s="506"/>
      <c r="BL388" s="506"/>
      <c r="BM388" s="506"/>
      <c r="BN388" s="506"/>
      <c r="BO388" s="506"/>
      <c r="BP388" s="506"/>
    </row>
    <row r="389" spans="4:68">
      <c r="D389" t="s">
        <v>596</v>
      </c>
      <c r="E389" s="186" t="s">
        <v>597</v>
      </c>
      <c r="G389" s="62"/>
      <c r="H389" s="62"/>
      <c r="I389" s="62"/>
      <c r="J389" s="62"/>
      <c r="K389" s="62"/>
      <c r="L389" s="62"/>
      <c r="M389" s="61"/>
      <c r="N389" s="62"/>
      <c r="O389" s="61"/>
      <c r="P389" s="62"/>
      <c r="Q389" s="61"/>
      <c r="R389" s="62"/>
      <c r="S389" s="936"/>
      <c r="T389" s="61"/>
      <c r="V389" s="968"/>
      <c r="W389" s="968"/>
      <c r="X389" s="186"/>
      <c r="Y389" s="61"/>
      <c r="Z389" s="61"/>
      <c r="AA389" s="61"/>
      <c r="AB389" s="964"/>
      <c r="AC389" s="61">
        <v>0</v>
      </c>
      <c r="AE389" s="964"/>
      <c r="AF389" s="964"/>
      <c r="AG389" s="964"/>
      <c r="AH389" s="61">
        <f>AC389*(1+$AH$9)</f>
        <v>0</v>
      </c>
      <c r="AJ389" s="964"/>
      <c r="AK389" s="964"/>
      <c r="AL389" s="964"/>
      <c r="AM389" s="61">
        <f>AH389*(1+$AH$9)</f>
        <v>0</v>
      </c>
      <c r="AO389" s="964"/>
      <c r="AP389" s="964"/>
      <c r="AQ389" s="964"/>
      <c r="AR389" s="61">
        <f>AM389*(1+$AH$9)</f>
        <v>0</v>
      </c>
      <c r="AT389" s="964"/>
      <c r="AU389" s="964"/>
      <c r="AV389" s="964"/>
      <c r="AW389" s="61">
        <f>AR389*(1+$AH$9)</f>
        <v>0</v>
      </c>
      <c r="AY389" s="964"/>
      <c r="AZ389" s="964"/>
      <c r="BA389" s="964"/>
      <c r="BB389" s="61">
        <f>AW389*(1+$AH$9)</f>
        <v>0</v>
      </c>
      <c r="BD389" s="964"/>
      <c r="BE389" s="964"/>
      <c r="BF389" s="61"/>
      <c r="BG389" s="61"/>
      <c r="BH389" s="61"/>
      <c r="BI389" s="506"/>
      <c r="BJ389" s="506"/>
      <c r="BK389" s="506"/>
      <c r="BL389" s="506"/>
      <c r="BM389" s="506"/>
      <c r="BN389" s="506"/>
      <c r="BO389" s="506"/>
      <c r="BP389" s="506"/>
    </row>
    <row r="390" spans="4:68">
      <c r="E390" s="186" t="s">
        <v>598</v>
      </c>
      <c r="G390" s="62"/>
      <c r="H390" s="62"/>
      <c r="I390" s="62"/>
      <c r="J390" s="62"/>
      <c r="K390" s="62"/>
      <c r="L390" s="62"/>
      <c r="M390" s="534">
        <f>SUM(M385:M389)</f>
        <v>0</v>
      </c>
      <c r="N390" s="62"/>
      <c r="O390" s="534">
        <f>SUM(O385:O389)</f>
        <v>0</v>
      </c>
      <c r="P390" s="62"/>
      <c r="Q390" s="534">
        <f>SUM(Q385:Q389)</f>
        <v>0</v>
      </c>
      <c r="R390" s="62"/>
      <c r="S390" s="936"/>
      <c r="T390" s="534">
        <f>SUM(T385:T389)</f>
        <v>0</v>
      </c>
      <c r="U390" s="1071"/>
      <c r="V390" s="968"/>
      <c r="W390" s="968"/>
      <c r="X390" s="186"/>
      <c r="Y390" s="534">
        <f>SUM(Y385:Y389)</f>
        <v>0</v>
      </c>
      <c r="Z390" s="61"/>
      <c r="AA390" s="61"/>
      <c r="AB390" s="964"/>
      <c r="AC390" s="534">
        <f>SUM(AC385:AC389)</f>
        <v>0</v>
      </c>
      <c r="AD390" s="1071"/>
      <c r="AE390" s="964"/>
      <c r="AF390" s="964"/>
      <c r="AG390" s="964"/>
      <c r="AH390" s="534">
        <f>SUM(AH385:AH389)</f>
        <v>0</v>
      </c>
      <c r="AI390" s="1071"/>
      <c r="AJ390" s="964"/>
      <c r="AK390" s="964"/>
      <c r="AL390" s="964"/>
      <c r="AM390" s="534">
        <f>SUM(AM385:AM389)</f>
        <v>0</v>
      </c>
      <c r="AN390" s="1071"/>
      <c r="AO390" s="964"/>
      <c r="AP390" s="964"/>
      <c r="AQ390" s="964"/>
      <c r="AR390" s="534">
        <f>SUM(AR385:AR389)</f>
        <v>0</v>
      </c>
      <c r="AS390" s="1071"/>
      <c r="AT390" s="964"/>
      <c r="AU390" s="964"/>
      <c r="AV390" s="964"/>
      <c r="AW390" s="534">
        <f>SUM(AW385:AW389)</f>
        <v>0</v>
      </c>
      <c r="AX390" s="1071"/>
      <c r="AY390" s="964"/>
      <c r="AZ390" s="964"/>
      <c r="BA390" s="964"/>
      <c r="BB390" s="534">
        <f>SUM(BB385:BB389)</f>
        <v>0</v>
      </c>
      <c r="BC390" s="1071"/>
      <c r="BD390" s="964"/>
      <c r="BE390" s="964"/>
      <c r="BF390" s="61"/>
      <c r="BG390" s="61"/>
      <c r="BH390" s="61"/>
      <c r="BI390" s="506"/>
      <c r="BJ390" s="506"/>
      <c r="BK390" s="506"/>
      <c r="BL390" s="506"/>
      <c r="BM390" s="506"/>
      <c r="BN390" s="506"/>
      <c r="BO390" s="506"/>
      <c r="BP390" s="506"/>
    </row>
    <row r="391" spans="4:68">
      <c r="E391" s="186"/>
      <c r="G391" s="62"/>
      <c r="H391" s="62"/>
      <c r="I391" s="62"/>
      <c r="J391" s="62"/>
      <c r="K391" s="62"/>
      <c r="L391" s="62"/>
      <c r="M391" s="61"/>
      <c r="N391" s="62"/>
      <c r="O391" s="61"/>
      <c r="P391" s="62"/>
      <c r="Q391" s="61"/>
      <c r="R391" s="62"/>
      <c r="S391" s="936"/>
      <c r="T391" s="61"/>
      <c r="V391" s="968"/>
      <c r="W391" s="968"/>
      <c r="X391" s="186"/>
      <c r="Y391" s="61"/>
      <c r="Z391" s="61"/>
      <c r="AA391" s="61"/>
      <c r="AB391" s="964"/>
      <c r="AC391" s="61"/>
      <c r="AE391" s="964"/>
      <c r="AF391" s="964"/>
      <c r="AG391" s="964"/>
      <c r="AH391" s="61"/>
      <c r="AJ391" s="964"/>
      <c r="AK391" s="964"/>
      <c r="AL391" s="964"/>
      <c r="AM391" s="61"/>
      <c r="AO391" s="964"/>
      <c r="AP391" s="964"/>
      <c r="AQ391" s="964"/>
      <c r="AR391" s="61"/>
      <c r="AT391" s="964"/>
      <c r="AU391" s="964"/>
      <c r="AV391" s="964"/>
      <c r="AW391" s="61"/>
      <c r="AY391" s="964"/>
      <c r="AZ391" s="964"/>
      <c r="BA391" s="964"/>
      <c r="BB391" s="61"/>
      <c r="BD391" s="964"/>
      <c r="BE391" s="964"/>
      <c r="BF391" s="61"/>
      <c r="BG391" s="61"/>
      <c r="BH391" s="61"/>
      <c r="BI391" s="506"/>
      <c r="BJ391" s="506"/>
      <c r="BK391" s="506"/>
      <c r="BL391" s="506"/>
      <c r="BM391" s="506"/>
      <c r="BN391" s="506"/>
      <c r="BO391" s="506"/>
      <c r="BP391" s="506"/>
    </row>
    <row r="392" spans="4:68">
      <c r="D392" t="s">
        <v>599</v>
      </c>
      <c r="E392" s="186" t="s">
        <v>600</v>
      </c>
      <c r="G392" s="62"/>
      <c r="H392" s="62"/>
      <c r="I392" s="62"/>
      <c r="J392" s="62"/>
      <c r="K392" s="62"/>
      <c r="L392" s="62"/>
      <c r="M392" s="61"/>
      <c r="N392" s="62"/>
      <c r="O392" s="61"/>
      <c r="P392" s="62"/>
      <c r="Q392" s="61"/>
      <c r="R392" s="62"/>
      <c r="S392" s="936"/>
      <c r="T392" s="61"/>
      <c r="V392" s="968"/>
      <c r="W392" s="968"/>
      <c r="X392" s="186"/>
      <c r="Y392" s="61"/>
      <c r="Z392" s="61"/>
      <c r="AA392" s="61"/>
      <c r="AB392" s="964"/>
      <c r="AC392" s="61">
        <v>0</v>
      </c>
      <c r="AE392" s="964"/>
      <c r="AF392" s="964"/>
      <c r="AG392" s="964"/>
      <c r="AH392" s="61">
        <f t="shared" ref="AH392:AH404" si="188">AC392*(1+$AH$9)</f>
        <v>0</v>
      </c>
      <c r="AJ392" s="964"/>
      <c r="AK392" s="964"/>
      <c r="AL392" s="964"/>
      <c r="AM392" s="61">
        <f t="shared" ref="AM392:AM404" si="189">AH392*(1+$AH$9)</f>
        <v>0</v>
      </c>
      <c r="AO392" s="964"/>
      <c r="AP392" s="964"/>
      <c r="AQ392" s="964"/>
      <c r="AR392" s="61">
        <f t="shared" ref="AR392:AR402" si="190">AM392*(1+$AH$9)</f>
        <v>0</v>
      </c>
      <c r="AT392" s="964"/>
      <c r="AU392" s="964"/>
      <c r="AV392" s="964"/>
      <c r="AW392" s="61">
        <f t="shared" ref="AW392:AW402" si="191">AR392*(1+$AH$9)</f>
        <v>0</v>
      </c>
      <c r="AY392" s="964"/>
      <c r="AZ392" s="964"/>
      <c r="BA392" s="964"/>
      <c r="BB392" s="61">
        <f t="shared" ref="BB392:BB402" si="192">AW392*(1+$AH$9)</f>
        <v>0</v>
      </c>
      <c r="BD392" s="964"/>
      <c r="BE392" s="964"/>
      <c r="BF392" s="61"/>
      <c r="BG392" s="61"/>
      <c r="BH392" s="61"/>
      <c r="BI392" s="506"/>
      <c r="BJ392" s="506"/>
      <c r="BK392" s="506"/>
      <c r="BL392" s="506"/>
      <c r="BM392" s="506"/>
      <c r="BN392" s="506"/>
      <c r="BO392" s="506"/>
      <c r="BP392" s="506"/>
    </row>
    <row r="393" spans="4:68">
      <c r="D393" t="s">
        <v>601</v>
      </c>
      <c r="E393" s="186" t="s">
        <v>602</v>
      </c>
      <c r="G393" s="62"/>
      <c r="H393" s="62"/>
      <c r="I393" s="62"/>
      <c r="J393" s="62"/>
      <c r="K393" s="62"/>
      <c r="L393" s="62"/>
      <c r="M393" s="61"/>
      <c r="N393" s="62"/>
      <c r="O393" s="61"/>
      <c r="P393" s="62"/>
      <c r="Q393" s="61"/>
      <c r="R393" s="62"/>
      <c r="S393" s="936"/>
      <c r="T393" s="61"/>
      <c r="V393" s="968"/>
      <c r="W393" s="968"/>
      <c r="X393" s="186"/>
      <c r="Y393" s="61"/>
      <c r="Z393" s="61"/>
      <c r="AA393" s="61"/>
      <c r="AB393" s="964"/>
      <c r="AC393" s="61">
        <v>0</v>
      </c>
      <c r="AE393" s="964"/>
      <c r="AF393" s="964"/>
      <c r="AG393" s="964"/>
      <c r="AH393" s="61">
        <f t="shared" si="188"/>
        <v>0</v>
      </c>
      <c r="AJ393" s="964"/>
      <c r="AK393" s="964"/>
      <c r="AL393" s="964"/>
      <c r="AM393" s="61">
        <f t="shared" si="189"/>
        <v>0</v>
      </c>
      <c r="AO393" s="964"/>
      <c r="AP393" s="964"/>
      <c r="AQ393" s="964"/>
      <c r="AR393" s="61">
        <f t="shared" si="190"/>
        <v>0</v>
      </c>
      <c r="AT393" s="964"/>
      <c r="AU393" s="964"/>
      <c r="AV393" s="964"/>
      <c r="AW393" s="61">
        <f t="shared" si="191"/>
        <v>0</v>
      </c>
      <c r="AY393" s="964"/>
      <c r="AZ393" s="964"/>
      <c r="BA393" s="964"/>
      <c r="BB393" s="61">
        <f t="shared" si="192"/>
        <v>0</v>
      </c>
      <c r="BD393" s="964"/>
      <c r="BE393" s="964"/>
      <c r="BF393" s="61"/>
      <c r="BG393" s="61"/>
      <c r="BH393" s="61"/>
      <c r="BI393" s="506"/>
      <c r="BJ393" s="506"/>
      <c r="BK393" s="506"/>
      <c r="BL393" s="506"/>
      <c r="BM393" s="506"/>
      <c r="BN393" s="506"/>
      <c r="BO393" s="506"/>
      <c r="BP393" s="506"/>
    </row>
    <row r="394" spans="4:68">
      <c r="D394" t="s">
        <v>603</v>
      </c>
      <c r="E394" s="186" t="s">
        <v>604</v>
      </c>
      <c r="G394" s="62"/>
      <c r="H394" s="62"/>
      <c r="I394" s="62"/>
      <c r="J394" s="62"/>
      <c r="K394" s="62"/>
      <c r="L394" s="62"/>
      <c r="M394" s="61"/>
      <c r="N394" s="62"/>
      <c r="O394" s="61"/>
      <c r="P394" s="62"/>
      <c r="Q394" s="61"/>
      <c r="R394" s="62"/>
      <c r="S394" s="936"/>
      <c r="T394" s="61"/>
      <c r="V394" s="968"/>
      <c r="W394" s="968"/>
      <c r="X394" s="186"/>
      <c r="Y394" s="61"/>
      <c r="Z394" s="61"/>
      <c r="AA394" s="61"/>
      <c r="AB394" s="964"/>
      <c r="AC394" s="61">
        <v>0</v>
      </c>
      <c r="AE394" s="964"/>
      <c r="AF394" s="964"/>
      <c r="AG394" s="964"/>
      <c r="AH394" s="61">
        <f t="shared" si="188"/>
        <v>0</v>
      </c>
      <c r="AJ394" s="964"/>
      <c r="AK394" s="964"/>
      <c r="AL394" s="964"/>
      <c r="AM394" s="61">
        <f t="shared" si="189"/>
        <v>0</v>
      </c>
      <c r="AO394" s="964"/>
      <c r="AP394" s="964"/>
      <c r="AQ394" s="964"/>
      <c r="AR394" s="61">
        <f t="shared" si="190"/>
        <v>0</v>
      </c>
      <c r="AT394" s="964"/>
      <c r="AU394" s="964"/>
      <c r="AV394" s="964"/>
      <c r="AW394" s="61">
        <f t="shared" si="191"/>
        <v>0</v>
      </c>
      <c r="AY394" s="964"/>
      <c r="AZ394" s="964"/>
      <c r="BA394" s="964"/>
      <c r="BB394" s="61">
        <f t="shared" si="192"/>
        <v>0</v>
      </c>
      <c r="BD394" s="964"/>
      <c r="BE394" s="964"/>
      <c r="BF394" s="61"/>
      <c r="BG394" s="61"/>
      <c r="BH394" s="61"/>
      <c r="BI394" s="506"/>
      <c r="BJ394" s="506"/>
      <c r="BK394" s="506"/>
      <c r="BL394" s="506"/>
      <c r="BM394" s="506"/>
      <c r="BN394" s="506"/>
      <c r="BO394" s="506"/>
      <c r="BP394" s="506"/>
    </row>
    <row r="395" spans="4:68">
      <c r="D395" t="s">
        <v>605</v>
      </c>
      <c r="E395" s="186" t="s">
        <v>606</v>
      </c>
      <c r="G395" s="62"/>
      <c r="H395" s="62"/>
      <c r="I395" s="62"/>
      <c r="J395" s="62"/>
      <c r="K395" s="62"/>
      <c r="L395" s="62"/>
      <c r="M395" s="61"/>
      <c r="N395" s="62"/>
      <c r="O395" s="61"/>
      <c r="P395" s="62"/>
      <c r="Q395" s="61"/>
      <c r="R395" s="62"/>
      <c r="S395" s="936"/>
      <c r="T395" s="61"/>
      <c r="V395" s="968"/>
      <c r="W395" s="968"/>
      <c r="X395" s="186"/>
      <c r="Y395" s="61"/>
      <c r="Z395" s="61"/>
      <c r="AA395" s="61"/>
      <c r="AB395" s="964"/>
      <c r="AC395" s="61">
        <v>0</v>
      </c>
      <c r="AE395" s="964"/>
      <c r="AF395" s="964"/>
      <c r="AG395" s="964"/>
      <c r="AH395" s="61">
        <f t="shared" si="188"/>
        <v>0</v>
      </c>
      <c r="AJ395" s="964"/>
      <c r="AK395" s="964"/>
      <c r="AL395" s="964"/>
      <c r="AM395" s="61">
        <f t="shared" si="189"/>
        <v>0</v>
      </c>
      <c r="AO395" s="964"/>
      <c r="AP395" s="964"/>
      <c r="AQ395" s="964"/>
      <c r="AR395" s="61">
        <f t="shared" si="190"/>
        <v>0</v>
      </c>
      <c r="AT395" s="964"/>
      <c r="AU395" s="964"/>
      <c r="AV395" s="964"/>
      <c r="AW395" s="61">
        <f t="shared" si="191"/>
        <v>0</v>
      </c>
      <c r="AY395" s="964"/>
      <c r="AZ395" s="964"/>
      <c r="BA395" s="964"/>
      <c r="BB395" s="61">
        <f t="shared" si="192"/>
        <v>0</v>
      </c>
      <c r="BD395" s="964"/>
      <c r="BE395" s="964"/>
      <c r="BF395" s="61"/>
      <c r="BG395" s="61"/>
      <c r="BH395" s="61"/>
      <c r="BI395" s="506"/>
      <c r="BJ395" s="506"/>
      <c r="BK395" s="506"/>
      <c r="BL395" s="506"/>
      <c r="BM395" s="506"/>
      <c r="BN395" s="506"/>
      <c r="BO395" s="506"/>
      <c r="BP395" s="506"/>
    </row>
    <row r="396" spans="4:68">
      <c r="D396" t="s">
        <v>607</v>
      </c>
      <c r="E396" s="186" t="s">
        <v>608</v>
      </c>
      <c r="G396" s="62"/>
      <c r="H396" s="62"/>
      <c r="I396" s="62"/>
      <c r="J396" s="62"/>
      <c r="K396" s="62"/>
      <c r="L396" s="62"/>
      <c r="M396" s="61"/>
      <c r="N396" s="62"/>
      <c r="O396" s="61"/>
      <c r="P396" s="62"/>
      <c r="Q396" s="61"/>
      <c r="R396" s="62"/>
      <c r="S396" s="936"/>
      <c r="T396" s="61"/>
      <c r="V396" s="968"/>
      <c r="W396" s="968"/>
      <c r="X396" s="186"/>
      <c r="Y396" s="61">
        <v>1039</v>
      </c>
      <c r="Z396" s="61"/>
      <c r="AA396" s="61"/>
      <c r="AB396" s="964"/>
      <c r="AC396" s="61">
        <v>10938</v>
      </c>
      <c r="AE396" s="964"/>
      <c r="AF396" s="964"/>
      <c r="AG396" s="964"/>
      <c r="AH396" s="61">
        <f>ROUND(AC396*(1+$AH$9),0)</f>
        <v>11266</v>
      </c>
      <c r="AJ396" s="964"/>
      <c r="AK396" s="964"/>
      <c r="AL396" s="964"/>
      <c r="AM396" s="61">
        <f>ROUND(AH396*(1+$AH$9),0)</f>
        <v>11604</v>
      </c>
      <c r="AO396" s="964"/>
      <c r="AP396" s="964"/>
      <c r="AQ396" s="964"/>
      <c r="AR396" s="61">
        <f>ROUND(AM396*(1+$AH$9),0)</f>
        <v>11952</v>
      </c>
      <c r="AT396" s="964"/>
      <c r="AU396" s="964"/>
      <c r="AV396" s="964"/>
      <c r="AW396" s="61">
        <f>ROUND(AR396*(1+$AH$9),0)</f>
        <v>12311</v>
      </c>
      <c r="AY396" s="964"/>
      <c r="AZ396" s="964"/>
      <c r="BA396" s="964"/>
      <c r="BB396" s="61">
        <f>ROUND(AW396*(1+$AH$9),0)</f>
        <v>12680</v>
      </c>
      <c r="BD396" s="964"/>
      <c r="BE396" s="964"/>
      <c r="BF396" s="61"/>
      <c r="BG396" s="61"/>
      <c r="BH396" s="61"/>
      <c r="BI396" s="506"/>
      <c r="BJ396" s="506"/>
      <c r="BK396" s="506"/>
      <c r="BL396" s="506"/>
      <c r="BM396" s="506"/>
      <c r="BN396" s="506"/>
      <c r="BO396" s="506"/>
      <c r="BP396" s="506"/>
    </row>
    <row r="397" spans="4:68">
      <c r="D397" t="s">
        <v>609</v>
      </c>
      <c r="E397" s="186" t="s">
        <v>610</v>
      </c>
      <c r="G397" s="62"/>
      <c r="H397" s="62"/>
      <c r="I397" s="62"/>
      <c r="J397" s="62"/>
      <c r="K397" s="62"/>
      <c r="L397" s="62"/>
      <c r="M397" s="61"/>
      <c r="N397" s="62"/>
      <c r="O397" s="61"/>
      <c r="P397" s="62"/>
      <c r="Q397" s="61"/>
      <c r="R397" s="62"/>
      <c r="S397" s="936"/>
      <c r="T397" s="61"/>
      <c r="V397" s="968"/>
      <c r="W397" s="968"/>
      <c r="X397" s="186"/>
      <c r="Y397" s="61"/>
      <c r="Z397" s="61"/>
      <c r="AA397" s="61"/>
      <c r="AB397" s="964"/>
      <c r="AC397" s="61">
        <v>0</v>
      </c>
      <c r="AE397" s="964"/>
      <c r="AF397" s="964"/>
      <c r="AG397" s="964"/>
      <c r="AH397" s="61">
        <f t="shared" si="188"/>
        <v>0</v>
      </c>
      <c r="AJ397" s="964"/>
      <c r="AK397" s="964"/>
      <c r="AL397" s="964"/>
      <c r="AM397" s="61">
        <f t="shared" ref="AM397:AM400" si="193">AH397*(1+$AH$9)</f>
        <v>0</v>
      </c>
      <c r="AO397" s="964"/>
      <c r="AP397" s="964"/>
      <c r="AQ397" s="964"/>
      <c r="AR397" s="61">
        <f t="shared" ref="AR397:AR400" si="194">AM397*(1+$AH$9)</f>
        <v>0</v>
      </c>
      <c r="AT397" s="964"/>
      <c r="AU397" s="964"/>
      <c r="AV397" s="964"/>
      <c r="AW397" s="61">
        <f t="shared" ref="AW397:AW400" si="195">AR397*(1+$AH$9)</f>
        <v>0</v>
      </c>
      <c r="AY397" s="964"/>
      <c r="AZ397" s="964"/>
      <c r="BA397" s="964"/>
      <c r="BB397" s="61">
        <f t="shared" ref="BB397:BB400" si="196">AW397*(1+$AH$9)</f>
        <v>0</v>
      </c>
      <c r="BD397" s="964"/>
      <c r="BE397" s="964"/>
      <c r="BF397" s="61"/>
      <c r="BG397" s="61"/>
      <c r="BH397" s="61"/>
      <c r="BI397" s="506"/>
      <c r="BJ397" s="506"/>
      <c r="BK397" s="506"/>
      <c r="BL397" s="506"/>
      <c r="BM397" s="506"/>
      <c r="BN397" s="506"/>
      <c r="BO397" s="506"/>
      <c r="BP397" s="506"/>
    </row>
    <row r="398" spans="4:68">
      <c r="D398" t="s">
        <v>611</v>
      </c>
      <c r="E398" s="186" t="s">
        <v>612</v>
      </c>
      <c r="G398" s="62"/>
      <c r="H398" s="62"/>
      <c r="I398" s="62"/>
      <c r="J398" s="62"/>
      <c r="K398" s="62"/>
      <c r="L398" s="62"/>
      <c r="M398" s="61"/>
      <c r="N398" s="62"/>
      <c r="O398" s="61"/>
      <c r="P398" s="62"/>
      <c r="Q398" s="61"/>
      <c r="R398" s="62"/>
      <c r="S398" s="936"/>
      <c r="T398" s="61"/>
      <c r="V398" s="968"/>
      <c r="W398" s="968"/>
      <c r="X398" s="186"/>
      <c r="Y398" s="61"/>
      <c r="Z398" s="61"/>
      <c r="AA398" s="61"/>
      <c r="AB398" s="964"/>
      <c r="AC398" s="61">
        <v>0</v>
      </c>
      <c r="AE398" s="964"/>
      <c r="AF398" s="964"/>
      <c r="AG398" s="964"/>
      <c r="AH398" s="61">
        <f t="shared" si="188"/>
        <v>0</v>
      </c>
      <c r="AJ398" s="964"/>
      <c r="AK398" s="964"/>
      <c r="AL398" s="964"/>
      <c r="AM398" s="61">
        <f t="shared" si="193"/>
        <v>0</v>
      </c>
      <c r="AO398" s="964"/>
      <c r="AP398" s="964"/>
      <c r="AQ398" s="964"/>
      <c r="AR398" s="61">
        <f t="shared" si="194"/>
        <v>0</v>
      </c>
      <c r="AT398" s="964"/>
      <c r="AU398" s="964"/>
      <c r="AV398" s="964"/>
      <c r="AW398" s="61">
        <f t="shared" si="195"/>
        <v>0</v>
      </c>
      <c r="AY398" s="964"/>
      <c r="AZ398" s="964"/>
      <c r="BA398" s="964"/>
      <c r="BB398" s="61">
        <f t="shared" si="196"/>
        <v>0</v>
      </c>
      <c r="BD398" s="964"/>
      <c r="BE398" s="964"/>
      <c r="BF398" s="61"/>
      <c r="BG398" s="61"/>
      <c r="BH398" s="61"/>
      <c r="BI398" s="506"/>
      <c r="BJ398" s="506"/>
      <c r="BK398" s="506"/>
      <c r="BL398" s="506"/>
      <c r="BM398" s="506"/>
      <c r="BN398" s="506"/>
      <c r="BO398" s="506"/>
      <c r="BP398" s="506"/>
    </row>
    <row r="399" spans="4:68">
      <c r="D399" t="s">
        <v>613</v>
      </c>
      <c r="E399" s="186" t="s">
        <v>614</v>
      </c>
      <c r="G399" s="62"/>
      <c r="H399" s="62"/>
      <c r="I399" s="62"/>
      <c r="J399" s="62"/>
      <c r="K399" s="62"/>
      <c r="L399" s="62"/>
      <c r="M399" s="61"/>
      <c r="N399" s="62"/>
      <c r="O399" s="61"/>
      <c r="P399" s="62"/>
      <c r="Q399" s="61"/>
      <c r="R399" s="62"/>
      <c r="S399" s="936"/>
      <c r="T399" s="61"/>
      <c r="V399" s="968"/>
      <c r="W399" s="968"/>
      <c r="X399" s="186"/>
      <c r="Y399" s="61"/>
      <c r="Z399" s="61"/>
      <c r="AA399" s="61"/>
      <c r="AB399" s="964"/>
      <c r="AC399" s="61">
        <v>0</v>
      </c>
      <c r="AE399" s="964"/>
      <c r="AF399" s="964"/>
      <c r="AG399" s="964"/>
      <c r="AH399" s="61">
        <f t="shared" si="188"/>
        <v>0</v>
      </c>
      <c r="AJ399" s="964"/>
      <c r="AK399" s="964"/>
      <c r="AL399" s="964"/>
      <c r="AM399" s="61">
        <f t="shared" si="193"/>
        <v>0</v>
      </c>
      <c r="AO399" s="964"/>
      <c r="AP399" s="964"/>
      <c r="AQ399" s="964"/>
      <c r="AR399" s="61">
        <f t="shared" si="194"/>
        <v>0</v>
      </c>
      <c r="AT399" s="964"/>
      <c r="AU399" s="964"/>
      <c r="AV399" s="964"/>
      <c r="AW399" s="61">
        <f t="shared" si="195"/>
        <v>0</v>
      </c>
      <c r="AY399" s="964"/>
      <c r="AZ399" s="964"/>
      <c r="BA399" s="964"/>
      <c r="BB399" s="61">
        <f t="shared" si="196"/>
        <v>0</v>
      </c>
      <c r="BD399" s="964"/>
      <c r="BE399" s="964"/>
      <c r="BF399" s="61"/>
      <c r="BG399" s="61"/>
      <c r="BH399" s="61"/>
      <c r="BI399" s="506"/>
      <c r="BJ399" s="506"/>
      <c r="BK399" s="506"/>
      <c r="BL399" s="506"/>
      <c r="BM399" s="506"/>
      <c r="BN399" s="506"/>
      <c r="BO399" s="506"/>
      <c r="BP399" s="506"/>
    </row>
    <row r="400" spans="4:68">
      <c r="D400" t="s">
        <v>615</v>
      </c>
      <c r="E400" s="186" t="s">
        <v>616</v>
      </c>
      <c r="G400" s="62"/>
      <c r="H400" s="62"/>
      <c r="I400" s="62"/>
      <c r="J400" s="62"/>
      <c r="K400" s="62"/>
      <c r="L400" s="62"/>
      <c r="M400" s="61"/>
      <c r="N400" s="62"/>
      <c r="O400" s="61"/>
      <c r="P400" s="62"/>
      <c r="Q400" s="61"/>
      <c r="R400" s="62"/>
      <c r="S400" s="936"/>
      <c r="T400" s="61"/>
      <c r="V400" s="968"/>
      <c r="W400" s="968"/>
      <c r="X400" s="186"/>
      <c r="Y400" s="61"/>
      <c r="Z400" s="61"/>
      <c r="AA400" s="61"/>
      <c r="AB400" s="964"/>
      <c r="AC400" s="61">
        <v>0</v>
      </c>
      <c r="AE400" s="964"/>
      <c r="AF400" s="964"/>
      <c r="AG400" s="964"/>
      <c r="AH400" s="61">
        <f t="shared" si="188"/>
        <v>0</v>
      </c>
      <c r="AJ400" s="964"/>
      <c r="AK400" s="964"/>
      <c r="AL400" s="964"/>
      <c r="AM400" s="61">
        <f t="shared" si="193"/>
        <v>0</v>
      </c>
      <c r="AO400" s="964"/>
      <c r="AP400" s="964"/>
      <c r="AQ400" s="964"/>
      <c r="AR400" s="61">
        <f t="shared" si="194"/>
        <v>0</v>
      </c>
      <c r="AT400" s="964"/>
      <c r="AU400" s="964"/>
      <c r="AV400" s="964"/>
      <c r="AW400" s="61">
        <f t="shared" si="195"/>
        <v>0</v>
      </c>
      <c r="AY400" s="964"/>
      <c r="AZ400" s="964"/>
      <c r="BA400" s="964"/>
      <c r="BB400" s="61">
        <f t="shared" si="196"/>
        <v>0</v>
      </c>
      <c r="BD400" s="964"/>
      <c r="BE400" s="964"/>
      <c r="BF400" s="61"/>
      <c r="BG400" s="61"/>
      <c r="BH400" s="61"/>
      <c r="BI400" s="506"/>
      <c r="BJ400" s="506"/>
      <c r="BK400" s="506"/>
      <c r="BL400" s="506"/>
      <c r="BM400" s="506"/>
      <c r="BN400" s="506"/>
      <c r="BO400" s="506"/>
      <c r="BP400" s="506"/>
    </row>
    <row r="401" spans="4:68">
      <c r="D401" t="s">
        <v>617</v>
      </c>
      <c r="E401" s="186" t="s">
        <v>586</v>
      </c>
      <c r="G401" s="62"/>
      <c r="H401" s="62"/>
      <c r="I401" s="62"/>
      <c r="J401" s="62"/>
      <c r="K401" s="62"/>
      <c r="L401" s="62"/>
      <c r="M401" s="61"/>
      <c r="N401" s="62"/>
      <c r="O401" s="61"/>
      <c r="P401" s="62"/>
      <c r="Q401" s="61"/>
      <c r="R401" s="62"/>
      <c r="S401" s="936"/>
      <c r="T401" s="61"/>
      <c r="V401" s="968"/>
      <c r="W401" s="968"/>
      <c r="X401" s="186"/>
      <c r="Y401" s="61">
        <v>6800</v>
      </c>
      <c r="Z401" s="61"/>
      <c r="AA401" s="61"/>
      <c r="AB401" s="964"/>
      <c r="AC401" s="61">
        <v>7085</v>
      </c>
      <c r="AD401" s="62" t="s">
        <v>1442</v>
      </c>
      <c r="AE401" s="964"/>
      <c r="AF401" s="964"/>
      <c r="AG401" s="964"/>
      <c r="AH401" s="61">
        <f>ROUND(AC401*(1+$AH$9),0)</f>
        <v>7298</v>
      </c>
      <c r="AJ401" s="964"/>
      <c r="AK401" s="964"/>
      <c r="AL401" s="964"/>
      <c r="AM401" s="61">
        <f>ROUND(AH401*(1+$AH$9),0)</f>
        <v>7517</v>
      </c>
      <c r="AO401" s="964"/>
      <c r="AP401" s="964"/>
      <c r="AQ401" s="964"/>
      <c r="AR401" s="61">
        <f>ROUND(AM401*(1+$AH$9),0)</f>
        <v>7743</v>
      </c>
      <c r="AT401" s="964"/>
      <c r="AU401" s="964"/>
      <c r="AV401" s="964"/>
      <c r="AW401" s="61">
        <f>ROUND(AR401*(1+$AH$9),0)</f>
        <v>7975</v>
      </c>
      <c r="AY401" s="964"/>
      <c r="AZ401" s="964"/>
      <c r="BA401" s="964"/>
      <c r="BB401" s="61">
        <f>ROUND(AW401*(1+$AH$9),0)</f>
        <v>8214</v>
      </c>
      <c r="BD401" s="964"/>
      <c r="BE401" s="964"/>
      <c r="BF401" s="61"/>
      <c r="BG401" s="61"/>
      <c r="BH401" s="61"/>
      <c r="BI401" s="506"/>
      <c r="BJ401" s="506"/>
      <c r="BK401" s="506"/>
      <c r="BL401" s="506"/>
      <c r="BM401" s="506"/>
      <c r="BN401" s="506"/>
      <c r="BO401" s="506"/>
      <c r="BP401" s="506"/>
    </row>
    <row r="402" spans="4:68">
      <c r="D402" t="s">
        <v>618</v>
      </c>
      <c r="E402" s="186" t="s">
        <v>619</v>
      </c>
      <c r="G402" s="62"/>
      <c r="H402" s="62"/>
      <c r="I402" s="62"/>
      <c r="J402" s="62"/>
      <c r="K402" s="62"/>
      <c r="L402" s="62"/>
      <c r="M402" s="61"/>
      <c r="N402" s="62"/>
      <c r="O402" s="61"/>
      <c r="P402" s="62"/>
      <c r="Q402" s="61"/>
      <c r="R402" s="62"/>
      <c r="S402" s="936"/>
      <c r="T402" s="61"/>
      <c r="V402" s="968"/>
      <c r="W402" s="968"/>
      <c r="X402" s="186"/>
      <c r="Y402" s="61">
        <v>50</v>
      </c>
      <c r="Z402" s="61"/>
      <c r="AA402" s="61"/>
      <c r="AB402" s="964"/>
      <c r="AC402" s="61">
        <v>0</v>
      </c>
      <c r="AE402" s="964"/>
      <c r="AF402" s="964"/>
      <c r="AG402" s="964"/>
      <c r="AH402" s="61">
        <f t="shared" si="188"/>
        <v>0</v>
      </c>
      <c r="AJ402" s="964"/>
      <c r="AK402" s="964"/>
      <c r="AL402" s="964"/>
      <c r="AM402" s="61">
        <f t="shared" si="189"/>
        <v>0</v>
      </c>
      <c r="AO402" s="964"/>
      <c r="AP402" s="964"/>
      <c r="AQ402" s="964"/>
      <c r="AR402" s="61">
        <f t="shared" si="190"/>
        <v>0</v>
      </c>
      <c r="AT402" s="964"/>
      <c r="AU402" s="964"/>
      <c r="AV402" s="964"/>
      <c r="AW402" s="61">
        <f t="shared" si="191"/>
        <v>0</v>
      </c>
      <c r="AY402" s="964"/>
      <c r="AZ402" s="964"/>
      <c r="BA402" s="964"/>
      <c r="BB402" s="61">
        <f t="shared" si="192"/>
        <v>0</v>
      </c>
      <c r="BD402" s="964"/>
      <c r="BE402" s="964"/>
      <c r="BF402" s="61"/>
      <c r="BG402" s="61"/>
      <c r="BH402" s="61"/>
      <c r="BI402" s="506"/>
      <c r="BJ402" s="506"/>
      <c r="BK402" s="506"/>
      <c r="BL402" s="506"/>
      <c r="BM402" s="506"/>
      <c r="BN402" s="506"/>
      <c r="BO402" s="506"/>
      <c r="BP402" s="506"/>
    </row>
    <row r="403" spans="4:68">
      <c r="D403" t="s">
        <v>620</v>
      </c>
      <c r="E403" s="186" t="s">
        <v>621</v>
      </c>
      <c r="G403" s="62"/>
      <c r="H403" s="62"/>
      <c r="I403" s="62"/>
      <c r="J403" s="62"/>
      <c r="K403" s="62"/>
      <c r="L403" s="62"/>
      <c r="M403" s="61"/>
      <c r="N403" s="62"/>
      <c r="O403" s="61"/>
      <c r="P403" s="62"/>
      <c r="Q403" s="61"/>
      <c r="R403" s="62"/>
      <c r="S403" s="936"/>
      <c r="T403" s="61"/>
      <c r="V403" s="968"/>
      <c r="W403" s="968"/>
      <c r="X403" s="186"/>
      <c r="Y403" s="61">
        <v>200221</v>
      </c>
      <c r="Z403" s="61"/>
      <c r="AA403" s="61"/>
      <c r="AB403" s="964"/>
      <c r="AC403" s="61">
        <f>ROUND(AC233*0.12,0)</f>
        <v>271391</v>
      </c>
      <c r="AE403" s="964"/>
      <c r="AF403" s="964"/>
      <c r="AG403" s="964"/>
      <c r="AH403" s="61">
        <f>ROUND(AH233*0.12,0)</f>
        <v>349496</v>
      </c>
      <c r="AJ403" s="964"/>
      <c r="AK403" s="964"/>
      <c r="AL403" s="964"/>
      <c r="AM403" s="61">
        <f>ROUND(AM233*0.12,0)</f>
        <v>382067</v>
      </c>
      <c r="AO403" s="964"/>
      <c r="AP403" s="964"/>
      <c r="AQ403" s="964"/>
      <c r="AR403" s="61">
        <f>ROUND(AR233*0.12,0)</f>
        <v>396725</v>
      </c>
      <c r="AT403" s="964"/>
      <c r="AU403" s="964"/>
      <c r="AV403" s="964"/>
      <c r="AW403" s="61">
        <f>ROUND(AW233*0.12,0)</f>
        <v>411168</v>
      </c>
      <c r="AY403" s="964"/>
      <c r="AZ403" s="964"/>
      <c r="BA403" s="964"/>
      <c r="BB403" s="61">
        <f>ROUND(BB233*0.12,0)</f>
        <v>479602</v>
      </c>
      <c r="BD403" s="964"/>
      <c r="BE403" s="964"/>
      <c r="BF403" s="61"/>
      <c r="BG403" s="61"/>
      <c r="BH403" s="61"/>
      <c r="BI403" s="506"/>
      <c r="BJ403" s="506"/>
      <c r="BK403" s="506"/>
      <c r="BL403" s="506"/>
      <c r="BM403" s="506"/>
      <c r="BN403" s="506"/>
      <c r="BO403" s="506"/>
      <c r="BP403" s="506"/>
    </row>
    <row r="404" spans="4:68">
      <c r="D404" t="s">
        <v>622</v>
      </c>
      <c r="E404" s="186" t="s">
        <v>623</v>
      </c>
      <c r="G404" s="62"/>
      <c r="H404" s="62"/>
      <c r="I404" s="62"/>
      <c r="J404" s="62"/>
      <c r="K404" s="62"/>
      <c r="L404" s="62"/>
      <c r="M404" s="61"/>
      <c r="N404" s="62"/>
      <c r="O404" s="61"/>
      <c r="P404" s="62"/>
      <c r="Q404" s="61"/>
      <c r="R404" s="62"/>
      <c r="S404" s="936"/>
      <c r="T404" s="61"/>
      <c r="V404" s="968"/>
      <c r="W404" s="968"/>
      <c r="X404" s="186"/>
      <c r="Y404" s="61"/>
      <c r="Z404" s="61"/>
      <c r="AA404" s="61"/>
      <c r="AB404" s="964"/>
      <c r="AC404" s="61">
        <v>0</v>
      </c>
      <c r="AE404" s="964"/>
      <c r="AF404" s="964"/>
      <c r="AG404" s="964"/>
      <c r="AH404" s="61">
        <f t="shared" si="188"/>
        <v>0</v>
      </c>
      <c r="AJ404" s="964"/>
      <c r="AK404" s="964"/>
      <c r="AL404" s="964"/>
      <c r="AM404" s="61">
        <f t="shared" si="189"/>
        <v>0</v>
      </c>
      <c r="AO404" s="964"/>
      <c r="AP404" s="964"/>
      <c r="AQ404" s="964"/>
      <c r="AR404" s="61">
        <f t="shared" ref="AR404" si="197">AM404*(1+$AH$9)</f>
        <v>0</v>
      </c>
      <c r="AT404" s="964"/>
      <c r="AU404" s="964"/>
      <c r="AV404" s="964"/>
      <c r="AW404" s="61">
        <f t="shared" ref="AW404" si="198">AR404*(1+$AH$9)</f>
        <v>0</v>
      </c>
      <c r="AY404" s="964"/>
      <c r="AZ404" s="964"/>
      <c r="BA404" s="964"/>
      <c r="BB404" s="61">
        <f t="shared" ref="BB404" si="199">AW404*(1+$AH$9)</f>
        <v>0</v>
      </c>
      <c r="BD404" s="964"/>
      <c r="BE404" s="964"/>
      <c r="BF404" s="61"/>
      <c r="BG404" s="61"/>
      <c r="BH404" s="61"/>
      <c r="BI404" s="506"/>
      <c r="BJ404" s="506"/>
      <c r="BK404" s="506"/>
      <c r="BL404" s="506"/>
      <c r="BM404" s="506"/>
      <c r="BN404" s="506"/>
      <c r="BO404" s="506"/>
      <c r="BP404" s="506"/>
    </row>
    <row r="405" spans="4:68">
      <c r="E405" s="186" t="s">
        <v>624</v>
      </c>
      <c r="G405" s="62"/>
      <c r="H405" s="62"/>
      <c r="I405" s="62"/>
      <c r="J405" s="62"/>
      <c r="K405" s="62"/>
      <c r="L405" s="62"/>
      <c r="M405" s="534">
        <f>SUM(M392:M404)</f>
        <v>0</v>
      </c>
      <c r="N405" s="62"/>
      <c r="O405" s="534">
        <f>SUM(O392:O404)</f>
        <v>0</v>
      </c>
      <c r="P405" s="62"/>
      <c r="Q405" s="534">
        <f>SUM(Q392:Q404)</f>
        <v>0</v>
      </c>
      <c r="R405" s="62"/>
      <c r="S405" s="936"/>
      <c r="T405" s="534">
        <f>SUM(T392:T404)</f>
        <v>0</v>
      </c>
      <c r="U405" s="1071"/>
      <c r="V405" s="968"/>
      <c r="W405" s="968"/>
      <c r="X405" s="186"/>
      <c r="Y405" s="534">
        <f>SUM(Y392:Y404)</f>
        <v>208110</v>
      </c>
      <c r="Z405" s="61"/>
      <c r="AA405" s="61"/>
      <c r="AB405" s="964"/>
      <c r="AC405" s="534">
        <f>SUM(AC392:AC404)</f>
        <v>289414</v>
      </c>
      <c r="AD405" s="1071"/>
      <c r="AE405" s="964"/>
      <c r="AF405" s="964"/>
      <c r="AG405" s="964"/>
      <c r="AH405" s="534">
        <f>SUM(AH392:AH404)</f>
        <v>368060</v>
      </c>
      <c r="AI405" s="1071"/>
      <c r="AJ405" s="964"/>
      <c r="AK405" s="964"/>
      <c r="AL405" s="964"/>
      <c r="AM405" s="534">
        <f>SUM(AM392:AM404)</f>
        <v>401188</v>
      </c>
      <c r="AN405" s="1071"/>
      <c r="AO405" s="964"/>
      <c r="AP405" s="964"/>
      <c r="AQ405" s="964"/>
      <c r="AR405" s="534">
        <f>SUM(AR392:AR404)</f>
        <v>416420</v>
      </c>
      <c r="AS405" s="1071"/>
      <c r="AT405" s="964"/>
      <c r="AU405" s="964"/>
      <c r="AV405" s="964"/>
      <c r="AW405" s="534">
        <f>SUM(AW392:AW404)</f>
        <v>431454</v>
      </c>
      <c r="AX405" s="1071"/>
      <c r="AY405" s="964"/>
      <c r="AZ405" s="964"/>
      <c r="BA405" s="964"/>
      <c r="BB405" s="534">
        <f>SUM(BB392:BB404)</f>
        <v>500496</v>
      </c>
      <c r="BC405" s="1071"/>
      <c r="BD405" s="964"/>
      <c r="BE405" s="964"/>
      <c r="BF405" s="61"/>
      <c r="BG405" s="61"/>
      <c r="BH405" s="61"/>
      <c r="BI405" s="506"/>
      <c r="BJ405" s="506"/>
      <c r="BK405" s="506"/>
      <c r="BL405" s="506"/>
      <c r="BM405" s="506"/>
      <c r="BN405" s="506"/>
      <c r="BO405" s="506"/>
      <c r="BP405" s="506"/>
    </row>
    <row r="406" spans="4:68">
      <c r="E406" s="186"/>
      <c r="G406" s="62"/>
      <c r="H406" s="62"/>
      <c r="I406" s="62"/>
      <c r="J406" s="62"/>
      <c r="K406" s="62"/>
      <c r="L406" s="62"/>
      <c r="M406" s="61"/>
      <c r="N406" s="62"/>
      <c r="O406" s="61"/>
      <c r="P406" s="62"/>
      <c r="Q406" s="61"/>
      <c r="R406" s="62"/>
      <c r="S406" s="936"/>
      <c r="T406" s="61"/>
      <c r="V406" s="968"/>
      <c r="W406" s="968"/>
      <c r="X406" s="186"/>
      <c r="Y406" s="61"/>
      <c r="Z406" s="61"/>
      <c r="AA406" s="61"/>
      <c r="AB406" s="964"/>
      <c r="AC406" s="61"/>
      <c r="AE406" s="964"/>
      <c r="AF406" s="964"/>
      <c r="AG406" s="964"/>
      <c r="AH406" s="61"/>
      <c r="AJ406" s="964"/>
      <c r="AK406" s="964"/>
      <c r="AL406" s="964"/>
      <c r="AM406" s="61"/>
      <c r="AO406" s="964"/>
      <c r="AP406" s="964"/>
      <c r="AQ406" s="964"/>
      <c r="AR406" s="61"/>
      <c r="AT406" s="964"/>
      <c r="AU406" s="964"/>
      <c r="AV406" s="964"/>
      <c r="AW406" s="61"/>
      <c r="AY406" s="964"/>
      <c r="AZ406" s="964"/>
      <c r="BA406" s="964"/>
      <c r="BB406" s="61"/>
      <c r="BD406" s="964"/>
      <c r="BE406" s="964"/>
      <c r="BF406" s="61"/>
      <c r="BG406" s="61"/>
      <c r="BH406" s="61"/>
      <c r="BI406" s="506"/>
      <c r="BJ406" s="506"/>
      <c r="BK406" s="506"/>
      <c r="BL406" s="506"/>
      <c r="BM406" s="506"/>
      <c r="BN406" s="506"/>
      <c r="BO406" s="506"/>
      <c r="BP406" s="506"/>
    </row>
    <row r="407" spans="4:68">
      <c r="D407" t="s">
        <v>625</v>
      </c>
      <c r="E407" s="186" t="s">
        <v>626</v>
      </c>
      <c r="G407" s="62"/>
      <c r="H407" s="62"/>
      <c r="I407" s="62"/>
      <c r="J407" s="62"/>
      <c r="K407" s="62"/>
      <c r="L407" s="62"/>
      <c r="M407" s="61"/>
      <c r="N407" s="62"/>
      <c r="O407" s="61"/>
      <c r="P407" s="62"/>
      <c r="Q407" s="61"/>
      <c r="R407" s="62"/>
      <c r="S407" s="936"/>
      <c r="T407" s="61"/>
      <c r="V407" s="968"/>
      <c r="W407" s="968"/>
      <c r="X407" s="186"/>
      <c r="Y407" s="61"/>
      <c r="Z407" s="61"/>
      <c r="AA407" s="61"/>
      <c r="AB407" s="964"/>
      <c r="AC407" s="61">
        <v>0</v>
      </c>
      <c r="AE407" s="964"/>
      <c r="AF407" s="964"/>
      <c r="AG407" s="964"/>
      <c r="AH407" s="61">
        <f>AC407*(1+$AH$9)</f>
        <v>0</v>
      </c>
      <c r="AJ407" s="964"/>
      <c r="AK407" s="964"/>
      <c r="AL407" s="964"/>
      <c r="AM407" s="61">
        <f>AH407*(1+$AH$9)</f>
        <v>0</v>
      </c>
      <c r="AO407" s="964"/>
      <c r="AP407" s="964"/>
      <c r="AQ407" s="964"/>
      <c r="AR407" s="61"/>
      <c r="AT407" s="964"/>
      <c r="AU407" s="964"/>
      <c r="AV407" s="964"/>
      <c r="AW407" s="61"/>
      <c r="AY407" s="964"/>
      <c r="AZ407" s="964"/>
      <c r="BA407" s="964"/>
      <c r="BB407" s="61"/>
      <c r="BD407" s="964"/>
      <c r="BE407" s="964"/>
      <c r="BF407" s="61"/>
      <c r="BG407" s="61"/>
      <c r="BH407" s="61"/>
      <c r="BI407" s="506"/>
      <c r="BJ407" s="506"/>
      <c r="BK407" s="506"/>
      <c r="BL407" s="506"/>
      <c r="BM407" s="506"/>
      <c r="BN407" s="506"/>
      <c r="BO407" s="506"/>
      <c r="BP407" s="506"/>
    </row>
    <row r="408" spans="4:68">
      <c r="D408" t="s">
        <v>627</v>
      </c>
      <c r="E408" s="186" t="s">
        <v>628</v>
      </c>
      <c r="G408" s="62"/>
      <c r="H408" s="62"/>
      <c r="I408" s="62"/>
      <c r="J408" s="62"/>
      <c r="K408" s="62"/>
      <c r="L408" s="62"/>
      <c r="M408" s="61"/>
      <c r="N408" s="62"/>
      <c r="O408" s="61"/>
      <c r="P408" s="62"/>
      <c r="Q408" s="61"/>
      <c r="R408" s="62"/>
      <c r="S408" s="936"/>
      <c r="T408" s="61"/>
      <c r="V408" s="968"/>
      <c r="W408" s="968"/>
      <c r="X408" s="186"/>
      <c r="Y408" s="61"/>
      <c r="Z408" s="61"/>
      <c r="AA408" s="61"/>
      <c r="AB408" s="964"/>
      <c r="AC408" s="61">
        <v>0</v>
      </c>
      <c r="AE408" s="964"/>
      <c r="AF408" s="964"/>
      <c r="AG408" s="964"/>
      <c r="AH408" s="61">
        <f>AC408*(1+$AH$9)</f>
        <v>0</v>
      </c>
      <c r="AJ408" s="964"/>
      <c r="AK408" s="964"/>
      <c r="AL408" s="964"/>
      <c r="AM408" s="61">
        <f>AH408*(1+$AH$9)</f>
        <v>0</v>
      </c>
      <c r="AO408" s="964"/>
      <c r="AP408" s="964"/>
      <c r="AQ408" s="964"/>
      <c r="AR408" s="61"/>
      <c r="AT408" s="964"/>
      <c r="AU408" s="964"/>
      <c r="AV408" s="964"/>
      <c r="AW408" s="61"/>
      <c r="AY408" s="964"/>
      <c r="AZ408" s="964"/>
      <c r="BA408" s="964"/>
      <c r="BB408" s="61"/>
      <c r="BD408" s="964"/>
      <c r="BE408" s="964"/>
      <c r="BF408" s="61"/>
      <c r="BG408" s="61"/>
      <c r="BH408" s="61"/>
      <c r="BI408" s="506"/>
      <c r="BJ408" s="506"/>
      <c r="BK408" s="506"/>
      <c r="BL408" s="506"/>
      <c r="BM408" s="506"/>
      <c r="BN408" s="506"/>
      <c r="BO408" s="506"/>
      <c r="BP408" s="506"/>
    </row>
    <row r="409" spans="4:68">
      <c r="D409" t="s">
        <v>629</v>
      </c>
      <c r="E409" s="186" t="s">
        <v>630</v>
      </c>
      <c r="G409" s="62"/>
      <c r="H409" s="62"/>
      <c r="I409" s="62"/>
      <c r="J409" s="62"/>
      <c r="K409" s="62"/>
      <c r="L409" s="62"/>
      <c r="M409" s="61"/>
      <c r="N409" s="62"/>
      <c r="O409" s="61"/>
      <c r="P409" s="62"/>
      <c r="Q409" s="61"/>
      <c r="R409" s="62"/>
      <c r="S409" s="936"/>
      <c r="T409" s="61"/>
      <c r="V409" s="968"/>
      <c r="W409" s="968"/>
      <c r="X409" s="186"/>
      <c r="Y409" s="61"/>
      <c r="Z409" s="61"/>
      <c r="AA409" s="61"/>
      <c r="AB409" s="964"/>
      <c r="AC409" s="61">
        <v>0</v>
      </c>
      <c r="AE409" s="964"/>
      <c r="AF409" s="964"/>
      <c r="AG409" s="964"/>
      <c r="AH409" s="61">
        <f>AC409*(1+$AH$9)</f>
        <v>0</v>
      </c>
      <c r="AJ409" s="964"/>
      <c r="AK409" s="964"/>
      <c r="AL409" s="964"/>
      <c r="AM409" s="61">
        <f>AH409*(1+$AH$9)</f>
        <v>0</v>
      </c>
      <c r="AO409" s="964"/>
      <c r="AP409" s="964"/>
      <c r="AQ409" s="964"/>
      <c r="AR409" s="61"/>
      <c r="AT409" s="964"/>
      <c r="AU409" s="964"/>
      <c r="AV409" s="964"/>
      <c r="AW409" s="61"/>
      <c r="AY409" s="964"/>
      <c r="AZ409" s="964"/>
      <c r="BA409" s="964"/>
      <c r="BB409" s="61"/>
      <c r="BD409" s="964"/>
      <c r="BE409" s="964"/>
      <c r="BF409" s="61"/>
      <c r="BG409" s="61"/>
      <c r="BH409" s="61"/>
      <c r="BI409" s="506"/>
      <c r="BJ409" s="506"/>
      <c r="BK409" s="506"/>
      <c r="BL409" s="506"/>
      <c r="BM409" s="506"/>
      <c r="BN409" s="506"/>
      <c r="BO409" s="506"/>
      <c r="BP409" s="506"/>
    </row>
    <row r="410" spans="4:68">
      <c r="E410" s="186" t="s">
        <v>631</v>
      </c>
      <c r="G410" s="62"/>
      <c r="H410" s="62"/>
      <c r="I410" s="62"/>
      <c r="J410" s="62"/>
      <c r="K410" s="62"/>
      <c r="L410" s="62"/>
      <c r="M410" s="534">
        <f>SUM(M407:M409)</f>
        <v>0</v>
      </c>
      <c r="N410" s="62"/>
      <c r="O410" s="534">
        <f>SUM(O407:O409)</f>
        <v>0</v>
      </c>
      <c r="P410" s="62"/>
      <c r="Q410" s="534">
        <f>SUM(Q407:Q409)</f>
        <v>0</v>
      </c>
      <c r="R410" s="62"/>
      <c r="S410" s="936"/>
      <c r="T410" s="534">
        <f>SUM(T407:T409)</f>
        <v>0</v>
      </c>
      <c r="U410" s="1071"/>
      <c r="V410" s="968"/>
      <c r="W410" s="968"/>
      <c r="X410" s="186"/>
      <c r="Y410" s="534">
        <f>SUM(Y407:Y409)</f>
        <v>0</v>
      </c>
      <c r="Z410" s="61"/>
      <c r="AA410" s="61"/>
      <c r="AB410" s="964"/>
      <c r="AC410" s="534">
        <f>SUM(AC407:AC409)</f>
        <v>0</v>
      </c>
      <c r="AD410" s="1071"/>
      <c r="AE410" s="964"/>
      <c r="AF410" s="964"/>
      <c r="AG410" s="964"/>
      <c r="AH410" s="534">
        <f>SUM(AH407:AH409)</f>
        <v>0</v>
      </c>
      <c r="AI410" s="1071"/>
      <c r="AJ410" s="964"/>
      <c r="AK410" s="964"/>
      <c r="AL410" s="964"/>
      <c r="AM410" s="534">
        <f>SUM(AM407:AM409)</f>
        <v>0</v>
      </c>
      <c r="AN410" s="1071"/>
      <c r="AO410" s="964"/>
      <c r="AP410" s="964"/>
      <c r="AQ410" s="964"/>
      <c r="AR410" s="534">
        <f>SUM(AR407:AR409)</f>
        <v>0</v>
      </c>
      <c r="AS410" s="1071"/>
      <c r="AT410" s="964"/>
      <c r="AU410" s="964"/>
      <c r="AV410" s="964"/>
      <c r="AW410" s="534">
        <f>SUM(AW407:AW409)</f>
        <v>0</v>
      </c>
      <c r="AX410" s="1071"/>
      <c r="AY410" s="964"/>
      <c r="AZ410" s="964"/>
      <c r="BA410" s="964"/>
      <c r="BB410" s="534">
        <f>SUM(BB407:BB409)</f>
        <v>0</v>
      </c>
      <c r="BC410" s="1071"/>
      <c r="BD410" s="964"/>
      <c r="BE410" s="964"/>
      <c r="BF410" s="61"/>
      <c r="BG410" s="61"/>
      <c r="BH410" s="61"/>
      <c r="BI410" s="506"/>
      <c r="BJ410" s="506"/>
      <c r="BK410" s="506"/>
      <c r="BL410" s="506"/>
      <c r="BM410" s="506"/>
      <c r="BN410" s="506"/>
      <c r="BO410" s="506"/>
      <c r="BP410" s="506"/>
    </row>
    <row r="411" spans="4:68">
      <c r="E411" s="186"/>
      <c r="G411" s="62"/>
      <c r="H411" s="62"/>
      <c r="I411" s="62"/>
      <c r="J411" s="62"/>
      <c r="K411" s="62"/>
      <c r="L411" s="62"/>
      <c r="M411" s="61"/>
      <c r="N411" s="62"/>
      <c r="O411" s="61"/>
      <c r="P411" s="62"/>
      <c r="Q411" s="61"/>
      <c r="R411" s="62"/>
      <c r="S411" s="936"/>
      <c r="T411" s="61"/>
      <c r="V411" s="968"/>
      <c r="W411" s="968"/>
      <c r="X411" s="186"/>
      <c r="Y411" s="61"/>
      <c r="Z411" s="61"/>
      <c r="AA411" s="61"/>
      <c r="AB411" s="964"/>
      <c r="AC411" s="61"/>
      <c r="AE411" s="964"/>
      <c r="AF411" s="964"/>
      <c r="AG411" s="964"/>
      <c r="AH411" s="61"/>
      <c r="AJ411" s="964"/>
      <c r="AK411" s="964"/>
      <c r="AL411" s="964"/>
      <c r="AM411" s="61"/>
      <c r="AO411" s="964"/>
      <c r="AP411" s="964"/>
      <c r="AQ411" s="964"/>
      <c r="AR411" s="61"/>
      <c r="AT411" s="964"/>
      <c r="AU411" s="964"/>
      <c r="AV411" s="964"/>
      <c r="AW411" s="61"/>
      <c r="AY411" s="964"/>
      <c r="AZ411" s="964"/>
      <c r="BA411" s="964"/>
      <c r="BB411" s="61"/>
      <c r="BD411" s="964"/>
      <c r="BE411" s="964"/>
      <c r="BF411" s="61"/>
      <c r="BG411" s="61"/>
      <c r="BH411" s="61"/>
      <c r="BI411" s="506"/>
      <c r="BJ411" s="506"/>
      <c r="BK411" s="506"/>
      <c r="BL411" s="506"/>
      <c r="BM411" s="506"/>
      <c r="BN411" s="506"/>
      <c r="BO411" s="506"/>
      <c r="BP411" s="506"/>
    </row>
    <row r="412" spans="4:68">
      <c r="D412" t="s">
        <v>632</v>
      </c>
      <c r="E412" s="186" t="s">
        <v>1382</v>
      </c>
      <c r="G412" s="62"/>
      <c r="H412" s="62"/>
      <c r="I412" s="62"/>
      <c r="J412" s="62"/>
      <c r="K412" s="62"/>
      <c r="L412" s="62"/>
      <c r="M412" s="61"/>
      <c r="N412" s="62"/>
      <c r="O412" s="61"/>
      <c r="P412" s="62"/>
      <c r="Q412" s="61"/>
      <c r="R412" s="62"/>
      <c r="S412" s="936"/>
      <c r="T412" s="61">
        <v>5000</v>
      </c>
      <c r="V412" s="968"/>
      <c r="W412" s="968"/>
      <c r="X412" s="186"/>
      <c r="Y412" s="61"/>
      <c r="Z412" s="61"/>
      <c r="AA412" s="61"/>
      <c r="AB412" s="964"/>
      <c r="AC412" s="61">
        <v>5000</v>
      </c>
      <c r="AE412" s="964"/>
      <c r="AF412" s="964"/>
      <c r="AG412" s="964"/>
      <c r="AH412" s="61">
        <f>AC412*(1+$AH$9)</f>
        <v>5150</v>
      </c>
      <c r="AJ412" s="964"/>
      <c r="AK412" s="964"/>
      <c r="AL412" s="964"/>
      <c r="AM412" s="61">
        <f>ROUND(AH412*(1+$AH$9),0)</f>
        <v>5305</v>
      </c>
      <c r="AO412" s="964"/>
      <c r="AP412" s="964"/>
      <c r="AQ412" s="964"/>
      <c r="AR412" s="61">
        <f>ROUND(AM412*(1+$AH$9),0)</f>
        <v>5464</v>
      </c>
      <c r="AT412" s="964"/>
      <c r="AU412" s="964"/>
      <c r="AV412" s="964"/>
      <c r="AW412" s="61">
        <f>ROUND(AR412*(1+$AH$9),0)</f>
        <v>5628</v>
      </c>
      <c r="AY412" s="964"/>
      <c r="AZ412" s="964"/>
      <c r="BA412" s="964"/>
      <c r="BB412" s="61">
        <f>ROUND(AW412*(1+$AH$9),0)</f>
        <v>5797</v>
      </c>
      <c r="BD412" s="964"/>
      <c r="BE412" s="964"/>
      <c r="BF412" s="61"/>
      <c r="BG412" s="61"/>
      <c r="BH412" s="61"/>
      <c r="BI412" s="506"/>
      <c r="BJ412" s="506"/>
      <c r="BK412" s="506"/>
      <c r="BL412" s="506"/>
      <c r="BM412" s="506"/>
      <c r="BN412" s="506"/>
      <c r="BO412" s="506"/>
      <c r="BP412" s="506"/>
    </row>
    <row r="413" spans="4:68">
      <c r="E413" s="186" t="s">
        <v>633</v>
      </c>
      <c r="G413" s="62"/>
      <c r="H413" s="62"/>
      <c r="I413" s="62"/>
      <c r="J413" s="62"/>
      <c r="K413" s="62"/>
      <c r="L413" s="62"/>
      <c r="M413" s="534">
        <f>SUM(M412)</f>
        <v>0</v>
      </c>
      <c r="N413" s="62"/>
      <c r="O413" s="534">
        <f>SUM(O412)</f>
        <v>0</v>
      </c>
      <c r="P413" s="62"/>
      <c r="Q413" s="534">
        <f>SUM(Q412)</f>
        <v>0</v>
      </c>
      <c r="R413" s="62"/>
      <c r="S413" s="936"/>
      <c r="T413" s="534">
        <f>SUM(T412)</f>
        <v>5000</v>
      </c>
      <c r="U413" s="1071"/>
      <c r="V413" s="968"/>
      <c r="W413" s="968"/>
      <c r="X413" s="186"/>
      <c r="Y413" s="534">
        <f>SUM(Y412)</f>
        <v>0</v>
      </c>
      <c r="Z413" s="61"/>
      <c r="AA413" s="61"/>
      <c r="AB413" s="964"/>
      <c r="AC413" s="534">
        <f>SUM(AC412)</f>
        <v>5000</v>
      </c>
      <c r="AD413" s="1071"/>
      <c r="AE413" s="964"/>
      <c r="AF413" s="964"/>
      <c r="AG413" s="964"/>
      <c r="AH413" s="534">
        <f>SUM(AH412)</f>
        <v>5150</v>
      </c>
      <c r="AI413" s="1071"/>
      <c r="AJ413" s="964"/>
      <c r="AK413" s="964"/>
      <c r="AL413" s="964"/>
      <c r="AM413" s="534">
        <f>SUM(AM412)</f>
        <v>5305</v>
      </c>
      <c r="AN413" s="1071"/>
      <c r="AO413" s="964"/>
      <c r="AP413" s="964"/>
      <c r="AQ413" s="964"/>
      <c r="AR413" s="534">
        <f>SUM(AR412)</f>
        <v>5464</v>
      </c>
      <c r="AS413" s="1071"/>
      <c r="AT413" s="964"/>
      <c r="AU413" s="964"/>
      <c r="AV413" s="964"/>
      <c r="AW413" s="534">
        <f>SUM(AW412)</f>
        <v>5628</v>
      </c>
      <c r="AX413" s="1071"/>
      <c r="AY413" s="964"/>
      <c r="AZ413" s="964"/>
      <c r="BA413" s="964"/>
      <c r="BB413" s="534">
        <f>SUM(BB412)</f>
        <v>5797</v>
      </c>
      <c r="BC413" s="1071"/>
      <c r="BD413" s="964"/>
      <c r="BE413" s="964"/>
      <c r="BF413" s="61"/>
      <c r="BG413" s="61"/>
      <c r="BH413" s="61"/>
      <c r="BI413" s="506"/>
      <c r="BJ413" s="506"/>
      <c r="BK413" s="506"/>
      <c r="BL413" s="506"/>
      <c r="BM413" s="506"/>
      <c r="BN413" s="506"/>
      <c r="BO413" s="506"/>
      <c r="BP413" s="506"/>
    </row>
    <row r="414" spans="4:68">
      <c r="E414" s="186"/>
      <c r="G414" s="62"/>
      <c r="H414" s="62"/>
      <c r="I414" s="62"/>
      <c r="J414" s="62"/>
      <c r="K414" s="62"/>
      <c r="L414" s="62"/>
      <c r="M414" s="533"/>
      <c r="N414" s="62"/>
      <c r="O414" s="533"/>
      <c r="P414" s="62"/>
      <c r="Q414" s="533"/>
      <c r="R414" s="62"/>
      <c r="S414" s="936"/>
      <c r="T414" s="533"/>
      <c r="U414" s="1071"/>
      <c r="V414" s="968"/>
      <c r="W414" s="968"/>
      <c r="X414" s="186"/>
      <c r="Y414" s="533"/>
      <c r="Z414" s="61"/>
      <c r="AA414" s="61"/>
      <c r="AB414" s="964"/>
      <c r="AC414" s="533"/>
      <c r="AD414" s="1071"/>
      <c r="AE414" s="964"/>
      <c r="AF414" s="964"/>
      <c r="AG414" s="964"/>
      <c r="AH414" s="533"/>
      <c r="AI414" s="1071"/>
      <c r="AJ414" s="964"/>
      <c r="AK414" s="964"/>
      <c r="AL414" s="964"/>
      <c r="AM414" s="533"/>
      <c r="AN414" s="1071"/>
      <c r="AO414" s="964"/>
      <c r="AP414" s="964"/>
      <c r="AQ414" s="964"/>
      <c r="AR414" s="533"/>
      <c r="AS414" s="1071"/>
      <c r="AT414" s="964"/>
      <c r="AU414" s="964"/>
      <c r="AV414" s="964"/>
      <c r="AW414" s="533"/>
      <c r="AX414" s="1071"/>
      <c r="AY414" s="964"/>
      <c r="AZ414" s="964"/>
      <c r="BA414" s="964"/>
      <c r="BB414" s="533"/>
      <c r="BC414" s="1071"/>
      <c r="BD414" s="964"/>
      <c r="BE414" s="964"/>
      <c r="BF414" s="61"/>
      <c r="BG414" s="61"/>
      <c r="BH414" s="61"/>
      <c r="BI414" s="506"/>
      <c r="BJ414" s="506"/>
      <c r="BK414" s="506"/>
      <c r="BL414" s="506"/>
      <c r="BM414" s="506"/>
      <c r="BN414" s="506"/>
      <c r="BO414" s="506"/>
      <c r="BP414" s="506"/>
    </row>
    <row r="415" spans="4:68" ht="15" thickBot="1">
      <c r="E415" s="186" t="s">
        <v>864</v>
      </c>
      <c r="G415" s="62"/>
      <c r="H415" s="62"/>
      <c r="I415" s="62"/>
      <c r="J415" s="62"/>
      <c r="K415" s="62"/>
      <c r="L415" s="62"/>
      <c r="M415" s="195">
        <f>+M413+M410+M405+M390+M383+M363+M358+M351+M348+M336+M321</f>
        <v>0</v>
      </c>
      <c r="N415" s="62"/>
      <c r="O415" s="195">
        <f>+O413+O410+O405+O390+O383+O363+O358+O351+O348+O336+O321</f>
        <v>0</v>
      </c>
      <c r="P415" s="62"/>
      <c r="Q415" s="195">
        <f>+Q413+Q410+Q405+Q390+Q383+Q363+Q358+Q351+Q348+Q336+Q321</f>
        <v>0</v>
      </c>
      <c r="R415" s="62"/>
      <c r="S415" s="936"/>
      <c r="T415" s="195">
        <f>+T413+T410+T405+T390+T383+T363+T358+T351+T348+T336+T321</f>
        <v>5000</v>
      </c>
      <c r="U415" s="1071"/>
      <c r="V415" s="968"/>
      <c r="W415" s="968"/>
      <c r="X415" s="186"/>
      <c r="Y415" s="195">
        <f>+Y413+Y410+Y405+Y390+Y383+Y363+Y358+Y351+Y348+Y336+Y321</f>
        <v>1591151</v>
      </c>
      <c r="Z415" s="61"/>
      <c r="AA415" s="61"/>
      <c r="AB415" s="964"/>
      <c r="AC415" s="195">
        <f>+AC413+AC410+AC405+AC390+AC383+AC363+AC358+AC351+AC348+AC336+AC321</f>
        <v>2155663</v>
      </c>
      <c r="AD415" s="1071"/>
      <c r="AE415" s="964"/>
      <c r="AF415" s="964"/>
      <c r="AG415" s="964"/>
      <c r="AH415" s="195">
        <f>+AH413+AH410+AH405+AH390+AH383+AH363+AH358+AH351+AH348+AH336+AH321</f>
        <v>2634833.04</v>
      </c>
      <c r="AI415" s="1071"/>
      <c r="AJ415" s="964"/>
      <c r="AK415" s="964"/>
      <c r="AL415" s="964"/>
      <c r="AM415" s="195">
        <f>+AM413+AM410+AM405+AM390+AM383+AM363+AM358+AM351+AM348+AM336+AM321</f>
        <v>2805980.2111999998</v>
      </c>
      <c r="AN415" s="1071"/>
      <c r="AO415" s="964"/>
      <c r="AP415" s="964"/>
      <c r="AQ415" s="964"/>
      <c r="AR415" s="195">
        <f>+AR413+AR410+AR405+AR390+AR383+AR363+AR358+AR351+AR348+AR336+AR321</f>
        <v>2928583.8275359999</v>
      </c>
      <c r="AS415" s="1071"/>
      <c r="AT415" s="964"/>
      <c r="AU415" s="964"/>
      <c r="AV415" s="964"/>
      <c r="AW415" s="195">
        <f>+AW413+AW410+AW405+AW390+AW383+AW363+AW358+AW351+AW348+AW336+AW321</f>
        <v>3055496.5023620804</v>
      </c>
      <c r="AX415" s="1071"/>
      <c r="AY415" s="964"/>
      <c r="AZ415" s="964"/>
      <c r="BA415" s="964"/>
      <c r="BB415" s="195">
        <f>+BB413+BB410+BB405+BB390+BB383+BB363+BB358+BB351+BB348+BB336+BB321</f>
        <v>3240024.0474329423</v>
      </c>
      <c r="BC415" s="1071"/>
      <c r="BD415" s="964"/>
      <c r="BE415" s="964"/>
      <c r="BF415" s="61"/>
      <c r="BG415" s="61"/>
      <c r="BH415" s="61"/>
      <c r="BI415" s="506"/>
      <c r="BJ415" s="506"/>
      <c r="BK415" s="506"/>
      <c r="BL415" s="506"/>
      <c r="BM415" s="506"/>
      <c r="BN415" s="506"/>
      <c r="BO415" s="506"/>
      <c r="BP415" s="506"/>
    </row>
    <row r="416" spans="4:68">
      <c r="E416" s="186"/>
      <c r="G416" s="62"/>
      <c r="H416" s="62"/>
      <c r="I416" s="62"/>
      <c r="J416" s="62"/>
      <c r="K416" s="62"/>
      <c r="L416" s="62"/>
      <c r="M416" s="61"/>
      <c r="N416" s="62"/>
      <c r="O416" s="61"/>
      <c r="P416" s="62"/>
      <c r="Q416" s="61"/>
      <c r="R416" s="62"/>
      <c r="S416" s="936"/>
      <c r="T416" s="61"/>
      <c r="V416" s="968"/>
      <c r="W416" s="968"/>
      <c r="X416" s="186"/>
      <c r="Y416" s="61"/>
      <c r="Z416" s="61"/>
      <c r="AA416" s="61"/>
      <c r="AB416" s="964"/>
      <c r="AC416" s="61"/>
      <c r="AE416" s="964"/>
      <c r="AF416" s="964"/>
      <c r="AG416" s="964"/>
      <c r="AH416" s="61"/>
      <c r="AJ416" s="964"/>
      <c r="AK416" s="964"/>
      <c r="AL416" s="964"/>
      <c r="AM416" s="61"/>
      <c r="AO416" s="964"/>
      <c r="AP416" s="964"/>
      <c r="AQ416" s="964"/>
      <c r="AR416" s="61"/>
      <c r="AT416" s="964"/>
      <c r="AU416" s="964"/>
      <c r="AV416" s="964"/>
      <c r="AW416" s="61"/>
      <c r="AY416" s="964"/>
      <c r="AZ416" s="964"/>
      <c r="BA416" s="964"/>
      <c r="BB416" s="61"/>
      <c r="BD416" s="964"/>
      <c r="BE416" s="964"/>
      <c r="BF416" s="61"/>
      <c r="BG416" s="61"/>
      <c r="BH416" s="61"/>
      <c r="BI416" s="506"/>
      <c r="BJ416" s="506"/>
      <c r="BK416" s="506"/>
      <c r="BL416" s="506"/>
      <c r="BM416" s="506"/>
      <c r="BN416" s="506"/>
      <c r="BO416" s="506"/>
      <c r="BP416" s="506"/>
    </row>
    <row r="417" spans="4:68">
      <c r="E417" s="254" t="s">
        <v>1459</v>
      </c>
      <c r="G417" s="62"/>
      <c r="H417" s="62"/>
      <c r="I417" s="62"/>
      <c r="J417" s="62"/>
      <c r="K417" s="62"/>
      <c r="L417" s="62"/>
      <c r="M417" s="61"/>
      <c r="N417" s="62"/>
      <c r="O417" s="61"/>
      <c r="P417" s="62"/>
      <c r="Q417" s="61"/>
      <c r="R417" s="62"/>
      <c r="S417" s="936"/>
      <c r="T417" s="61"/>
      <c r="V417" s="968"/>
      <c r="W417" s="968"/>
      <c r="X417" s="186"/>
      <c r="Y417" s="61"/>
      <c r="Z417" s="61"/>
      <c r="AA417" s="61"/>
      <c r="AB417" s="964"/>
      <c r="AC417" s="61"/>
      <c r="AE417" s="964"/>
      <c r="AF417" s="964"/>
      <c r="AG417" s="964"/>
      <c r="AH417" s="61"/>
      <c r="AJ417" s="964"/>
      <c r="AK417" s="964"/>
      <c r="AL417" s="964"/>
      <c r="AM417" s="61"/>
      <c r="AO417" s="964"/>
      <c r="AP417" s="964"/>
      <c r="AQ417" s="964"/>
      <c r="AR417" s="61"/>
      <c r="AT417" s="964"/>
      <c r="AU417" s="964"/>
      <c r="AV417" s="964"/>
      <c r="AW417" s="61"/>
      <c r="AY417" s="964"/>
      <c r="AZ417" s="964"/>
      <c r="BA417" s="964"/>
      <c r="BB417" s="61"/>
      <c r="BD417" s="964"/>
      <c r="BE417" s="964"/>
      <c r="BF417" s="61"/>
      <c r="BG417" s="61"/>
      <c r="BH417" s="61"/>
      <c r="BI417" s="506"/>
      <c r="BJ417" s="506"/>
      <c r="BK417" s="506"/>
      <c r="BL417" s="506"/>
      <c r="BM417" s="506"/>
      <c r="BN417" s="506"/>
      <c r="BO417" s="506"/>
      <c r="BP417" s="506"/>
    </row>
    <row r="418" spans="4:68">
      <c r="D418" t="s">
        <v>1460</v>
      </c>
      <c r="E418" t="s">
        <v>1461</v>
      </c>
      <c r="G418" s="62"/>
      <c r="H418" s="62"/>
      <c r="I418" s="62"/>
      <c r="J418" s="62"/>
      <c r="K418" s="62"/>
      <c r="L418" s="62"/>
      <c r="M418" s="61"/>
      <c r="N418" s="62"/>
      <c r="O418" s="61"/>
      <c r="P418" s="62"/>
      <c r="Q418" s="61"/>
      <c r="R418" s="62"/>
      <c r="S418" s="936"/>
      <c r="T418" s="61"/>
      <c r="V418" s="968"/>
      <c r="W418" s="968"/>
      <c r="X418" s="186"/>
      <c r="Y418" s="61"/>
      <c r="Z418" s="61"/>
      <c r="AA418" s="61"/>
      <c r="AB418" s="964"/>
      <c r="AC418" s="61"/>
      <c r="AE418" s="964"/>
      <c r="AF418" s="964"/>
      <c r="AG418" s="964"/>
      <c r="AH418" s="61"/>
      <c r="AJ418" s="964"/>
      <c r="AK418" s="964"/>
      <c r="AL418" s="964"/>
      <c r="AM418" s="61"/>
      <c r="AO418" s="964"/>
      <c r="AP418" s="964"/>
      <c r="AQ418" s="964"/>
      <c r="AR418" s="61"/>
      <c r="AT418" s="964"/>
      <c r="AU418" s="964"/>
      <c r="AV418" s="964"/>
      <c r="AW418" s="61"/>
      <c r="AY418" s="964"/>
      <c r="AZ418" s="964"/>
      <c r="BA418" s="964"/>
      <c r="BB418" s="61"/>
      <c r="BD418" s="964"/>
      <c r="BE418" s="964"/>
      <c r="BF418" s="61"/>
      <c r="BG418" s="61"/>
      <c r="BH418" s="61"/>
      <c r="BI418" s="506"/>
      <c r="BJ418" s="506"/>
      <c r="BK418" s="506"/>
      <c r="BL418" s="506"/>
      <c r="BM418" s="506"/>
      <c r="BN418" s="506"/>
      <c r="BO418" s="506"/>
      <c r="BP418" s="506"/>
    </row>
    <row r="419" spans="4:68">
      <c r="D419" t="s">
        <v>1462</v>
      </c>
      <c r="E419" t="s">
        <v>1463</v>
      </c>
      <c r="G419" s="62"/>
      <c r="H419" s="62"/>
      <c r="I419" s="62"/>
      <c r="J419" s="62"/>
      <c r="K419" s="62"/>
      <c r="L419" s="62"/>
      <c r="M419" s="61"/>
      <c r="N419" s="62"/>
      <c r="O419" s="61"/>
      <c r="P419" s="62"/>
      <c r="Q419" s="61"/>
      <c r="R419" s="62"/>
      <c r="S419" s="936"/>
      <c r="T419" s="61"/>
      <c r="V419" s="968"/>
      <c r="W419" s="968"/>
      <c r="X419" s="186"/>
      <c r="Y419" s="61">
        <v>10000</v>
      </c>
      <c r="Z419" s="61"/>
      <c r="AA419" s="61"/>
      <c r="AB419" s="964"/>
      <c r="AC419" s="61">
        <v>0</v>
      </c>
      <c r="AE419" s="964"/>
      <c r="AF419" s="964"/>
      <c r="AG419" s="964"/>
      <c r="AH419" s="61"/>
      <c r="AJ419" s="964"/>
      <c r="AK419" s="964"/>
      <c r="AL419" s="964"/>
      <c r="AM419" s="61"/>
      <c r="AO419" s="964"/>
      <c r="AP419" s="964"/>
      <c r="AQ419" s="964"/>
      <c r="AR419" s="61"/>
      <c r="AT419" s="964"/>
      <c r="AU419" s="964"/>
      <c r="AV419" s="964"/>
      <c r="AW419" s="61"/>
      <c r="AY419" s="964"/>
      <c r="AZ419" s="964"/>
      <c r="BA419" s="964"/>
      <c r="BB419" s="61"/>
      <c r="BD419" s="964"/>
      <c r="BE419" s="964"/>
      <c r="BF419" s="61"/>
      <c r="BG419" s="61"/>
      <c r="BH419" s="61"/>
      <c r="BI419" s="506"/>
      <c r="BJ419" s="506"/>
      <c r="BK419" s="506"/>
      <c r="BL419" s="506"/>
      <c r="BM419" s="506"/>
      <c r="BN419" s="506"/>
      <c r="BO419" s="506"/>
      <c r="BP419" s="506"/>
    </row>
    <row r="420" spans="4:68">
      <c r="D420" t="s">
        <v>1464</v>
      </c>
      <c r="E420" t="s">
        <v>1465</v>
      </c>
      <c r="G420" s="62"/>
      <c r="H420" s="62"/>
      <c r="I420" s="62"/>
      <c r="J420" s="62"/>
      <c r="K420" s="62"/>
      <c r="L420" s="62"/>
      <c r="M420" s="61"/>
      <c r="N420" s="62"/>
      <c r="O420" s="61"/>
      <c r="P420" s="62"/>
      <c r="Q420" s="61"/>
      <c r="R420" s="62"/>
      <c r="S420" s="936"/>
      <c r="T420" s="61"/>
      <c r="V420" s="968"/>
      <c r="W420" s="968"/>
      <c r="X420" s="186"/>
      <c r="Y420" s="61"/>
      <c r="Z420" s="61"/>
      <c r="AA420" s="61"/>
      <c r="AB420" s="964"/>
      <c r="AC420" s="61">
        <v>0</v>
      </c>
      <c r="AE420" s="964"/>
      <c r="AF420" s="964"/>
      <c r="AG420" s="964"/>
      <c r="AH420" s="61"/>
      <c r="AJ420" s="964"/>
      <c r="AK420" s="964"/>
      <c r="AL420" s="964"/>
      <c r="AM420" s="61"/>
      <c r="AO420" s="964"/>
      <c r="AP420" s="964"/>
      <c r="AQ420" s="964"/>
      <c r="AR420" s="61"/>
      <c r="AT420" s="964"/>
      <c r="AU420" s="964"/>
      <c r="AV420" s="964"/>
      <c r="AW420" s="61"/>
      <c r="AY420" s="964"/>
      <c r="AZ420" s="964"/>
      <c r="BA420" s="964"/>
      <c r="BB420" s="61"/>
      <c r="BD420" s="964"/>
      <c r="BE420" s="964"/>
      <c r="BF420" s="61"/>
      <c r="BG420" s="61"/>
      <c r="BH420" s="61"/>
      <c r="BI420" s="506"/>
      <c r="BJ420" s="506"/>
      <c r="BK420" s="506"/>
      <c r="BL420" s="506"/>
      <c r="BM420" s="506"/>
      <c r="BN420" s="506"/>
      <c r="BO420" s="506"/>
      <c r="BP420" s="506"/>
    </row>
    <row r="421" spans="4:68">
      <c r="E421" s="186" t="s">
        <v>634</v>
      </c>
      <c r="G421" s="62"/>
      <c r="H421" s="62"/>
      <c r="I421" s="62"/>
      <c r="J421" s="62"/>
      <c r="K421" s="62"/>
      <c r="L421" s="62"/>
      <c r="M421" s="534">
        <f>SUM(M418:M420)</f>
        <v>0</v>
      </c>
      <c r="N421" s="62"/>
      <c r="O421" s="534">
        <f>SUM(O418:O420)</f>
        <v>0</v>
      </c>
      <c r="P421" s="62"/>
      <c r="Q421" s="534">
        <f>SUM(Q418:Q420)</f>
        <v>0</v>
      </c>
      <c r="R421" s="62"/>
      <c r="S421" s="936"/>
      <c r="T421" s="534">
        <f>SUM(T418:T420)</f>
        <v>0</v>
      </c>
      <c r="U421" s="1071"/>
      <c r="V421" s="968"/>
      <c r="W421" s="968"/>
      <c r="X421" s="186"/>
      <c r="Y421" s="534">
        <f>SUM(Y418:Y420)</f>
        <v>10000</v>
      </c>
      <c r="Z421" s="61"/>
      <c r="AA421" s="61"/>
      <c r="AB421" s="964"/>
      <c r="AC421" s="534">
        <f>SUM(AC418:AC420)</f>
        <v>0</v>
      </c>
      <c r="AE421" s="964"/>
      <c r="AF421" s="964"/>
      <c r="AG421" s="964"/>
      <c r="AH421" s="61"/>
      <c r="AJ421" s="964"/>
      <c r="AK421" s="964"/>
      <c r="AL421" s="964"/>
      <c r="AM421" s="61"/>
      <c r="AO421" s="964"/>
      <c r="AP421" s="964"/>
      <c r="AQ421" s="964"/>
      <c r="AR421" s="61"/>
      <c r="AT421" s="964"/>
      <c r="AU421" s="964"/>
      <c r="AV421" s="964"/>
      <c r="AW421" s="61"/>
      <c r="AY421" s="964"/>
      <c r="AZ421" s="964"/>
      <c r="BA421" s="964"/>
      <c r="BB421" s="61"/>
      <c r="BD421" s="964"/>
      <c r="BE421" s="964"/>
      <c r="BF421" s="61"/>
      <c r="BG421" s="61"/>
      <c r="BH421" s="61"/>
      <c r="BI421" s="506"/>
      <c r="BJ421" s="506"/>
      <c r="BK421" s="506"/>
      <c r="BL421" s="506"/>
      <c r="BM421" s="506"/>
      <c r="BN421" s="506"/>
      <c r="BO421" s="506"/>
      <c r="BP421" s="506"/>
    </row>
    <row r="422" spans="4:68">
      <c r="E422" s="186"/>
      <c r="G422" s="62"/>
      <c r="H422" s="62"/>
      <c r="I422" s="62"/>
      <c r="J422" s="62"/>
      <c r="K422" s="62"/>
      <c r="L422" s="62"/>
      <c r="M422" s="61"/>
      <c r="N422" s="62"/>
      <c r="O422" s="61"/>
      <c r="P422" s="62"/>
      <c r="Q422" s="61"/>
      <c r="R422" s="62"/>
      <c r="S422" s="936"/>
      <c r="T422" s="61"/>
      <c r="V422" s="968"/>
      <c r="W422" s="968"/>
      <c r="X422" s="186"/>
      <c r="Y422" s="61"/>
      <c r="Z422" s="61"/>
      <c r="AA422" s="61"/>
      <c r="AB422" s="964"/>
      <c r="AC422" s="61"/>
      <c r="AE422" s="964"/>
      <c r="AF422" s="964"/>
      <c r="AG422" s="964"/>
      <c r="AH422" s="61"/>
      <c r="AJ422" s="964"/>
      <c r="AK422" s="964"/>
      <c r="AL422" s="964"/>
      <c r="AM422" s="61"/>
      <c r="AO422" s="964"/>
      <c r="AP422" s="964"/>
      <c r="AQ422" s="964"/>
      <c r="AR422" s="61"/>
      <c r="AT422" s="964"/>
      <c r="AU422" s="964"/>
      <c r="AV422" s="964"/>
      <c r="AW422" s="61"/>
      <c r="AY422" s="964"/>
      <c r="AZ422" s="964"/>
      <c r="BA422" s="964"/>
      <c r="BB422" s="61"/>
      <c r="BD422" s="964"/>
      <c r="BE422" s="964"/>
      <c r="BF422" s="61"/>
      <c r="BG422" s="61"/>
      <c r="BH422" s="61"/>
      <c r="BI422" s="506"/>
      <c r="BJ422" s="506"/>
      <c r="BK422" s="506"/>
      <c r="BL422" s="506"/>
      <c r="BM422" s="506"/>
      <c r="BN422" s="506"/>
      <c r="BO422" s="506"/>
      <c r="BP422" s="506"/>
    </row>
    <row r="423" spans="4:68">
      <c r="E423" s="254" t="s">
        <v>1456</v>
      </c>
      <c r="G423" s="62"/>
      <c r="H423" s="62"/>
      <c r="I423" s="62"/>
      <c r="J423" s="62"/>
      <c r="K423" s="62"/>
      <c r="L423" s="62"/>
      <c r="M423" s="61"/>
      <c r="N423" s="62"/>
      <c r="O423" s="61"/>
      <c r="P423" s="62"/>
      <c r="Q423" s="61"/>
      <c r="R423" s="62"/>
      <c r="S423" s="936"/>
      <c r="T423" s="61"/>
      <c r="V423" s="968"/>
      <c r="W423" s="968"/>
      <c r="X423" s="186"/>
      <c r="Y423" s="61"/>
      <c r="Z423" s="61"/>
      <c r="AA423" s="61"/>
      <c r="AB423" s="964"/>
      <c r="AC423" s="61"/>
      <c r="AE423" s="964"/>
      <c r="AF423" s="964"/>
      <c r="AG423" s="964"/>
      <c r="AH423" s="61"/>
      <c r="AJ423" s="964"/>
      <c r="AK423" s="964"/>
      <c r="AL423" s="964"/>
      <c r="AM423" s="61"/>
      <c r="AO423" s="964"/>
      <c r="AP423" s="964"/>
      <c r="AQ423" s="964"/>
      <c r="AR423" s="61"/>
      <c r="AT423" s="964"/>
      <c r="AU423" s="964"/>
      <c r="AV423" s="964"/>
      <c r="AW423" s="61"/>
      <c r="AY423" s="964"/>
      <c r="AZ423" s="964"/>
      <c r="BA423" s="964"/>
      <c r="BB423" s="61"/>
      <c r="BD423" s="964"/>
      <c r="BE423" s="964"/>
      <c r="BF423" s="61"/>
      <c r="BG423" s="61"/>
      <c r="BH423" s="61"/>
      <c r="BI423" s="506"/>
      <c r="BJ423" s="506"/>
      <c r="BK423" s="506"/>
      <c r="BL423" s="506"/>
      <c r="BM423" s="506"/>
      <c r="BN423" s="506"/>
      <c r="BO423" s="506"/>
      <c r="BP423" s="506"/>
    </row>
    <row r="424" spans="4:68">
      <c r="D424" t="s">
        <v>1470</v>
      </c>
      <c r="E424" t="s">
        <v>1471</v>
      </c>
      <c r="G424" s="62"/>
      <c r="H424" s="62"/>
      <c r="I424" s="62"/>
      <c r="J424" s="62"/>
      <c r="K424" s="62"/>
      <c r="L424" s="62"/>
      <c r="M424" s="61"/>
      <c r="N424" s="62"/>
      <c r="O424" s="61"/>
      <c r="P424" s="62"/>
      <c r="Q424" s="61"/>
      <c r="R424" s="62"/>
      <c r="S424" s="936"/>
      <c r="T424" s="61"/>
      <c r="V424" s="968"/>
      <c r="W424" s="968"/>
      <c r="X424" s="186"/>
      <c r="Y424" s="61"/>
      <c r="Z424" s="61"/>
      <c r="AA424" s="61"/>
      <c r="AB424" s="964"/>
      <c r="AC424" s="61"/>
      <c r="AE424" s="964"/>
      <c r="AF424" s="964"/>
      <c r="AG424" s="964"/>
      <c r="AH424" s="61"/>
      <c r="AJ424" s="964"/>
      <c r="AK424" s="964"/>
      <c r="AL424" s="964"/>
      <c r="AM424" s="61"/>
      <c r="AO424" s="964"/>
      <c r="AP424" s="964"/>
      <c r="AQ424" s="964"/>
      <c r="AR424" s="61"/>
      <c r="AT424" s="964"/>
      <c r="AU424" s="964"/>
      <c r="AV424" s="964"/>
      <c r="AW424" s="61"/>
      <c r="AY424" s="964"/>
      <c r="AZ424" s="964"/>
      <c r="BA424" s="964"/>
      <c r="BB424" s="61"/>
      <c r="BD424" s="964"/>
      <c r="BE424" s="964"/>
      <c r="BF424" s="61"/>
      <c r="BG424" s="61"/>
      <c r="BH424" s="61"/>
      <c r="BI424" s="506"/>
      <c r="BJ424" s="506"/>
      <c r="BK424" s="506"/>
      <c r="BL424" s="506"/>
      <c r="BM424" s="506"/>
      <c r="BN424" s="506"/>
      <c r="BO424" s="506"/>
      <c r="BP424" s="506"/>
    </row>
    <row r="425" spans="4:68">
      <c r="D425" t="s">
        <v>1472</v>
      </c>
      <c r="E425" t="s">
        <v>1473</v>
      </c>
      <c r="G425" s="62"/>
      <c r="H425" s="62"/>
      <c r="I425" s="62"/>
      <c r="J425" s="62"/>
      <c r="K425" s="62"/>
      <c r="L425" s="62"/>
      <c r="M425" s="61"/>
      <c r="N425" s="62"/>
      <c r="O425" s="61"/>
      <c r="P425" s="62"/>
      <c r="Q425" s="61"/>
      <c r="R425" s="62"/>
      <c r="S425" s="936"/>
      <c r="T425" s="61"/>
      <c r="V425" s="968"/>
      <c r="W425" s="968"/>
      <c r="X425" s="186"/>
      <c r="Y425" s="61">
        <v>3885</v>
      </c>
      <c r="Z425" s="61"/>
      <c r="AA425" s="61"/>
      <c r="AB425" s="964"/>
      <c r="AC425" s="61">
        <v>0</v>
      </c>
      <c r="AE425" s="964"/>
      <c r="AF425" s="964"/>
      <c r="AG425" s="964"/>
      <c r="AH425" s="61"/>
      <c r="AJ425" s="964"/>
      <c r="AK425" s="964"/>
      <c r="AL425" s="964"/>
      <c r="AM425" s="61"/>
      <c r="AO425" s="964"/>
      <c r="AP425" s="964"/>
      <c r="AQ425" s="964"/>
      <c r="AR425" s="61"/>
      <c r="AT425" s="964"/>
      <c r="AU425" s="964"/>
      <c r="AV425" s="964"/>
      <c r="AW425" s="61"/>
      <c r="AY425" s="964"/>
      <c r="AZ425" s="964"/>
      <c r="BA425" s="964"/>
      <c r="BB425" s="61"/>
      <c r="BD425" s="964"/>
      <c r="BE425" s="964"/>
      <c r="BF425" s="61"/>
      <c r="BG425" s="61"/>
      <c r="BH425" s="61"/>
      <c r="BI425" s="506"/>
      <c r="BJ425" s="506"/>
      <c r="BK425" s="506"/>
      <c r="BL425" s="506"/>
      <c r="BM425" s="506"/>
      <c r="BN425" s="506"/>
      <c r="BO425" s="506"/>
      <c r="BP425" s="506"/>
    </row>
    <row r="426" spans="4:68">
      <c r="D426" t="s">
        <v>1474</v>
      </c>
      <c r="E426" t="s">
        <v>1475</v>
      </c>
      <c r="G426" s="62"/>
      <c r="H426" s="62"/>
      <c r="I426" s="62"/>
      <c r="J426" s="62"/>
      <c r="K426" s="62"/>
      <c r="L426" s="62"/>
      <c r="M426" s="61"/>
      <c r="N426" s="62"/>
      <c r="O426" s="61"/>
      <c r="P426" s="62"/>
      <c r="Q426" s="61"/>
      <c r="R426" s="62"/>
      <c r="S426" s="936"/>
      <c r="T426" s="61"/>
      <c r="V426" s="968"/>
      <c r="W426" s="968"/>
      <c r="X426" s="186"/>
      <c r="Y426" s="61"/>
      <c r="Z426" s="61"/>
      <c r="AA426" s="61"/>
      <c r="AB426" s="964"/>
      <c r="AC426" s="61">
        <v>0</v>
      </c>
      <c r="AE426" s="964"/>
      <c r="AF426" s="964"/>
      <c r="AG426" s="964"/>
      <c r="AH426" s="61"/>
      <c r="AJ426" s="964"/>
      <c r="AK426" s="964"/>
      <c r="AL426" s="964"/>
      <c r="AM426" s="61"/>
      <c r="AO426" s="964"/>
      <c r="AP426" s="964"/>
      <c r="AQ426" s="964"/>
      <c r="AR426" s="61"/>
      <c r="AT426" s="964"/>
      <c r="AU426" s="964"/>
      <c r="AV426" s="964"/>
      <c r="AW426" s="61"/>
      <c r="AY426" s="964"/>
      <c r="AZ426" s="964"/>
      <c r="BA426" s="964"/>
      <c r="BB426" s="61"/>
      <c r="BD426" s="964"/>
      <c r="BE426" s="964"/>
      <c r="BF426" s="61"/>
      <c r="BG426" s="61"/>
      <c r="BH426" s="61"/>
      <c r="BI426" s="506"/>
      <c r="BJ426" s="506"/>
      <c r="BK426" s="506"/>
      <c r="BL426" s="506"/>
      <c r="BM426" s="506"/>
      <c r="BN426" s="506"/>
      <c r="BO426" s="506"/>
      <c r="BP426" s="506"/>
    </row>
    <row r="427" spans="4:68">
      <c r="E427" s="186" t="s">
        <v>634</v>
      </c>
      <c r="G427" s="62"/>
      <c r="H427" s="62"/>
      <c r="I427" s="62"/>
      <c r="J427" s="62"/>
      <c r="K427" s="62"/>
      <c r="L427" s="62"/>
      <c r="M427" s="534">
        <f>SUM(M424:M426)</f>
        <v>0</v>
      </c>
      <c r="N427" s="62"/>
      <c r="O427" s="534">
        <f>SUM(O424:O426)</f>
        <v>0</v>
      </c>
      <c r="P427" s="62"/>
      <c r="Q427" s="534">
        <f>SUM(Q424:Q426)</f>
        <v>0</v>
      </c>
      <c r="R427" s="62"/>
      <c r="S427" s="936"/>
      <c r="T427" s="534">
        <f>SUM(T424:T426)</f>
        <v>0</v>
      </c>
      <c r="U427" s="1071"/>
      <c r="V427" s="968"/>
      <c r="W427" s="968"/>
      <c r="X427" s="186"/>
      <c r="Y427" s="534">
        <f>SUM(Y424:Y426)</f>
        <v>3885</v>
      </c>
      <c r="Z427" s="61"/>
      <c r="AA427" s="61"/>
      <c r="AB427" s="964"/>
      <c r="AC427" s="534">
        <f>SUM(AC424:AC426)</f>
        <v>0</v>
      </c>
      <c r="AE427" s="964"/>
      <c r="AF427" s="964"/>
      <c r="AG427" s="964"/>
      <c r="AH427" s="61"/>
      <c r="AJ427" s="964"/>
      <c r="AK427" s="964"/>
      <c r="AL427" s="964"/>
      <c r="AM427" s="61"/>
      <c r="AO427" s="964"/>
      <c r="AP427" s="964"/>
      <c r="AQ427" s="964"/>
      <c r="AR427" s="61"/>
      <c r="AT427" s="964"/>
      <c r="AU427" s="964"/>
      <c r="AV427" s="964"/>
      <c r="AW427" s="61"/>
      <c r="AY427" s="964"/>
      <c r="AZ427" s="964"/>
      <c r="BA427" s="964"/>
      <c r="BB427" s="61"/>
      <c r="BD427" s="964"/>
      <c r="BE427" s="964"/>
      <c r="BF427" s="61"/>
      <c r="BG427" s="61"/>
      <c r="BH427" s="61"/>
      <c r="BI427" s="506"/>
      <c r="BJ427" s="506"/>
      <c r="BK427" s="506"/>
      <c r="BL427" s="506"/>
      <c r="BM427" s="506"/>
      <c r="BN427" s="506"/>
      <c r="BO427" s="506"/>
      <c r="BP427" s="506"/>
    </row>
    <row r="428" spans="4:68">
      <c r="E428" s="186"/>
      <c r="G428" s="62"/>
      <c r="H428" s="62"/>
      <c r="I428" s="62"/>
      <c r="J428" s="62"/>
      <c r="K428" s="62"/>
      <c r="L428" s="62"/>
      <c r="M428" s="61"/>
      <c r="N428" s="62"/>
      <c r="O428" s="61"/>
      <c r="P428" s="62"/>
      <c r="Q428" s="61"/>
      <c r="R428" s="62"/>
      <c r="S428" s="936"/>
      <c r="T428" s="61"/>
      <c r="V428" s="968"/>
      <c r="W428" s="968"/>
      <c r="X428" s="186"/>
      <c r="Y428" s="61"/>
      <c r="Z428" s="61"/>
      <c r="AA428" s="61"/>
      <c r="AB428" s="964"/>
      <c r="AC428" s="61"/>
      <c r="AE428" s="964"/>
      <c r="AF428" s="964"/>
      <c r="AG428" s="964"/>
      <c r="AH428" s="61"/>
      <c r="AJ428" s="964"/>
      <c r="AK428" s="964"/>
      <c r="AL428" s="964"/>
      <c r="AM428" s="61"/>
      <c r="AO428" s="964"/>
      <c r="AP428" s="964"/>
      <c r="AQ428" s="964"/>
      <c r="AR428" s="61"/>
      <c r="AT428" s="964"/>
      <c r="AU428" s="964"/>
      <c r="AV428" s="964"/>
      <c r="AW428" s="61"/>
      <c r="AY428" s="964"/>
      <c r="AZ428" s="964"/>
      <c r="BA428" s="964"/>
      <c r="BB428" s="61"/>
      <c r="BD428" s="964"/>
      <c r="BE428" s="964"/>
      <c r="BF428" s="61"/>
      <c r="BG428" s="61"/>
      <c r="BH428" s="61"/>
      <c r="BI428" s="506"/>
      <c r="BJ428" s="506"/>
      <c r="BK428" s="506"/>
      <c r="BL428" s="506"/>
      <c r="BM428" s="506"/>
      <c r="BN428" s="506"/>
      <c r="BO428" s="506"/>
      <c r="BP428" s="506"/>
    </row>
    <row r="429" spans="4:68">
      <c r="E429" s="254" t="s">
        <v>1457</v>
      </c>
      <c r="G429" s="62"/>
      <c r="H429" s="62"/>
      <c r="I429" s="62"/>
      <c r="J429" s="62"/>
      <c r="K429" s="62"/>
      <c r="L429" s="62"/>
      <c r="M429" s="61"/>
      <c r="N429" s="62"/>
      <c r="O429" s="61"/>
      <c r="P429" s="62"/>
      <c r="Q429" s="61"/>
      <c r="R429" s="62"/>
      <c r="S429" s="936"/>
      <c r="T429" s="61"/>
      <c r="V429" s="968"/>
      <c r="W429" s="968"/>
      <c r="X429" s="186"/>
      <c r="Y429" s="61"/>
      <c r="Z429" s="61"/>
      <c r="AA429" s="61"/>
      <c r="AB429" s="964"/>
      <c r="AC429" s="61"/>
      <c r="AE429" s="964"/>
      <c r="AF429" s="964"/>
      <c r="AG429" s="964"/>
      <c r="AH429" s="61"/>
      <c r="AJ429" s="964"/>
      <c r="AK429" s="964"/>
      <c r="AL429" s="964"/>
      <c r="AM429" s="61"/>
      <c r="AO429" s="964"/>
      <c r="AP429" s="964"/>
      <c r="AQ429" s="964"/>
      <c r="AR429" s="61"/>
      <c r="AT429" s="964"/>
      <c r="AU429" s="964"/>
      <c r="AV429" s="964"/>
      <c r="AW429" s="61"/>
      <c r="AY429" s="964"/>
      <c r="AZ429" s="964"/>
      <c r="BA429" s="964"/>
      <c r="BB429" s="61"/>
      <c r="BD429" s="964"/>
      <c r="BE429" s="964"/>
      <c r="BF429" s="61"/>
      <c r="BG429" s="61"/>
      <c r="BH429" s="61"/>
      <c r="BI429" s="506"/>
      <c r="BJ429" s="506"/>
      <c r="BK429" s="506"/>
      <c r="BL429" s="506"/>
      <c r="BM429" s="506"/>
      <c r="BN429" s="506"/>
      <c r="BO429" s="506"/>
      <c r="BP429" s="506"/>
    </row>
    <row r="430" spans="4:68">
      <c r="D430" t="s">
        <v>1466</v>
      </c>
      <c r="E430" t="s">
        <v>1467</v>
      </c>
      <c r="G430" s="62"/>
      <c r="H430" s="62"/>
      <c r="I430" s="62"/>
      <c r="J430" s="62"/>
      <c r="K430" s="62"/>
      <c r="L430" s="62"/>
      <c r="M430" s="61"/>
      <c r="N430" s="62"/>
      <c r="O430" s="61"/>
      <c r="P430" s="62"/>
      <c r="Q430" s="61"/>
      <c r="R430" s="62"/>
      <c r="S430" s="936"/>
      <c r="T430" s="61"/>
      <c r="V430" s="968"/>
      <c r="W430" s="968"/>
      <c r="X430" s="186"/>
      <c r="Y430" s="61"/>
      <c r="Z430" s="61"/>
      <c r="AA430" s="61"/>
      <c r="AB430" s="964"/>
      <c r="AC430" s="61"/>
      <c r="AE430" s="964"/>
      <c r="AF430" s="964"/>
      <c r="AG430" s="964"/>
      <c r="AH430" s="61"/>
      <c r="AJ430" s="964"/>
      <c r="AK430" s="964"/>
      <c r="AL430" s="964"/>
      <c r="AM430" s="61"/>
      <c r="AO430" s="964"/>
      <c r="AP430" s="964"/>
      <c r="AQ430" s="964"/>
      <c r="AR430" s="61"/>
      <c r="AT430" s="964"/>
      <c r="AU430" s="964"/>
      <c r="AV430" s="964"/>
      <c r="AW430" s="61"/>
      <c r="AY430" s="964"/>
      <c r="AZ430" s="964"/>
      <c r="BA430" s="964"/>
      <c r="BB430" s="61"/>
      <c r="BD430" s="964"/>
      <c r="BE430" s="964"/>
      <c r="BF430" s="61"/>
      <c r="BG430" s="61"/>
      <c r="BH430" s="61"/>
      <c r="BI430" s="506"/>
      <c r="BJ430" s="506"/>
      <c r="BK430" s="506"/>
      <c r="BL430" s="506"/>
      <c r="BM430" s="506"/>
      <c r="BN430" s="506"/>
      <c r="BO430" s="506"/>
      <c r="BP430" s="506"/>
    </row>
    <row r="431" spans="4:68">
      <c r="D431" t="s">
        <v>1468</v>
      </c>
      <c r="E431" t="s">
        <v>1469</v>
      </c>
      <c r="G431" s="62"/>
      <c r="H431" s="62"/>
      <c r="I431" s="62"/>
      <c r="J431" s="62"/>
      <c r="K431" s="62"/>
      <c r="L431" s="62"/>
      <c r="M431" s="61"/>
      <c r="N431" s="62"/>
      <c r="O431" s="61"/>
      <c r="P431" s="62"/>
      <c r="Q431" s="61"/>
      <c r="R431" s="62"/>
      <c r="S431" s="936"/>
      <c r="T431" s="61"/>
      <c r="V431" s="968"/>
      <c r="W431" s="968"/>
      <c r="X431" s="186"/>
      <c r="Y431" s="61">
        <v>4823</v>
      </c>
      <c r="Z431" s="61"/>
      <c r="AA431" s="61"/>
      <c r="AB431" s="964"/>
      <c r="AC431" s="61">
        <v>0</v>
      </c>
      <c r="AE431" s="964"/>
      <c r="AF431" s="964"/>
      <c r="AG431" s="964"/>
      <c r="AH431" s="61"/>
      <c r="AJ431" s="964"/>
      <c r="AK431" s="964"/>
      <c r="AL431" s="964"/>
      <c r="AM431" s="61"/>
      <c r="AO431" s="964"/>
      <c r="AP431" s="964"/>
      <c r="AQ431" s="964"/>
      <c r="AR431" s="61"/>
      <c r="AT431" s="964"/>
      <c r="AU431" s="964"/>
      <c r="AV431" s="964"/>
      <c r="AW431" s="61"/>
      <c r="AY431" s="964"/>
      <c r="AZ431" s="964"/>
      <c r="BA431" s="964"/>
      <c r="BB431" s="61"/>
      <c r="BD431" s="964"/>
      <c r="BE431" s="964"/>
      <c r="BF431" s="61"/>
      <c r="BG431" s="61"/>
      <c r="BH431" s="61"/>
      <c r="BI431" s="506"/>
      <c r="BJ431" s="506"/>
      <c r="BK431" s="506"/>
      <c r="BL431" s="506"/>
      <c r="BM431" s="506"/>
      <c r="BN431" s="506"/>
      <c r="BO431" s="506"/>
      <c r="BP431" s="506"/>
    </row>
    <row r="432" spans="4:68">
      <c r="E432" s="186" t="s">
        <v>634</v>
      </c>
      <c r="G432" s="62"/>
      <c r="H432" s="62"/>
      <c r="I432" s="62"/>
      <c r="J432" s="62"/>
      <c r="K432" s="62"/>
      <c r="L432" s="62"/>
      <c r="M432" s="534">
        <f>SUM(M430:M431)</f>
        <v>0</v>
      </c>
      <c r="N432" s="62"/>
      <c r="O432" s="534">
        <f>SUM(O430:O431)</f>
        <v>0</v>
      </c>
      <c r="P432" s="62"/>
      <c r="Q432" s="534">
        <f>SUM(Q430:Q431)</f>
        <v>0</v>
      </c>
      <c r="R432" s="62"/>
      <c r="S432" s="936"/>
      <c r="T432" s="534">
        <f>SUM(T430:T431)</f>
        <v>0</v>
      </c>
      <c r="U432" s="1071"/>
      <c r="V432" s="968"/>
      <c r="W432" s="968"/>
      <c r="X432" s="186"/>
      <c r="Y432" s="534">
        <f>SUM(Y430:Y431)</f>
        <v>4823</v>
      </c>
      <c r="Z432" s="61"/>
      <c r="AA432" s="61"/>
      <c r="AB432" s="964"/>
      <c r="AC432" s="534">
        <f>SUM(AC430:AC431)</f>
        <v>0</v>
      </c>
      <c r="AE432" s="964"/>
      <c r="AF432" s="964"/>
      <c r="AG432" s="964"/>
      <c r="AH432" s="61"/>
      <c r="AJ432" s="964"/>
      <c r="AK432" s="964"/>
      <c r="AL432" s="964"/>
      <c r="AM432" s="61"/>
      <c r="AO432" s="964"/>
      <c r="AP432" s="964"/>
      <c r="AQ432" s="964"/>
      <c r="AR432" s="61"/>
      <c r="AT432" s="964"/>
      <c r="AU432" s="964"/>
      <c r="AV432" s="964"/>
      <c r="AW432" s="61"/>
      <c r="AY432" s="964"/>
      <c r="AZ432" s="964"/>
      <c r="BA432" s="964"/>
      <c r="BB432" s="61"/>
      <c r="BD432" s="964"/>
      <c r="BE432" s="964"/>
      <c r="BF432" s="61"/>
      <c r="BG432" s="61"/>
      <c r="BH432" s="61"/>
      <c r="BI432" s="506"/>
      <c r="BJ432" s="506"/>
      <c r="BK432" s="506"/>
      <c r="BL432" s="506"/>
      <c r="BM432" s="506"/>
      <c r="BN432" s="506"/>
      <c r="BO432" s="506"/>
      <c r="BP432" s="506"/>
    </row>
    <row r="433" spans="4:68">
      <c r="E433" s="186"/>
      <c r="G433" s="62"/>
      <c r="H433" s="62"/>
      <c r="I433" s="62"/>
      <c r="J433" s="62"/>
      <c r="K433" s="62"/>
      <c r="L433" s="62"/>
      <c r="M433" s="61"/>
      <c r="N433" s="62"/>
      <c r="O433" s="61"/>
      <c r="P433" s="62"/>
      <c r="Q433" s="61"/>
      <c r="R433" s="62"/>
      <c r="S433" s="936"/>
      <c r="T433" s="61"/>
      <c r="V433" s="968"/>
      <c r="W433" s="968"/>
      <c r="X433" s="186"/>
      <c r="Y433" s="61"/>
      <c r="Z433" s="61"/>
      <c r="AA433" s="61"/>
      <c r="AB433" s="964"/>
      <c r="AC433" s="61"/>
      <c r="AE433" s="964"/>
      <c r="AF433" s="964"/>
      <c r="AG433" s="964"/>
      <c r="AH433" s="61"/>
      <c r="AJ433" s="964"/>
      <c r="AK433" s="964"/>
      <c r="AL433" s="964"/>
      <c r="AM433" s="61"/>
      <c r="AO433" s="964"/>
      <c r="AP433" s="964"/>
      <c r="AQ433" s="964"/>
      <c r="AR433" s="61"/>
      <c r="AT433" s="964"/>
      <c r="AU433" s="964"/>
      <c r="AV433" s="964"/>
      <c r="AW433" s="61"/>
      <c r="AY433" s="964"/>
      <c r="AZ433" s="964"/>
      <c r="BA433" s="964"/>
      <c r="BB433" s="61"/>
      <c r="BD433" s="964"/>
      <c r="BE433" s="964"/>
      <c r="BF433" s="61"/>
      <c r="BG433" s="61"/>
      <c r="BH433" s="61"/>
      <c r="BI433" s="506"/>
      <c r="BJ433" s="506"/>
      <c r="BK433" s="506"/>
      <c r="BL433" s="506"/>
      <c r="BM433" s="506"/>
      <c r="BN433" s="506"/>
      <c r="BO433" s="506"/>
      <c r="BP433" s="506"/>
    </row>
    <row r="434" spans="4:68">
      <c r="E434" s="254" t="s">
        <v>1458</v>
      </c>
      <c r="G434" s="62"/>
      <c r="H434" s="62"/>
      <c r="I434" s="62"/>
      <c r="J434" s="62"/>
      <c r="K434" s="62"/>
      <c r="L434" s="62"/>
      <c r="M434" s="61"/>
      <c r="N434" s="62"/>
      <c r="O434" s="61"/>
      <c r="P434" s="62"/>
      <c r="Q434" s="61"/>
      <c r="R434" s="62"/>
      <c r="S434" s="936"/>
      <c r="T434" s="61"/>
      <c r="V434" s="968"/>
      <c r="W434" s="968"/>
      <c r="X434" s="186"/>
      <c r="Y434" s="61"/>
      <c r="Z434" s="61"/>
      <c r="AA434" s="61"/>
      <c r="AB434" s="964"/>
      <c r="AC434" s="61"/>
      <c r="AE434" s="964"/>
      <c r="AF434" s="964"/>
      <c r="AG434" s="964"/>
      <c r="AH434" s="61"/>
      <c r="AJ434" s="964"/>
      <c r="AK434" s="964"/>
      <c r="AL434" s="964"/>
      <c r="AM434" s="61"/>
      <c r="AO434" s="964"/>
      <c r="AP434" s="964"/>
      <c r="AQ434" s="964"/>
      <c r="AR434" s="61"/>
      <c r="AT434" s="964"/>
      <c r="AU434" s="964"/>
      <c r="AV434" s="964"/>
      <c r="AW434" s="61"/>
      <c r="AY434" s="964"/>
      <c r="AZ434" s="964"/>
      <c r="BA434" s="964"/>
      <c r="BB434" s="61"/>
      <c r="BD434" s="964"/>
      <c r="BE434" s="964"/>
      <c r="BF434" s="61"/>
      <c r="BG434" s="61"/>
      <c r="BH434" s="61"/>
      <c r="BI434" s="506"/>
      <c r="BJ434" s="506"/>
      <c r="BK434" s="506"/>
      <c r="BL434" s="506"/>
      <c r="BM434" s="506"/>
      <c r="BN434" s="506"/>
      <c r="BO434" s="506"/>
      <c r="BP434" s="506"/>
    </row>
    <row r="435" spans="4:68">
      <c r="D435" t="s">
        <v>1476</v>
      </c>
      <c r="E435" t="s">
        <v>1477</v>
      </c>
      <c r="G435" s="62"/>
      <c r="H435" s="62"/>
      <c r="I435" s="62"/>
      <c r="J435" s="62"/>
      <c r="K435" s="62"/>
      <c r="L435" s="62"/>
      <c r="M435" s="61"/>
      <c r="N435" s="62"/>
      <c r="O435" s="61"/>
      <c r="P435" s="62"/>
      <c r="Q435" s="61"/>
      <c r="R435" s="62"/>
      <c r="S435" s="936"/>
      <c r="T435" s="61"/>
      <c r="V435" s="968"/>
      <c r="W435" s="968"/>
      <c r="X435" s="186"/>
      <c r="Y435" s="61">
        <v>2500</v>
      </c>
      <c r="Z435" s="61"/>
      <c r="AA435" s="61"/>
      <c r="AB435" s="964"/>
      <c r="AC435" s="61"/>
      <c r="AE435" s="964"/>
      <c r="AF435" s="964"/>
      <c r="AG435" s="964"/>
      <c r="AH435" s="61"/>
      <c r="AJ435" s="964"/>
      <c r="AK435" s="964"/>
      <c r="AL435" s="964"/>
      <c r="AM435" s="61"/>
      <c r="AO435" s="964"/>
      <c r="AP435" s="964"/>
      <c r="AQ435" s="964"/>
      <c r="AR435" s="61"/>
      <c r="AT435" s="964"/>
      <c r="AU435" s="964"/>
      <c r="AV435" s="964"/>
      <c r="AW435" s="61"/>
      <c r="AY435" s="964"/>
      <c r="AZ435" s="964"/>
      <c r="BA435" s="964"/>
      <c r="BB435" s="61"/>
      <c r="BD435" s="964"/>
      <c r="BE435" s="964"/>
      <c r="BF435" s="61"/>
      <c r="BG435" s="61"/>
      <c r="BH435" s="61"/>
      <c r="BI435" s="506"/>
      <c r="BJ435" s="506"/>
      <c r="BK435" s="506"/>
      <c r="BL435" s="506"/>
      <c r="BM435" s="506"/>
      <c r="BN435" s="506"/>
      <c r="BO435" s="506"/>
      <c r="BP435" s="506"/>
    </row>
    <row r="436" spans="4:68">
      <c r="D436" t="s">
        <v>1478</v>
      </c>
      <c r="E436" t="s">
        <v>1479</v>
      </c>
      <c r="G436" s="62"/>
      <c r="H436" s="62"/>
      <c r="I436" s="62"/>
      <c r="J436" s="62"/>
      <c r="K436" s="62"/>
      <c r="L436" s="62"/>
      <c r="M436" s="61"/>
      <c r="N436" s="62"/>
      <c r="O436" s="61"/>
      <c r="P436" s="62"/>
      <c r="Q436" s="61"/>
      <c r="R436" s="62"/>
      <c r="S436" s="936"/>
      <c r="T436" s="61"/>
      <c r="V436" s="968"/>
      <c r="W436" s="968"/>
      <c r="X436" s="186"/>
      <c r="Y436" s="61"/>
      <c r="Z436" s="61"/>
      <c r="AA436" s="61"/>
      <c r="AB436" s="964"/>
      <c r="AC436" s="61">
        <v>0</v>
      </c>
      <c r="AE436" s="964"/>
      <c r="AF436" s="964"/>
      <c r="AG436" s="964"/>
      <c r="AH436" s="61"/>
      <c r="AJ436" s="964"/>
      <c r="AK436" s="964"/>
      <c r="AL436" s="964"/>
      <c r="AM436" s="61"/>
      <c r="AO436" s="964"/>
      <c r="AP436" s="964"/>
      <c r="AQ436" s="964"/>
      <c r="AR436" s="61"/>
      <c r="AT436" s="964"/>
      <c r="AU436" s="964"/>
      <c r="AV436" s="964"/>
      <c r="AW436" s="61"/>
      <c r="AY436" s="964"/>
      <c r="AZ436" s="964"/>
      <c r="BA436" s="964"/>
      <c r="BB436" s="61"/>
      <c r="BD436" s="964"/>
      <c r="BE436" s="964"/>
      <c r="BF436" s="61"/>
      <c r="BG436" s="61"/>
      <c r="BH436" s="61"/>
      <c r="BI436" s="506"/>
      <c r="BJ436" s="506"/>
      <c r="BK436" s="506"/>
      <c r="BL436" s="506"/>
      <c r="BM436" s="506"/>
      <c r="BN436" s="506"/>
      <c r="BO436" s="506"/>
      <c r="BP436" s="506"/>
    </row>
    <row r="437" spans="4:68">
      <c r="E437" s="186" t="s">
        <v>634</v>
      </c>
      <c r="G437" s="62"/>
      <c r="H437" s="62"/>
      <c r="I437" s="62"/>
      <c r="J437" s="62"/>
      <c r="K437" s="62"/>
      <c r="L437" s="62"/>
      <c r="M437" s="534">
        <f>SUM(M435:M436)</f>
        <v>0</v>
      </c>
      <c r="N437" s="62"/>
      <c r="O437" s="534">
        <f>SUM(O435:O436)</f>
        <v>0</v>
      </c>
      <c r="P437" s="62"/>
      <c r="Q437" s="534">
        <f>SUM(Q435:Q436)</f>
        <v>0</v>
      </c>
      <c r="R437" s="62"/>
      <c r="S437" s="936"/>
      <c r="T437" s="534">
        <f>SUM(T435:T436)</f>
        <v>0</v>
      </c>
      <c r="U437" s="1071"/>
      <c r="V437" s="968"/>
      <c r="W437" s="968"/>
      <c r="X437" s="186"/>
      <c r="Y437" s="534">
        <f>SUM(Y435:Y436)</f>
        <v>2500</v>
      </c>
      <c r="Z437" s="61"/>
      <c r="AA437" s="61"/>
      <c r="AB437" s="964"/>
      <c r="AC437" s="534">
        <f>SUM(AC435:AC436)</f>
        <v>0</v>
      </c>
      <c r="AE437" s="964"/>
      <c r="AF437" s="964"/>
      <c r="AG437" s="964"/>
      <c r="AH437" s="61"/>
      <c r="AJ437" s="964"/>
      <c r="AK437" s="964"/>
      <c r="AL437" s="964"/>
      <c r="AM437" s="61"/>
      <c r="AO437" s="964"/>
      <c r="AP437" s="964"/>
      <c r="AQ437" s="964"/>
      <c r="AR437" s="61"/>
      <c r="AT437" s="964"/>
      <c r="AU437" s="964"/>
      <c r="AV437" s="964"/>
      <c r="AW437" s="61"/>
      <c r="AY437" s="964"/>
      <c r="AZ437" s="964"/>
      <c r="BA437" s="964"/>
      <c r="BB437" s="61"/>
      <c r="BD437" s="964"/>
      <c r="BE437" s="964"/>
      <c r="BF437" s="61"/>
      <c r="BG437" s="61"/>
      <c r="BH437" s="61"/>
      <c r="BI437" s="506"/>
      <c r="BJ437" s="506"/>
      <c r="BK437" s="506"/>
      <c r="BL437" s="506"/>
      <c r="BM437" s="506"/>
      <c r="BN437" s="506"/>
      <c r="BO437" s="506"/>
      <c r="BP437" s="506"/>
    </row>
    <row r="438" spans="4:68">
      <c r="E438" s="186"/>
      <c r="G438" s="62"/>
      <c r="H438" s="62"/>
      <c r="I438" s="62"/>
      <c r="J438" s="62"/>
      <c r="K438" s="62"/>
      <c r="L438" s="62"/>
      <c r="M438" s="61"/>
      <c r="N438" s="62"/>
      <c r="O438" s="61"/>
      <c r="P438" s="62"/>
      <c r="Q438" s="61"/>
      <c r="R438" s="62"/>
      <c r="S438" s="936"/>
      <c r="T438" s="61"/>
      <c r="V438" s="968"/>
      <c r="W438" s="968"/>
      <c r="X438" s="186"/>
      <c r="Y438" s="61"/>
      <c r="Z438" s="61"/>
      <c r="AA438" s="61"/>
      <c r="AB438" s="964"/>
      <c r="AC438" s="61"/>
      <c r="AE438" s="964"/>
      <c r="AF438" s="964"/>
      <c r="AG438" s="964"/>
      <c r="AH438" s="61"/>
      <c r="AJ438" s="964"/>
      <c r="AK438" s="964"/>
      <c r="AL438" s="964"/>
      <c r="AM438" s="61"/>
      <c r="AO438" s="964"/>
      <c r="AP438" s="964"/>
      <c r="AQ438" s="964"/>
      <c r="AR438" s="61"/>
      <c r="AT438" s="964"/>
      <c r="AU438" s="964"/>
      <c r="AV438" s="964"/>
      <c r="AW438" s="61"/>
      <c r="AY438" s="964"/>
      <c r="AZ438" s="964"/>
      <c r="BA438" s="964"/>
      <c r="BB438" s="61"/>
      <c r="BD438" s="964"/>
      <c r="BE438" s="964"/>
      <c r="BF438" s="61"/>
      <c r="BG438" s="61"/>
      <c r="BH438" s="61"/>
      <c r="BI438" s="506"/>
      <c r="BJ438" s="506"/>
      <c r="BK438" s="506"/>
      <c r="BL438" s="506"/>
      <c r="BM438" s="506"/>
      <c r="BN438" s="506"/>
      <c r="BO438" s="506"/>
      <c r="BP438" s="506"/>
    </row>
    <row r="439" spans="4:68">
      <c r="E439" s="254" t="s">
        <v>635</v>
      </c>
      <c r="G439" s="62"/>
      <c r="H439" s="62"/>
      <c r="I439" s="62"/>
      <c r="J439" s="62"/>
      <c r="K439" s="62"/>
      <c r="L439" s="62"/>
      <c r="M439" s="61"/>
      <c r="N439" s="62"/>
      <c r="O439" s="61"/>
      <c r="P439" s="62"/>
      <c r="Q439" s="61"/>
      <c r="R439" s="62"/>
      <c r="S439" s="936"/>
      <c r="T439" s="61"/>
      <c r="V439" s="968"/>
      <c r="W439" s="968"/>
      <c r="X439" s="186"/>
      <c r="Y439" s="61"/>
      <c r="Z439" s="61"/>
      <c r="AA439" s="61"/>
      <c r="AB439" s="964"/>
      <c r="AC439" s="61"/>
      <c r="AE439" s="964"/>
      <c r="AF439" s="964"/>
      <c r="AG439" s="964"/>
      <c r="AH439" s="61"/>
      <c r="AJ439" s="964"/>
      <c r="AK439" s="964"/>
      <c r="AL439" s="964"/>
      <c r="AM439" s="61"/>
      <c r="AO439" s="964"/>
      <c r="AP439" s="964"/>
      <c r="AQ439" s="964"/>
      <c r="AR439" s="61"/>
      <c r="AT439" s="964"/>
      <c r="AU439" s="964"/>
      <c r="AV439" s="964"/>
      <c r="AW439" s="61"/>
      <c r="AY439" s="964"/>
      <c r="AZ439" s="964"/>
      <c r="BA439" s="964"/>
      <c r="BB439" s="61"/>
      <c r="BD439" s="964"/>
      <c r="BE439" s="964"/>
      <c r="BF439" s="61"/>
      <c r="BG439" s="61"/>
      <c r="BH439" s="61"/>
      <c r="BI439" s="506"/>
      <c r="BJ439" s="506"/>
      <c r="BK439" s="506"/>
      <c r="BL439" s="506"/>
      <c r="BM439" s="506"/>
      <c r="BN439" s="506"/>
      <c r="BO439" s="506"/>
      <c r="BP439" s="506"/>
    </row>
    <row r="440" spans="4:68">
      <c r="D440" t="s">
        <v>636</v>
      </c>
      <c r="E440" s="186" t="s">
        <v>637</v>
      </c>
      <c r="G440" s="62"/>
      <c r="H440" s="62"/>
      <c r="I440" s="62"/>
      <c r="J440" s="62"/>
      <c r="K440" s="62"/>
      <c r="L440" s="62"/>
      <c r="M440" s="61"/>
      <c r="N440" s="62"/>
      <c r="O440" s="61"/>
      <c r="P440" s="62"/>
      <c r="Q440" s="61"/>
      <c r="R440" s="62"/>
      <c r="S440" s="936"/>
      <c r="T440" s="61"/>
      <c r="V440" s="968"/>
      <c r="W440" s="968"/>
      <c r="X440" s="186"/>
      <c r="Y440" s="61"/>
      <c r="Z440" s="61"/>
      <c r="AA440" s="61"/>
      <c r="AB440" s="964"/>
      <c r="AC440" s="61"/>
      <c r="AE440" s="964"/>
      <c r="AF440" s="964"/>
      <c r="AG440" s="964"/>
      <c r="AH440" s="61"/>
      <c r="AJ440" s="964"/>
      <c r="AK440" s="964"/>
      <c r="AL440" s="964"/>
      <c r="AM440" s="61"/>
      <c r="AO440" s="964"/>
      <c r="AP440" s="964"/>
      <c r="AQ440" s="964"/>
      <c r="AR440" s="61"/>
      <c r="AT440" s="964"/>
      <c r="AU440" s="964"/>
      <c r="AV440" s="964"/>
      <c r="AW440" s="61"/>
      <c r="AY440" s="964"/>
      <c r="AZ440" s="964"/>
      <c r="BA440" s="964"/>
      <c r="BB440" s="61"/>
      <c r="BD440" s="964"/>
      <c r="BE440" s="964"/>
      <c r="BF440" s="61"/>
      <c r="BG440" s="61"/>
      <c r="BH440" s="61"/>
      <c r="BI440" s="506"/>
      <c r="BJ440" s="506"/>
      <c r="BK440" s="506"/>
      <c r="BL440" s="506"/>
      <c r="BM440" s="506"/>
      <c r="BN440" s="506"/>
      <c r="BO440" s="506"/>
      <c r="BP440" s="506"/>
    </row>
    <row r="441" spans="4:68">
      <c r="D441" t="s">
        <v>638</v>
      </c>
      <c r="E441" s="186" t="s">
        <v>639</v>
      </c>
      <c r="G441" s="62"/>
      <c r="H441" s="62"/>
      <c r="I441" s="62"/>
      <c r="J441" s="62"/>
      <c r="K441" s="62"/>
      <c r="L441" s="62"/>
      <c r="M441" s="61"/>
      <c r="N441" s="62"/>
      <c r="O441" s="61"/>
      <c r="P441" s="62"/>
      <c r="Q441" s="61"/>
      <c r="R441" s="62"/>
      <c r="S441" s="936"/>
      <c r="T441" s="61"/>
      <c r="V441" s="968"/>
      <c r="W441" s="968"/>
      <c r="X441" s="186"/>
      <c r="Y441" s="61">
        <v>50725</v>
      </c>
      <c r="Z441" s="61"/>
      <c r="AA441" s="61"/>
      <c r="AB441" s="964"/>
      <c r="AC441" s="61">
        <f>AC230*0.12</f>
        <v>6606.84</v>
      </c>
      <c r="AE441" s="964"/>
      <c r="AF441" s="964"/>
      <c r="AG441" s="964"/>
      <c r="AH441" s="61"/>
      <c r="AJ441" s="964"/>
      <c r="AK441" s="964"/>
      <c r="AL441" s="964"/>
      <c r="AM441" s="61"/>
      <c r="AO441" s="964"/>
      <c r="AP441" s="964"/>
      <c r="AQ441" s="964"/>
      <c r="AR441" s="61"/>
      <c r="AT441" s="964"/>
      <c r="AU441" s="964"/>
      <c r="AV441" s="964"/>
      <c r="AW441" s="61"/>
      <c r="AY441" s="964"/>
      <c r="AZ441" s="964"/>
      <c r="BA441" s="964"/>
      <c r="BB441" s="61"/>
      <c r="BD441" s="964"/>
      <c r="BE441" s="964"/>
      <c r="BF441" s="61"/>
      <c r="BG441" s="61"/>
      <c r="BH441" s="61"/>
      <c r="BI441" s="506"/>
      <c r="BJ441" s="506"/>
      <c r="BK441" s="506"/>
      <c r="BL441" s="506"/>
      <c r="BM441" s="506"/>
      <c r="BN441" s="506"/>
      <c r="BO441" s="506"/>
      <c r="BP441" s="506"/>
    </row>
    <row r="442" spans="4:68">
      <c r="D442" t="s">
        <v>640</v>
      </c>
      <c r="E442" s="186" t="s">
        <v>641</v>
      </c>
      <c r="G442" s="62"/>
      <c r="H442" s="62"/>
      <c r="I442" s="62"/>
      <c r="J442" s="62"/>
      <c r="K442" s="62"/>
      <c r="L442" s="62"/>
      <c r="M442" s="61"/>
      <c r="N442" s="62"/>
      <c r="O442" s="61"/>
      <c r="P442" s="62"/>
      <c r="Q442" s="61"/>
      <c r="R442" s="62"/>
      <c r="S442" s="936"/>
      <c r="T442" s="61"/>
      <c r="V442" s="968"/>
      <c r="W442" s="968"/>
      <c r="X442" s="186"/>
      <c r="Y442" s="61">
        <v>0</v>
      </c>
      <c r="Z442" s="61"/>
      <c r="AA442" s="61"/>
      <c r="AB442" s="964"/>
      <c r="AC442" s="61">
        <f>AC230-AC441</f>
        <v>48450.16</v>
      </c>
      <c r="AE442" s="964"/>
      <c r="AF442" s="964"/>
      <c r="AG442" s="964"/>
      <c r="AH442" s="61"/>
      <c r="AJ442" s="964"/>
      <c r="AK442" s="964"/>
      <c r="AL442" s="964"/>
      <c r="AM442" s="61"/>
      <c r="AO442" s="964"/>
      <c r="AP442" s="964"/>
      <c r="AQ442" s="964"/>
      <c r="AR442" s="61"/>
      <c r="AT442" s="964"/>
      <c r="AU442" s="964"/>
      <c r="AV442" s="964"/>
      <c r="AW442" s="61"/>
      <c r="AY442" s="964"/>
      <c r="AZ442" s="964"/>
      <c r="BA442" s="964"/>
      <c r="BB442" s="61"/>
      <c r="BD442" s="964"/>
      <c r="BE442" s="964"/>
      <c r="BF442" s="61"/>
      <c r="BG442" s="61"/>
      <c r="BH442" s="61"/>
      <c r="BI442" s="506"/>
      <c r="BJ442" s="506"/>
      <c r="BK442" s="506"/>
      <c r="BL442" s="506"/>
      <c r="BM442" s="506"/>
      <c r="BN442" s="506"/>
      <c r="BO442" s="506"/>
      <c r="BP442" s="506"/>
    </row>
    <row r="443" spans="4:68">
      <c r="D443" t="s">
        <v>642</v>
      </c>
      <c r="E443" s="186" t="s">
        <v>643</v>
      </c>
      <c r="G443" s="62"/>
      <c r="H443" s="62"/>
      <c r="I443" s="62"/>
      <c r="J443" s="62"/>
      <c r="K443" s="62"/>
      <c r="L443" s="62"/>
      <c r="M443" s="61"/>
      <c r="N443" s="62"/>
      <c r="O443" s="61"/>
      <c r="P443" s="62"/>
      <c r="Q443" s="61"/>
      <c r="R443" s="62"/>
      <c r="S443" s="936"/>
      <c r="T443" s="61"/>
      <c r="V443" s="968"/>
      <c r="W443" s="968"/>
      <c r="X443" s="186"/>
      <c r="Y443" s="61"/>
      <c r="Z443" s="61"/>
      <c r="AA443" s="61"/>
      <c r="AB443" s="964"/>
      <c r="AC443" s="61"/>
      <c r="AE443" s="964"/>
      <c r="AF443" s="964"/>
      <c r="AG443" s="964"/>
      <c r="AH443" s="61"/>
      <c r="AJ443" s="964"/>
      <c r="AK443" s="964"/>
      <c r="AL443" s="964"/>
      <c r="AM443" s="61"/>
      <c r="AO443" s="964"/>
      <c r="AP443" s="964"/>
      <c r="AQ443" s="964"/>
      <c r="AR443" s="61"/>
      <c r="AT443" s="964"/>
      <c r="AU443" s="964"/>
      <c r="AV443" s="964"/>
      <c r="AW443" s="61"/>
      <c r="AY443" s="964"/>
      <c r="AZ443" s="964"/>
      <c r="BA443" s="964"/>
      <c r="BB443" s="61"/>
      <c r="BD443" s="964"/>
      <c r="BE443" s="964"/>
      <c r="BF443" s="61"/>
      <c r="BG443" s="61"/>
      <c r="BH443" s="61"/>
      <c r="BI443" s="506"/>
      <c r="BJ443" s="506"/>
      <c r="BK443" s="506"/>
      <c r="BL443" s="506"/>
      <c r="BM443" s="506"/>
      <c r="BN443" s="506"/>
      <c r="BO443" s="506"/>
      <c r="BP443" s="506"/>
    </row>
    <row r="444" spans="4:68">
      <c r="D444" t="s">
        <v>644</v>
      </c>
      <c r="E444" s="186" t="s">
        <v>645</v>
      </c>
      <c r="G444" s="62"/>
      <c r="H444" s="62"/>
      <c r="I444" s="62"/>
      <c r="J444" s="62"/>
      <c r="K444" s="62"/>
      <c r="L444" s="62"/>
      <c r="M444" s="61"/>
      <c r="N444" s="62"/>
      <c r="O444" s="61"/>
      <c r="P444" s="62"/>
      <c r="Q444" s="61"/>
      <c r="R444" s="62"/>
      <c r="S444" s="936"/>
      <c r="T444" s="61"/>
      <c r="V444" s="968"/>
      <c r="W444" s="968"/>
      <c r="X444" s="186"/>
      <c r="Y444" s="61"/>
      <c r="Z444" s="61"/>
      <c r="AA444" s="61"/>
      <c r="AB444" s="964"/>
      <c r="AC444" s="61"/>
      <c r="AE444" s="964"/>
      <c r="AF444" s="964"/>
      <c r="AG444" s="964"/>
      <c r="AH444" s="61"/>
      <c r="AJ444" s="964"/>
      <c r="AK444" s="964"/>
      <c r="AL444" s="964"/>
      <c r="AM444" s="61"/>
      <c r="AO444" s="964"/>
      <c r="AP444" s="964"/>
      <c r="AQ444" s="964"/>
      <c r="AR444" s="61"/>
      <c r="AT444" s="964"/>
      <c r="AU444" s="964"/>
      <c r="AV444" s="964"/>
      <c r="AW444" s="61"/>
      <c r="AY444" s="964"/>
      <c r="AZ444" s="964"/>
      <c r="BA444" s="964"/>
      <c r="BB444" s="61"/>
      <c r="BD444" s="964"/>
      <c r="BE444" s="964"/>
      <c r="BF444" s="61"/>
      <c r="BG444" s="61"/>
      <c r="BH444" s="61"/>
      <c r="BI444" s="506"/>
      <c r="BJ444" s="506"/>
      <c r="BK444" s="506"/>
      <c r="BL444" s="506"/>
      <c r="BM444" s="506"/>
      <c r="BN444" s="506"/>
      <c r="BO444" s="506"/>
      <c r="BP444" s="506"/>
    </row>
    <row r="445" spans="4:68">
      <c r="E445" s="186" t="s">
        <v>634</v>
      </c>
      <c r="G445" s="62"/>
      <c r="H445" s="62"/>
      <c r="I445" s="62"/>
      <c r="J445" s="62"/>
      <c r="K445" s="62"/>
      <c r="L445" s="62"/>
      <c r="M445" s="534">
        <f>SUM(M440:M444)</f>
        <v>0</v>
      </c>
      <c r="N445" s="62"/>
      <c r="O445" s="534">
        <f>SUM(O440:O444)</f>
        <v>0</v>
      </c>
      <c r="P445" s="62"/>
      <c r="Q445" s="534">
        <f>SUM(Q440:Q444)</f>
        <v>0</v>
      </c>
      <c r="R445" s="62"/>
      <c r="S445" s="936"/>
      <c r="T445" s="534">
        <f>SUM(T440:T444)</f>
        <v>0</v>
      </c>
      <c r="U445" s="1071"/>
      <c r="V445" s="968"/>
      <c r="W445" s="968"/>
      <c r="X445" s="186"/>
      <c r="Y445" s="534">
        <f>SUM(Y440:Y444)</f>
        <v>50725</v>
      </c>
      <c r="Z445" s="61"/>
      <c r="AA445" s="61"/>
      <c r="AB445" s="964"/>
      <c r="AC445" s="534">
        <f>SUM(AC440:AC444)</f>
        <v>55057</v>
      </c>
      <c r="AD445" s="1071"/>
      <c r="AE445" s="964"/>
      <c r="AF445" s="964"/>
      <c r="AG445" s="964"/>
      <c r="AH445" s="534">
        <f>SUM(AH440:AH444)</f>
        <v>0</v>
      </c>
      <c r="AI445" s="1071"/>
      <c r="AJ445" s="964"/>
      <c r="AK445" s="964"/>
      <c r="AL445" s="964"/>
      <c r="AM445" s="534">
        <f>SUM(AM440:AM444)</f>
        <v>0</v>
      </c>
      <c r="AN445" s="1071"/>
      <c r="AO445" s="964"/>
      <c r="AP445" s="964"/>
      <c r="AQ445" s="964"/>
      <c r="AR445" s="534">
        <f>SUM(AR440:AR444)</f>
        <v>0</v>
      </c>
      <c r="AS445" s="1071"/>
      <c r="AT445" s="964"/>
      <c r="AU445" s="964"/>
      <c r="AV445" s="964"/>
      <c r="AW445" s="534">
        <f>SUM(AW440:AW444)</f>
        <v>0</v>
      </c>
      <c r="AX445" s="1071"/>
      <c r="AY445" s="964"/>
      <c r="AZ445" s="964"/>
      <c r="BA445" s="964"/>
      <c r="BB445" s="534">
        <f>SUM(BB440:BB444)</f>
        <v>0</v>
      </c>
      <c r="BC445" s="1071"/>
      <c r="BD445" s="964"/>
      <c r="BE445" s="964"/>
      <c r="BF445" s="61"/>
      <c r="BG445" s="61"/>
      <c r="BH445" s="61"/>
      <c r="BI445" s="506"/>
      <c r="BJ445" s="506"/>
      <c r="BK445" s="506"/>
      <c r="BL445" s="506"/>
      <c r="BM445" s="506"/>
      <c r="BN445" s="506"/>
      <c r="BO445" s="506"/>
      <c r="BP445" s="506"/>
    </row>
    <row r="446" spans="4:68">
      <c r="E446" s="186"/>
      <c r="G446" s="62"/>
      <c r="H446" s="62"/>
      <c r="I446" s="62"/>
      <c r="J446" s="62"/>
      <c r="K446" s="62"/>
      <c r="L446" s="62"/>
      <c r="M446" s="61"/>
      <c r="N446" s="62"/>
      <c r="O446" s="61"/>
      <c r="P446" s="62"/>
      <c r="Q446" s="61"/>
      <c r="R446" s="62"/>
      <c r="S446" s="936"/>
      <c r="T446" s="61"/>
      <c r="V446" s="968"/>
      <c r="W446" s="968"/>
      <c r="X446" s="186"/>
      <c r="Y446" s="61"/>
      <c r="Z446" s="61"/>
      <c r="AA446" s="61"/>
      <c r="AB446" s="964"/>
      <c r="AC446" s="61"/>
      <c r="AE446" s="964"/>
      <c r="AF446" s="964"/>
      <c r="AG446" s="964"/>
      <c r="AH446" s="61"/>
      <c r="AJ446" s="964"/>
      <c r="AK446" s="964"/>
      <c r="AL446" s="964"/>
      <c r="AM446" s="61"/>
      <c r="AO446" s="964"/>
      <c r="AP446" s="964"/>
      <c r="AQ446" s="964"/>
      <c r="AR446" s="61"/>
      <c r="AT446" s="964"/>
      <c r="AU446" s="964"/>
      <c r="AV446" s="964"/>
      <c r="AW446" s="61"/>
      <c r="AY446" s="964"/>
      <c r="AZ446" s="964"/>
      <c r="BA446" s="964"/>
      <c r="BB446" s="61"/>
      <c r="BD446" s="964"/>
      <c r="BE446" s="964"/>
      <c r="BF446" s="61"/>
      <c r="BG446" s="61"/>
      <c r="BH446" s="61"/>
      <c r="BI446" s="506"/>
      <c r="BJ446" s="506"/>
      <c r="BK446" s="506"/>
      <c r="BL446" s="506"/>
      <c r="BM446" s="506"/>
      <c r="BN446" s="506"/>
      <c r="BO446" s="506"/>
      <c r="BP446" s="506"/>
    </row>
    <row r="447" spans="4:68">
      <c r="E447" s="254" t="s">
        <v>646</v>
      </c>
      <c r="G447" s="62"/>
      <c r="H447" s="62"/>
      <c r="I447" s="62"/>
      <c r="J447" s="62"/>
      <c r="K447" s="62"/>
      <c r="L447" s="62"/>
      <c r="M447" s="61"/>
      <c r="N447" s="62"/>
      <c r="O447" s="61"/>
      <c r="P447" s="62"/>
      <c r="Q447" s="61"/>
      <c r="R447" s="62"/>
      <c r="S447" s="936"/>
      <c r="T447" s="61"/>
      <c r="V447" s="968"/>
      <c r="W447" s="968"/>
      <c r="X447" s="186"/>
      <c r="Y447" s="61"/>
      <c r="Z447" s="61"/>
      <c r="AA447" s="61"/>
      <c r="AB447" s="964"/>
      <c r="AC447" s="61"/>
      <c r="AE447" s="964"/>
      <c r="AF447" s="964"/>
      <c r="AG447" s="964"/>
      <c r="AH447" s="61"/>
      <c r="AJ447" s="964"/>
      <c r="AK447" s="964"/>
      <c r="AL447" s="964"/>
      <c r="AM447" s="61"/>
      <c r="AO447" s="964"/>
      <c r="AP447" s="964"/>
      <c r="AQ447" s="964"/>
      <c r="AR447" s="61"/>
      <c r="AT447" s="964"/>
      <c r="AU447" s="964"/>
      <c r="AV447" s="964"/>
      <c r="AW447" s="61"/>
      <c r="AY447" s="964"/>
      <c r="AZ447" s="964"/>
      <c r="BA447" s="964"/>
      <c r="BB447" s="61"/>
      <c r="BD447" s="964"/>
      <c r="BE447" s="964"/>
      <c r="BF447" s="61"/>
      <c r="BG447" s="61"/>
      <c r="BH447" s="61"/>
      <c r="BI447" s="506"/>
      <c r="BJ447" s="506"/>
      <c r="BK447" s="506"/>
      <c r="BL447" s="506"/>
      <c r="BM447" s="506"/>
      <c r="BN447" s="506"/>
      <c r="BO447" s="506"/>
      <c r="BP447" s="506"/>
    </row>
    <row r="448" spans="4:68">
      <c r="D448" t="s">
        <v>647</v>
      </c>
      <c r="E448" s="186" t="s">
        <v>648</v>
      </c>
      <c r="G448" s="62"/>
      <c r="H448" s="62"/>
      <c r="I448" s="62"/>
      <c r="J448" s="62"/>
      <c r="K448" s="62"/>
      <c r="L448" s="62"/>
      <c r="M448" s="61"/>
      <c r="N448" s="62"/>
      <c r="O448" s="61"/>
      <c r="P448" s="62"/>
      <c r="Q448" s="61"/>
      <c r="R448" s="62"/>
      <c r="S448" s="936"/>
      <c r="T448" s="61"/>
      <c r="V448" s="968"/>
      <c r="W448" s="968"/>
      <c r="X448" s="186"/>
      <c r="Y448" s="61">
        <v>3767</v>
      </c>
      <c r="Z448" s="61"/>
      <c r="AA448" s="61"/>
      <c r="AB448" s="964"/>
      <c r="AC448" s="61">
        <v>3754</v>
      </c>
      <c r="AE448" s="964"/>
      <c r="AF448" s="964"/>
      <c r="AG448" s="964"/>
      <c r="AH448" s="61"/>
      <c r="AJ448" s="964"/>
      <c r="AK448" s="964"/>
      <c r="AL448" s="964"/>
      <c r="AM448" s="61"/>
      <c r="AO448" s="964"/>
      <c r="AP448" s="964"/>
      <c r="AQ448" s="964"/>
      <c r="AR448" s="61"/>
      <c r="AT448" s="964"/>
      <c r="AU448" s="964"/>
      <c r="AV448" s="964"/>
      <c r="AW448" s="61"/>
      <c r="AY448" s="964"/>
      <c r="AZ448" s="964"/>
      <c r="BA448" s="964"/>
      <c r="BB448" s="61"/>
      <c r="BD448" s="964"/>
      <c r="BE448" s="964"/>
      <c r="BF448" s="61"/>
      <c r="BG448" s="61"/>
      <c r="BH448" s="61"/>
      <c r="BI448" s="506"/>
      <c r="BJ448" s="506"/>
      <c r="BK448" s="506"/>
      <c r="BL448" s="506"/>
      <c r="BM448" s="506"/>
      <c r="BN448" s="506"/>
      <c r="BO448" s="506"/>
      <c r="BP448" s="506"/>
    </row>
    <row r="449" spans="4:68">
      <c r="D449" t="s">
        <v>649</v>
      </c>
      <c r="E449" s="186" t="s">
        <v>650</v>
      </c>
      <c r="G449" s="62"/>
      <c r="H449" s="62"/>
      <c r="I449" s="62"/>
      <c r="J449" s="62"/>
      <c r="K449" s="62"/>
      <c r="L449" s="62"/>
      <c r="M449" s="61"/>
      <c r="N449" s="62"/>
      <c r="O449" s="61"/>
      <c r="P449" s="62"/>
      <c r="Q449" s="61"/>
      <c r="R449" s="62"/>
      <c r="S449" s="936"/>
      <c r="T449" s="61"/>
      <c r="V449" s="968"/>
      <c r="W449" s="968"/>
      <c r="X449" s="186"/>
      <c r="Y449" s="61"/>
      <c r="Z449" s="61"/>
      <c r="AA449" s="61"/>
      <c r="AB449" s="964"/>
      <c r="AC449" s="61"/>
      <c r="AE449" s="964"/>
      <c r="AF449" s="964"/>
      <c r="AG449" s="964"/>
      <c r="AH449" s="61"/>
      <c r="AJ449" s="964"/>
      <c r="AK449" s="964"/>
      <c r="AL449" s="964"/>
      <c r="AM449" s="61"/>
      <c r="AO449" s="964"/>
      <c r="AP449" s="964"/>
      <c r="AQ449" s="964"/>
      <c r="AR449" s="61"/>
      <c r="AT449" s="964"/>
      <c r="AU449" s="964"/>
      <c r="AV449" s="964"/>
      <c r="AW449" s="61"/>
      <c r="AY449" s="964"/>
      <c r="AZ449" s="964"/>
      <c r="BA449" s="964"/>
      <c r="BB449" s="61"/>
      <c r="BD449" s="964"/>
      <c r="BE449" s="964"/>
      <c r="BF449" s="61"/>
      <c r="BG449" s="61"/>
      <c r="BH449" s="61"/>
      <c r="BI449" s="506"/>
      <c r="BJ449" s="506"/>
      <c r="BK449" s="506"/>
      <c r="BL449" s="506"/>
      <c r="BM449" s="506"/>
      <c r="BN449" s="506"/>
      <c r="BO449" s="506"/>
      <c r="BP449" s="506"/>
    </row>
    <row r="450" spans="4:68">
      <c r="D450" t="s">
        <v>651</v>
      </c>
      <c r="E450" s="186" t="s">
        <v>652</v>
      </c>
      <c r="G450" s="62"/>
      <c r="H450" s="62"/>
      <c r="I450" s="62"/>
      <c r="J450" s="62"/>
      <c r="K450" s="62"/>
      <c r="L450" s="62"/>
      <c r="M450" s="61"/>
      <c r="N450" s="62"/>
      <c r="O450" s="61"/>
      <c r="P450" s="62"/>
      <c r="Q450" s="61"/>
      <c r="R450" s="62"/>
      <c r="S450" s="936"/>
      <c r="T450" s="61"/>
      <c r="V450" s="968"/>
      <c r="W450" s="968"/>
      <c r="X450" s="186"/>
      <c r="Y450" s="61"/>
      <c r="Z450" s="61"/>
      <c r="AA450" s="61"/>
      <c r="AB450" s="964"/>
      <c r="AC450" s="61"/>
      <c r="AE450" s="964"/>
      <c r="AF450" s="964"/>
      <c r="AG450" s="964"/>
      <c r="AH450" s="61"/>
      <c r="AJ450" s="964"/>
      <c r="AK450" s="964"/>
      <c r="AL450" s="964"/>
      <c r="AM450" s="61"/>
      <c r="AO450" s="964"/>
      <c r="AP450" s="964"/>
      <c r="AQ450" s="964"/>
      <c r="AR450" s="61"/>
      <c r="AT450" s="964"/>
      <c r="AU450" s="964"/>
      <c r="AV450" s="964"/>
      <c r="AW450" s="61"/>
      <c r="AY450" s="964"/>
      <c r="AZ450" s="964"/>
      <c r="BA450" s="964"/>
      <c r="BB450" s="61"/>
      <c r="BD450" s="964"/>
      <c r="BE450" s="964"/>
      <c r="BF450" s="61"/>
      <c r="BG450" s="61"/>
      <c r="BH450" s="61"/>
      <c r="BI450" s="506"/>
      <c r="BJ450" s="506"/>
      <c r="BK450" s="506"/>
      <c r="BL450" s="506"/>
      <c r="BM450" s="506"/>
      <c r="BN450" s="506"/>
      <c r="BO450" s="506"/>
      <c r="BP450" s="506"/>
    </row>
    <row r="451" spans="4:68">
      <c r="E451" s="186" t="s">
        <v>634</v>
      </c>
      <c r="G451" s="62"/>
      <c r="H451" s="62"/>
      <c r="I451" s="62"/>
      <c r="J451" s="62"/>
      <c r="K451" s="62"/>
      <c r="L451" s="62"/>
      <c r="M451" s="534">
        <f>SUM(M448:M450)</f>
        <v>0</v>
      </c>
      <c r="N451" s="62"/>
      <c r="O451" s="534">
        <f>SUM(O448:O450)</f>
        <v>0</v>
      </c>
      <c r="P451" s="62"/>
      <c r="Q451" s="534">
        <f>SUM(Q448:Q450)</f>
        <v>0</v>
      </c>
      <c r="R451" s="62"/>
      <c r="S451" s="936"/>
      <c r="T451" s="534">
        <f>SUM(T448:T450)</f>
        <v>0</v>
      </c>
      <c r="U451" s="1071"/>
      <c r="V451" s="968"/>
      <c r="W451" s="968"/>
      <c r="X451" s="186"/>
      <c r="Y451" s="534">
        <f>SUM(Y448:Y450)</f>
        <v>3767</v>
      </c>
      <c r="Z451" s="61"/>
      <c r="AA451" s="61"/>
      <c r="AB451" s="964"/>
      <c r="AC451" s="534">
        <f>SUM(AC448:AC450)</f>
        <v>3754</v>
      </c>
      <c r="AD451" s="1071"/>
      <c r="AE451" s="964"/>
      <c r="AF451" s="964"/>
      <c r="AG451" s="964"/>
      <c r="AH451" s="534">
        <f>SUM(AH448:AH450)</f>
        <v>0</v>
      </c>
      <c r="AI451" s="1071"/>
      <c r="AJ451" s="964"/>
      <c r="AK451" s="964"/>
      <c r="AL451" s="964"/>
      <c r="AM451" s="534">
        <f>SUM(AM448:AM450)</f>
        <v>0</v>
      </c>
      <c r="AN451" s="1071"/>
      <c r="AO451" s="964"/>
      <c r="AP451" s="964"/>
      <c r="AQ451" s="964"/>
      <c r="AR451" s="534">
        <f>SUM(AR448:AR450)</f>
        <v>0</v>
      </c>
      <c r="AS451" s="1071"/>
      <c r="AT451" s="964"/>
      <c r="AU451" s="964"/>
      <c r="AV451" s="964"/>
      <c r="AW451" s="534">
        <f>SUM(AW448:AW450)</f>
        <v>0</v>
      </c>
      <c r="AX451" s="1071"/>
      <c r="AY451" s="964"/>
      <c r="AZ451" s="964"/>
      <c r="BA451" s="964"/>
      <c r="BB451" s="534">
        <f>SUM(BB448:BB450)</f>
        <v>0</v>
      </c>
      <c r="BC451" s="1071"/>
      <c r="BD451" s="964"/>
      <c r="BE451" s="964"/>
      <c r="BF451" s="61"/>
      <c r="BG451" s="61"/>
      <c r="BH451" s="61"/>
      <c r="BI451" s="506"/>
      <c r="BJ451" s="506"/>
      <c r="BK451" s="506"/>
      <c r="BL451" s="506"/>
      <c r="BM451" s="506"/>
      <c r="BN451" s="506"/>
      <c r="BO451" s="506"/>
      <c r="BP451" s="506"/>
    </row>
    <row r="452" spans="4:68">
      <c r="E452" s="186"/>
      <c r="G452" s="62"/>
      <c r="H452" s="62"/>
      <c r="I452" s="62"/>
      <c r="J452" s="62"/>
      <c r="K452" s="62"/>
      <c r="L452" s="62"/>
      <c r="M452" s="533"/>
      <c r="N452" s="62"/>
      <c r="O452" s="533"/>
      <c r="P452" s="62"/>
      <c r="Q452" s="533"/>
      <c r="R452" s="62"/>
      <c r="S452" s="936"/>
      <c r="T452" s="533"/>
      <c r="U452" s="1071"/>
      <c r="V452" s="968"/>
      <c r="W452" s="968"/>
      <c r="X452" s="186"/>
      <c r="Y452" s="533"/>
      <c r="Z452" s="61"/>
      <c r="AA452" s="61"/>
      <c r="AB452" s="964"/>
      <c r="AC452" s="533"/>
      <c r="AD452" s="1071"/>
      <c r="AE452" s="964"/>
      <c r="AF452" s="964"/>
      <c r="AG452" s="964"/>
      <c r="AH452" s="533"/>
      <c r="AI452" s="1071"/>
      <c r="AJ452" s="964"/>
      <c r="AK452" s="964"/>
      <c r="AL452" s="964"/>
      <c r="AM452" s="533"/>
      <c r="AN452" s="1071"/>
      <c r="AO452" s="964"/>
      <c r="AP452" s="964"/>
      <c r="AQ452" s="964"/>
      <c r="AR452" s="533"/>
      <c r="AS452" s="1071"/>
      <c r="AT452" s="964"/>
      <c r="AU452" s="964"/>
      <c r="AV452" s="964"/>
      <c r="AW452" s="533"/>
      <c r="AX452" s="1071"/>
      <c r="AY452" s="964"/>
      <c r="AZ452" s="964"/>
      <c r="BA452" s="964"/>
      <c r="BB452" s="533"/>
      <c r="BC452" s="1071"/>
      <c r="BD452" s="964"/>
      <c r="BE452" s="964"/>
      <c r="BF452" s="61"/>
      <c r="BG452" s="61"/>
      <c r="BH452" s="61"/>
      <c r="BI452" s="506"/>
      <c r="BJ452" s="506"/>
      <c r="BK452" s="506"/>
      <c r="BL452" s="506"/>
      <c r="BM452" s="506"/>
      <c r="BN452" s="506"/>
      <c r="BO452" s="506"/>
      <c r="BP452" s="506"/>
    </row>
    <row r="453" spans="4:68" hidden="1">
      <c r="E453" s="808" t="s">
        <v>861</v>
      </c>
      <c r="M453" s="61"/>
      <c r="O453" s="61"/>
      <c r="Q453" s="61"/>
      <c r="T453" s="61"/>
      <c r="Y453" s="61"/>
      <c r="Z453" s="61"/>
      <c r="AA453" s="61"/>
      <c r="AB453" s="964"/>
      <c r="AC453" s="61"/>
      <c r="AE453" s="964"/>
      <c r="AF453" s="964"/>
      <c r="AG453" s="964"/>
      <c r="AH453" s="61"/>
      <c r="AJ453" s="964"/>
      <c r="AK453" s="964"/>
      <c r="AL453" s="964"/>
      <c r="AM453" s="61"/>
      <c r="AO453" s="964"/>
      <c r="AP453" s="964"/>
      <c r="AQ453" s="964"/>
      <c r="AR453" s="61"/>
      <c r="AT453" s="964"/>
      <c r="AU453" s="964"/>
      <c r="AV453" s="964"/>
      <c r="AW453" s="61"/>
      <c r="AY453" s="964"/>
      <c r="AZ453" s="964"/>
      <c r="BA453" s="964"/>
      <c r="BB453" s="61"/>
      <c r="BD453" s="964"/>
      <c r="BE453" s="964"/>
      <c r="BF453" s="61"/>
      <c r="BG453" s="61"/>
      <c r="BH453" s="61"/>
      <c r="BI453" s="506"/>
      <c r="BJ453" s="506"/>
      <c r="BK453" s="506"/>
      <c r="BL453" s="506"/>
      <c r="BM453" s="506"/>
      <c r="BN453" s="506"/>
      <c r="BO453" s="506"/>
      <c r="BP453" s="506"/>
    </row>
    <row r="454" spans="4:68" hidden="1">
      <c r="D454" t="s">
        <v>1095</v>
      </c>
      <c r="E454" t="s">
        <v>1096</v>
      </c>
      <c r="M454" s="61"/>
      <c r="O454" s="61"/>
      <c r="Q454" s="61"/>
      <c r="T454" s="61"/>
      <c r="Y454" s="61"/>
      <c r="Z454" s="61"/>
      <c r="AA454" s="61"/>
      <c r="AB454" s="964"/>
      <c r="AC454" s="61"/>
      <c r="AE454" s="964"/>
      <c r="AF454" s="964"/>
      <c r="AG454" s="964"/>
      <c r="AH454" s="61"/>
      <c r="AJ454" s="964"/>
      <c r="AK454" s="964"/>
      <c r="AL454" s="964"/>
      <c r="AM454" s="61"/>
      <c r="AO454" s="964"/>
      <c r="AP454" s="964"/>
      <c r="AQ454" s="964"/>
      <c r="AR454" s="61"/>
      <c r="AT454" s="964"/>
      <c r="AU454" s="964"/>
      <c r="AV454" s="964"/>
      <c r="AW454" s="61"/>
      <c r="AY454" s="964"/>
      <c r="AZ454" s="964"/>
      <c r="BA454" s="964"/>
      <c r="BB454" s="61"/>
      <c r="BD454" s="964"/>
      <c r="BE454" s="964"/>
      <c r="BF454" s="61"/>
      <c r="BG454" s="61"/>
      <c r="BH454" s="61"/>
      <c r="BI454" s="506"/>
      <c r="BJ454" s="506"/>
      <c r="BK454" s="506"/>
      <c r="BL454" s="506"/>
      <c r="BM454" s="506"/>
      <c r="BN454" s="506"/>
      <c r="BO454" s="506"/>
      <c r="BP454" s="506"/>
    </row>
    <row r="455" spans="4:68" hidden="1">
      <c r="D455" t="s">
        <v>1104</v>
      </c>
      <c r="E455" t="s">
        <v>1106</v>
      </c>
      <c r="M455" s="61"/>
      <c r="O455" s="61"/>
      <c r="Q455" s="61"/>
      <c r="T455" s="61"/>
      <c r="Y455" s="61"/>
      <c r="Z455" s="61"/>
      <c r="AA455" s="61"/>
      <c r="AB455" s="964"/>
      <c r="AC455" s="61"/>
      <c r="AE455" s="964"/>
      <c r="AF455" s="964"/>
      <c r="AG455" s="964"/>
      <c r="AH455" s="61"/>
      <c r="AJ455" s="964"/>
      <c r="AK455" s="964"/>
      <c r="AL455" s="964"/>
      <c r="AM455" s="61"/>
      <c r="AO455" s="964"/>
      <c r="AP455" s="964"/>
      <c r="AQ455" s="964"/>
      <c r="AR455" s="61"/>
      <c r="AT455" s="964"/>
      <c r="AU455" s="964"/>
      <c r="AV455" s="964"/>
      <c r="AW455" s="61"/>
      <c r="AY455" s="964"/>
      <c r="AZ455" s="964"/>
      <c r="BA455" s="964"/>
      <c r="BB455" s="61"/>
      <c r="BD455" s="964"/>
      <c r="BE455" s="964"/>
      <c r="BF455" s="61"/>
      <c r="BG455" s="61"/>
      <c r="BH455" s="61"/>
      <c r="BI455" s="506"/>
      <c r="BJ455" s="506"/>
      <c r="BK455" s="506"/>
      <c r="BL455" s="506"/>
      <c r="BM455" s="506"/>
      <c r="BN455" s="506"/>
      <c r="BO455" s="506"/>
      <c r="BP455" s="506"/>
    </row>
    <row r="456" spans="4:68" hidden="1">
      <c r="D456" s="822" t="s">
        <v>1109</v>
      </c>
      <c r="E456" t="s">
        <v>1107</v>
      </c>
      <c r="M456" s="61"/>
      <c r="O456" s="61"/>
      <c r="Q456" s="61"/>
      <c r="T456" s="61"/>
      <c r="Y456" s="61"/>
      <c r="Z456" s="61"/>
      <c r="AA456" s="61"/>
      <c r="AB456" s="964"/>
      <c r="AC456" s="61"/>
      <c r="AE456" s="964"/>
      <c r="AF456" s="964"/>
      <c r="AG456" s="964"/>
      <c r="AH456" s="61"/>
      <c r="AJ456" s="964"/>
      <c r="AK456" s="964"/>
      <c r="AL456" s="964"/>
      <c r="AM456" s="61"/>
      <c r="AO456" s="964"/>
      <c r="AP456" s="964"/>
      <c r="AQ456" s="964"/>
      <c r="AR456" s="61"/>
      <c r="AT456" s="964"/>
      <c r="AU456" s="964"/>
      <c r="AV456" s="964"/>
      <c r="AW456" s="61"/>
      <c r="AY456" s="964"/>
      <c r="AZ456" s="964"/>
      <c r="BA456" s="964"/>
      <c r="BB456" s="61"/>
      <c r="BD456" s="964"/>
      <c r="BE456" s="964"/>
      <c r="BF456" s="61"/>
      <c r="BG456" s="61"/>
      <c r="BH456" s="61"/>
      <c r="BI456" s="506"/>
      <c r="BJ456" s="506"/>
      <c r="BK456" s="506"/>
      <c r="BL456" s="506"/>
      <c r="BM456" s="506"/>
      <c r="BN456" s="506"/>
      <c r="BO456" s="506"/>
      <c r="BP456" s="506"/>
    </row>
    <row r="457" spans="4:68" hidden="1">
      <c r="D457" t="s">
        <v>1105</v>
      </c>
      <c r="E457" t="s">
        <v>1108</v>
      </c>
      <c r="M457" s="61"/>
      <c r="O457" s="61"/>
      <c r="Q457" s="61"/>
      <c r="T457" s="61"/>
      <c r="Y457" s="61"/>
      <c r="Z457" s="61"/>
      <c r="AA457" s="61"/>
      <c r="AB457" s="964"/>
      <c r="AC457" s="61"/>
      <c r="AE457" s="964"/>
      <c r="AF457" s="964"/>
      <c r="AG457" s="964"/>
      <c r="AH457" s="61"/>
      <c r="AJ457" s="964"/>
      <c r="AK457" s="964"/>
      <c r="AL457" s="964"/>
      <c r="AM457" s="61"/>
      <c r="AO457" s="964"/>
      <c r="AP457" s="964"/>
      <c r="AQ457" s="964"/>
      <c r="AR457" s="61"/>
      <c r="AT457" s="964"/>
      <c r="AU457" s="964"/>
      <c r="AV457" s="964"/>
      <c r="AW457" s="61"/>
      <c r="AY457" s="964"/>
      <c r="AZ457" s="964"/>
      <c r="BA457" s="964"/>
      <c r="BB457" s="61"/>
      <c r="BD457" s="964"/>
      <c r="BE457" s="964"/>
      <c r="BF457" s="61"/>
      <c r="BG457" s="61"/>
      <c r="BH457" s="61"/>
      <c r="BI457" s="506"/>
      <c r="BJ457" s="506"/>
      <c r="BK457" s="506"/>
      <c r="BL457" s="506"/>
      <c r="BM457" s="506"/>
      <c r="BN457" s="506"/>
      <c r="BO457" s="506"/>
      <c r="BP457" s="506"/>
    </row>
    <row r="458" spans="4:68" hidden="1">
      <c r="D458" t="s">
        <v>1097</v>
      </c>
      <c r="E458" t="s">
        <v>608</v>
      </c>
      <c r="M458" s="61"/>
      <c r="O458" s="61"/>
      <c r="Q458" s="61"/>
      <c r="T458" s="61"/>
      <c r="Y458" s="61"/>
      <c r="Z458" s="61"/>
      <c r="AA458" s="61"/>
      <c r="AB458" s="964"/>
      <c r="AC458" s="61"/>
      <c r="AE458" s="964"/>
      <c r="AF458" s="964"/>
      <c r="AG458" s="964"/>
      <c r="AH458" s="61"/>
      <c r="AJ458" s="964"/>
      <c r="AK458" s="964"/>
      <c r="AL458" s="964"/>
      <c r="AM458" s="61"/>
      <c r="AO458" s="964"/>
      <c r="AP458" s="964"/>
      <c r="AQ458" s="964"/>
      <c r="AR458" s="61"/>
      <c r="AT458" s="964"/>
      <c r="AU458" s="964"/>
      <c r="AV458" s="964"/>
      <c r="AW458" s="61"/>
      <c r="AY458" s="964"/>
      <c r="AZ458" s="964"/>
      <c r="BA458" s="964"/>
      <c r="BB458" s="61"/>
      <c r="BD458" s="964"/>
      <c r="BE458" s="964"/>
      <c r="BF458" s="61"/>
      <c r="BG458" s="61"/>
      <c r="BH458" s="61"/>
      <c r="BI458" s="506"/>
      <c r="BJ458" s="506"/>
      <c r="BK458" s="506"/>
      <c r="BL458" s="506"/>
      <c r="BM458" s="506"/>
      <c r="BN458" s="506"/>
      <c r="BO458" s="506"/>
      <c r="BP458" s="506"/>
    </row>
    <row r="459" spans="4:68" hidden="1">
      <c r="D459" t="s">
        <v>862</v>
      </c>
      <c r="E459" t="s">
        <v>863</v>
      </c>
      <c r="M459" s="61"/>
      <c r="O459" s="61"/>
      <c r="Q459" s="61"/>
      <c r="T459" s="61"/>
      <c r="Y459" s="61"/>
      <c r="Z459" s="61"/>
      <c r="AA459" s="61"/>
      <c r="AB459" s="964"/>
      <c r="AC459" s="61"/>
      <c r="AE459" s="964"/>
      <c r="AF459" s="964"/>
      <c r="AG459" s="964"/>
      <c r="AH459" s="61"/>
      <c r="AJ459" s="964"/>
      <c r="AK459" s="964"/>
      <c r="AL459" s="964"/>
      <c r="AM459" s="61"/>
      <c r="AO459" s="964"/>
      <c r="AP459" s="964"/>
      <c r="AQ459" s="964"/>
      <c r="AR459" s="61"/>
      <c r="AT459" s="964"/>
      <c r="AU459" s="964"/>
      <c r="AV459" s="964"/>
      <c r="AW459" s="61"/>
      <c r="AY459" s="964"/>
      <c r="AZ459" s="964"/>
      <c r="BA459" s="964"/>
      <c r="BB459" s="61"/>
      <c r="BD459" s="964"/>
      <c r="BE459" s="964"/>
      <c r="BF459" s="61"/>
      <c r="BG459" s="61"/>
      <c r="BH459" s="61"/>
      <c r="BI459" s="506"/>
      <c r="BJ459" s="506"/>
      <c r="BK459" s="506"/>
      <c r="BL459" s="506"/>
      <c r="BM459" s="506"/>
      <c r="BN459" s="506"/>
      <c r="BO459" s="506"/>
      <c r="BP459" s="506"/>
    </row>
    <row r="460" spans="4:68" hidden="1">
      <c r="D460" t="s">
        <v>1098</v>
      </c>
      <c r="E460" t="s">
        <v>1099</v>
      </c>
      <c r="M460" s="61"/>
      <c r="O460" s="61"/>
      <c r="Q460" s="61"/>
      <c r="T460" s="61"/>
      <c r="Y460" s="61"/>
      <c r="Z460" s="61"/>
      <c r="AA460" s="61"/>
      <c r="AB460" s="964"/>
      <c r="AC460" s="61"/>
      <c r="AE460" s="964"/>
      <c r="AF460" s="964"/>
      <c r="AG460" s="964"/>
      <c r="AH460" s="61"/>
      <c r="AJ460" s="964"/>
      <c r="AK460" s="964"/>
      <c r="AL460" s="964"/>
      <c r="AM460" s="61"/>
      <c r="AO460" s="964"/>
      <c r="AP460" s="964"/>
      <c r="AQ460" s="964"/>
      <c r="AR460" s="61"/>
      <c r="AT460" s="964"/>
      <c r="AU460" s="964"/>
      <c r="AV460" s="964"/>
      <c r="AW460" s="61"/>
      <c r="AY460" s="964"/>
      <c r="AZ460" s="964"/>
      <c r="BA460" s="964"/>
      <c r="BB460" s="61"/>
      <c r="BD460" s="964"/>
      <c r="BE460" s="964"/>
      <c r="BF460" s="61"/>
      <c r="BG460" s="61"/>
      <c r="BH460" s="61"/>
      <c r="BI460" s="506"/>
      <c r="BJ460" s="506"/>
      <c r="BK460" s="506"/>
      <c r="BL460" s="506"/>
      <c r="BM460" s="506"/>
      <c r="BN460" s="506"/>
      <c r="BO460" s="506"/>
      <c r="BP460" s="506"/>
    </row>
    <row r="461" spans="4:68" hidden="1">
      <c r="D461" t="s">
        <v>1100</v>
      </c>
      <c r="E461" t="s">
        <v>1101</v>
      </c>
      <c r="M461" s="61"/>
      <c r="O461" s="61"/>
      <c r="Q461" s="61"/>
      <c r="T461" s="61"/>
      <c r="Y461" s="61"/>
      <c r="Z461" s="61"/>
      <c r="AA461" s="61"/>
      <c r="AB461" s="964"/>
      <c r="AC461" s="61"/>
      <c r="AE461" s="964"/>
      <c r="AF461" s="964"/>
      <c r="AG461" s="964"/>
      <c r="AH461" s="61"/>
      <c r="AJ461" s="964"/>
      <c r="AK461" s="964"/>
      <c r="AL461" s="964"/>
      <c r="AM461" s="61"/>
      <c r="AO461" s="964"/>
      <c r="AP461" s="964"/>
      <c r="AQ461" s="964"/>
      <c r="AR461" s="61"/>
      <c r="AT461" s="964"/>
      <c r="AU461" s="964"/>
      <c r="AV461" s="964"/>
      <c r="AW461" s="61"/>
      <c r="AY461" s="964"/>
      <c r="AZ461" s="964"/>
      <c r="BA461" s="964"/>
      <c r="BB461" s="61"/>
      <c r="BD461" s="964"/>
      <c r="BE461" s="964"/>
      <c r="BF461" s="61"/>
      <c r="BG461" s="61"/>
      <c r="BH461" s="61"/>
      <c r="BI461" s="506"/>
      <c r="BJ461" s="506"/>
      <c r="BK461" s="506"/>
      <c r="BL461" s="506"/>
      <c r="BM461" s="506"/>
      <c r="BN461" s="506"/>
      <c r="BO461" s="506"/>
      <c r="BP461" s="506"/>
    </row>
    <row r="462" spans="4:68" hidden="1">
      <c r="D462" t="s">
        <v>1102</v>
      </c>
      <c r="E462" t="s">
        <v>1103</v>
      </c>
      <c r="M462" s="61"/>
      <c r="O462" s="61"/>
      <c r="Q462" s="61"/>
      <c r="T462" s="61"/>
      <c r="Y462" s="61"/>
      <c r="Z462" s="61"/>
      <c r="AA462" s="61"/>
      <c r="AB462" s="964"/>
      <c r="AC462" s="61"/>
      <c r="AE462" s="964"/>
      <c r="AF462" s="964"/>
      <c r="AG462" s="964"/>
      <c r="AH462" s="61"/>
      <c r="AJ462" s="964"/>
      <c r="AK462" s="964"/>
      <c r="AL462" s="964"/>
      <c r="AM462" s="61"/>
      <c r="AO462" s="964"/>
      <c r="AP462" s="964"/>
      <c r="AQ462" s="964"/>
      <c r="AR462" s="61"/>
      <c r="AT462" s="964"/>
      <c r="AU462" s="964"/>
      <c r="AV462" s="964"/>
      <c r="AW462" s="61"/>
      <c r="AY462" s="964"/>
      <c r="AZ462" s="964"/>
      <c r="BA462" s="964"/>
      <c r="BB462" s="61"/>
      <c r="BD462" s="964"/>
      <c r="BE462" s="964"/>
      <c r="BF462" s="61"/>
      <c r="BG462" s="61"/>
      <c r="BH462" s="61"/>
      <c r="BI462" s="506"/>
      <c r="BJ462" s="506"/>
      <c r="BK462" s="506"/>
      <c r="BL462" s="506"/>
      <c r="BM462" s="506"/>
      <c r="BN462" s="506"/>
      <c r="BO462" s="506"/>
      <c r="BP462" s="506"/>
    </row>
    <row r="463" spans="4:68" hidden="1">
      <c r="E463" t="s">
        <v>634</v>
      </c>
      <c r="M463" s="534">
        <f>SUM(M454:M462)</f>
        <v>0</v>
      </c>
      <c r="O463" s="534">
        <f>SUM(O454:O462)</f>
        <v>0</v>
      </c>
      <c r="Q463" s="534">
        <f>SUM(Q454:Q462)</f>
        <v>0</v>
      </c>
      <c r="T463" s="534">
        <f>SUM(T454:T462)</f>
        <v>0</v>
      </c>
      <c r="U463" s="1071"/>
      <c r="Y463" s="534">
        <f>SUM(Y454:Y462)</f>
        <v>0</v>
      </c>
      <c r="Z463" s="61"/>
      <c r="AA463" s="61"/>
      <c r="AB463" s="964"/>
      <c r="AC463" s="534">
        <f>SUM(AC454:AC462)</f>
        <v>0</v>
      </c>
      <c r="AD463" s="1071"/>
      <c r="AE463" s="964"/>
      <c r="AF463" s="964"/>
      <c r="AG463" s="964"/>
      <c r="AH463" s="534">
        <f>SUM(AH454:AH462)</f>
        <v>0</v>
      </c>
      <c r="AI463" s="1071"/>
      <c r="AJ463" s="964"/>
      <c r="AK463" s="964"/>
      <c r="AL463" s="964"/>
      <c r="AM463" s="534">
        <f>SUM(AM454:AM462)</f>
        <v>0</v>
      </c>
      <c r="AN463" s="1071"/>
      <c r="AO463" s="964"/>
      <c r="AP463" s="964"/>
      <c r="AQ463" s="964"/>
      <c r="AR463" s="534">
        <f>SUM(AR454:AR462)</f>
        <v>0</v>
      </c>
      <c r="AS463" s="1071"/>
      <c r="AT463" s="964"/>
      <c r="AU463" s="964"/>
      <c r="AV463" s="964"/>
      <c r="AW463" s="534">
        <f>SUM(AW454:AW462)</f>
        <v>0</v>
      </c>
      <c r="AX463" s="1071"/>
      <c r="AY463" s="964"/>
      <c r="AZ463" s="964"/>
      <c r="BA463" s="964"/>
      <c r="BB463" s="534">
        <f>SUM(BB454:BB462)</f>
        <v>0</v>
      </c>
      <c r="BC463" s="1071"/>
      <c r="BD463" s="964"/>
      <c r="BE463" s="964"/>
      <c r="BF463" s="61"/>
      <c r="BG463" s="61"/>
      <c r="BH463" s="61"/>
      <c r="BI463" s="506"/>
      <c r="BJ463" s="506"/>
      <c r="BK463" s="506"/>
      <c r="BL463" s="506"/>
      <c r="BM463" s="506"/>
      <c r="BN463" s="506"/>
      <c r="BO463" s="506"/>
      <c r="BP463" s="506"/>
    </row>
    <row r="464" spans="4:68" hidden="1">
      <c r="E464" s="186"/>
      <c r="G464" s="62"/>
      <c r="H464" s="62"/>
      <c r="I464" s="62"/>
      <c r="J464" s="62"/>
      <c r="K464" s="62"/>
      <c r="L464" s="62"/>
      <c r="M464" s="533"/>
      <c r="N464" s="62"/>
      <c r="O464" s="533"/>
      <c r="P464" s="62"/>
      <c r="Q464" s="533"/>
      <c r="R464" s="62"/>
      <c r="S464" s="936"/>
      <c r="T464" s="533"/>
      <c r="U464" s="1071"/>
      <c r="V464" s="968"/>
      <c r="W464" s="968"/>
      <c r="X464" s="186"/>
      <c r="Y464" s="533"/>
      <c r="Z464" s="61"/>
      <c r="AA464" s="61"/>
      <c r="AB464" s="964"/>
      <c r="AC464" s="533"/>
      <c r="AD464" s="1071"/>
      <c r="AE464" s="964"/>
      <c r="AF464" s="964"/>
      <c r="AG464" s="964"/>
      <c r="AH464" s="533"/>
      <c r="AI464" s="1071"/>
      <c r="AJ464" s="964"/>
      <c r="AK464" s="964"/>
      <c r="AL464" s="964"/>
      <c r="AM464" s="533"/>
      <c r="AN464" s="1071"/>
      <c r="AO464" s="964"/>
      <c r="AP464" s="964"/>
      <c r="AQ464" s="964"/>
      <c r="AR464" s="533"/>
      <c r="AS464" s="1071"/>
      <c r="AT464" s="964"/>
      <c r="AU464" s="964"/>
      <c r="AV464" s="964"/>
      <c r="AW464" s="533"/>
      <c r="AX464" s="1071"/>
      <c r="AY464" s="964"/>
      <c r="AZ464" s="964"/>
      <c r="BA464" s="964"/>
      <c r="BB464" s="533"/>
      <c r="BC464" s="1071"/>
      <c r="BD464" s="964"/>
      <c r="BE464" s="964"/>
      <c r="BF464" s="61"/>
      <c r="BG464" s="61"/>
      <c r="BH464" s="61"/>
      <c r="BI464" s="506"/>
      <c r="BJ464" s="506"/>
      <c r="BK464" s="506"/>
      <c r="BL464" s="506"/>
      <c r="BM464" s="506"/>
      <c r="BN464" s="506"/>
      <c r="BO464" s="506"/>
      <c r="BP464" s="506"/>
    </row>
    <row r="465" spans="4:68" hidden="1">
      <c r="D465" s="495"/>
      <c r="E465" s="820" t="s">
        <v>1093</v>
      </c>
      <c r="F465" s="495"/>
      <c r="G465" s="821"/>
      <c r="H465" s="821"/>
      <c r="I465" s="821"/>
      <c r="J465" s="821"/>
      <c r="K465" s="821"/>
      <c r="L465" s="821"/>
      <c r="M465" s="823"/>
      <c r="N465" s="821"/>
      <c r="O465" s="823"/>
      <c r="P465" s="821"/>
      <c r="Q465" s="823"/>
      <c r="R465" s="821"/>
      <c r="S465" s="948"/>
      <c r="T465" s="823"/>
      <c r="U465" s="821"/>
      <c r="V465" s="980"/>
      <c r="W465" s="980"/>
      <c r="X465" s="819"/>
      <c r="Y465" s="823"/>
      <c r="Z465" s="823"/>
      <c r="AA465" s="823"/>
      <c r="AB465" s="985"/>
      <c r="AC465" s="823"/>
      <c r="AD465" s="821"/>
      <c r="AE465" s="985"/>
      <c r="AF465" s="985"/>
      <c r="AG465" s="985"/>
      <c r="AH465" s="823"/>
      <c r="AI465" s="821"/>
      <c r="AJ465" s="985"/>
      <c r="AK465" s="985"/>
      <c r="AL465" s="985"/>
      <c r="AM465" s="823"/>
      <c r="AN465" s="821"/>
      <c r="AO465" s="985"/>
      <c r="AP465" s="985"/>
      <c r="AQ465" s="985"/>
      <c r="AR465" s="823"/>
      <c r="AS465" s="821"/>
      <c r="AT465" s="985"/>
      <c r="AU465" s="985"/>
      <c r="AV465" s="985"/>
      <c r="AW465" s="823"/>
      <c r="AX465" s="821"/>
      <c r="AY465" s="985"/>
      <c r="AZ465" s="985"/>
      <c r="BA465" s="985"/>
      <c r="BB465" s="823"/>
      <c r="BC465" s="821"/>
      <c r="BD465" s="985"/>
      <c r="BE465" s="985"/>
      <c r="BF465" s="61"/>
      <c r="BG465" s="61"/>
      <c r="BH465" s="61"/>
      <c r="BI465" s="506"/>
      <c r="BJ465" s="506"/>
      <c r="BK465" s="506"/>
      <c r="BL465" s="506"/>
      <c r="BM465" s="506"/>
      <c r="BN465" s="506"/>
      <c r="BO465" s="506"/>
      <c r="BP465" s="506"/>
    </row>
    <row r="466" spans="4:68" hidden="1">
      <c r="E466" s="186"/>
      <c r="G466" s="62"/>
      <c r="H466" s="62"/>
      <c r="I466" s="62"/>
      <c r="J466" s="62"/>
      <c r="K466" s="62"/>
      <c r="L466" s="62"/>
      <c r="M466" s="61"/>
      <c r="N466" s="62"/>
      <c r="O466" s="61"/>
      <c r="P466" s="62"/>
      <c r="Q466" s="61"/>
      <c r="R466" s="62"/>
      <c r="S466" s="936"/>
      <c r="T466" s="61"/>
      <c r="V466" s="968"/>
      <c r="W466" s="968"/>
      <c r="X466" s="186"/>
      <c r="Y466" s="61"/>
      <c r="Z466" s="61"/>
      <c r="AA466" s="61"/>
      <c r="AB466" s="964"/>
      <c r="AC466" s="61"/>
      <c r="AE466" s="964"/>
      <c r="AF466" s="964"/>
      <c r="AG466" s="964"/>
      <c r="AH466" s="61"/>
      <c r="AJ466" s="964"/>
      <c r="AK466" s="964"/>
      <c r="AL466" s="964"/>
      <c r="AM466" s="61"/>
      <c r="AO466" s="964"/>
      <c r="AP466" s="964"/>
      <c r="AQ466" s="964"/>
      <c r="AR466" s="61"/>
      <c r="AT466" s="964"/>
      <c r="AU466" s="964"/>
      <c r="AV466" s="964"/>
      <c r="AW466" s="61"/>
      <c r="AY466" s="964"/>
      <c r="AZ466" s="964"/>
      <c r="BA466" s="964"/>
      <c r="BB466" s="61"/>
      <c r="BD466" s="964"/>
      <c r="BE466" s="964"/>
      <c r="BF466" s="61"/>
      <c r="BG466" s="61"/>
      <c r="BH466" s="61"/>
      <c r="BI466" s="506"/>
      <c r="BJ466" s="506"/>
      <c r="BK466" s="506"/>
      <c r="BL466" s="506"/>
      <c r="BM466" s="506"/>
      <c r="BN466" s="506"/>
      <c r="BO466" s="506"/>
      <c r="BP466" s="506"/>
    </row>
    <row r="467" spans="4:68" hidden="1">
      <c r="E467" s="254" t="s">
        <v>653</v>
      </c>
      <c r="G467" s="62"/>
      <c r="H467" s="62"/>
      <c r="I467" s="62"/>
      <c r="J467" s="62"/>
      <c r="K467" s="62"/>
      <c r="L467" s="62"/>
      <c r="M467" s="61"/>
      <c r="N467" s="62"/>
      <c r="O467" s="61"/>
      <c r="P467" s="62"/>
      <c r="Q467" s="61"/>
      <c r="R467" s="62"/>
      <c r="S467" s="936"/>
      <c r="T467" s="61"/>
      <c r="V467" s="968"/>
      <c r="W467" s="968"/>
      <c r="X467" s="186"/>
      <c r="Y467" s="61"/>
      <c r="Z467" s="61"/>
      <c r="AA467" s="61"/>
      <c r="AB467" s="964"/>
      <c r="AC467" s="61"/>
      <c r="AE467" s="964"/>
      <c r="AF467" s="964"/>
      <c r="AG467" s="964"/>
      <c r="AH467" s="61"/>
      <c r="AJ467" s="964"/>
      <c r="AK467" s="964"/>
      <c r="AL467" s="964"/>
      <c r="AM467" s="61"/>
      <c r="AO467" s="964"/>
      <c r="AP467" s="964"/>
      <c r="AQ467" s="964"/>
      <c r="AR467" s="61"/>
      <c r="AT467" s="964"/>
      <c r="AU467" s="964"/>
      <c r="AV467" s="964"/>
      <c r="AW467" s="61"/>
      <c r="AY467" s="964"/>
      <c r="AZ467" s="964"/>
      <c r="BA467" s="964"/>
      <c r="BB467" s="61"/>
      <c r="BD467" s="964"/>
      <c r="BE467" s="964"/>
      <c r="BF467" s="61"/>
      <c r="BG467" s="61"/>
      <c r="BH467" s="61"/>
      <c r="BI467" s="506"/>
      <c r="BJ467" s="506"/>
      <c r="BK467" s="506"/>
      <c r="BL467" s="506"/>
      <c r="BM467" s="506"/>
      <c r="BN467" s="506"/>
      <c r="BO467" s="506"/>
      <c r="BP467" s="506"/>
    </row>
    <row r="468" spans="4:68" hidden="1">
      <c r="D468" t="s">
        <v>654</v>
      </c>
      <c r="E468" s="186" t="s">
        <v>655</v>
      </c>
      <c r="G468" s="62"/>
      <c r="H468" s="62"/>
      <c r="I468" s="62"/>
      <c r="J468" s="62"/>
      <c r="K468" s="62"/>
      <c r="L468" s="62"/>
      <c r="M468" s="61"/>
      <c r="N468" s="62"/>
      <c r="O468" s="61"/>
      <c r="P468" s="62"/>
      <c r="Q468" s="61"/>
      <c r="R468" s="62"/>
      <c r="S468" s="936"/>
      <c r="T468" s="61"/>
      <c r="V468" s="968"/>
      <c r="W468" s="968"/>
      <c r="X468" s="186"/>
      <c r="Y468" s="61"/>
      <c r="Z468" s="61"/>
      <c r="AA468" s="61"/>
      <c r="AB468" s="964"/>
      <c r="AC468" s="61"/>
      <c r="AE468" s="964"/>
      <c r="AF468" s="964"/>
      <c r="AG468" s="964"/>
      <c r="AH468" s="61"/>
      <c r="AJ468" s="964"/>
      <c r="AK468" s="964"/>
      <c r="AL468" s="964"/>
      <c r="AM468" s="61"/>
      <c r="AO468" s="964"/>
      <c r="AP468" s="964"/>
      <c r="AQ468" s="964"/>
      <c r="AR468" s="61"/>
      <c r="AT468" s="964"/>
      <c r="AU468" s="964"/>
      <c r="AV468" s="964"/>
      <c r="AW468" s="61"/>
      <c r="AY468" s="964"/>
      <c r="AZ468" s="964"/>
      <c r="BA468" s="964"/>
      <c r="BB468" s="61"/>
      <c r="BD468" s="964"/>
      <c r="BE468" s="964"/>
      <c r="BF468" s="61"/>
      <c r="BG468" s="61"/>
      <c r="BH468" s="61"/>
      <c r="BI468" s="506"/>
      <c r="BJ468" s="506"/>
      <c r="BK468" s="506"/>
      <c r="BL468" s="506"/>
      <c r="BM468" s="506"/>
      <c r="BN468" s="506"/>
      <c r="BO468" s="506"/>
      <c r="BP468" s="506"/>
    </row>
    <row r="469" spans="4:68" hidden="1">
      <c r="D469" t="s">
        <v>656</v>
      </c>
      <c r="E469" s="186" t="s">
        <v>657</v>
      </c>
      <c r="G469" s="62"/>
      <c r="H469" s="62"/>
      <c r="I469" s="62"/>
      <c r="J469" s="62"/>
      <c r="K469" s="62"/>
      <c r="L469" s="62"/>
      <c r="M469" s="61"/>
      <c r="N469" s="62"/>
      <c r="O469" s="61"/>
      <c r="P469" s="62"/>
      <c r="Q469" s="61"/>
      <c r="R469" s="62"/>
      <c r="S469" s="936"/>
      <c r="T469" s="61"/>
      <c r="V469" s="968"/>
      <c r="W469" s="968"/>
      <c r="X469" s="186"/>
      <c r="Y469" s="61"/>
      <c r="Z469" s="61"/>
      <c r="AA469" s="61"/>
      <c r="AB469" s="964"/>
      <c r="AC469" s="61"/>
      <c r="AE469" s="964"/>
      <c r="AF469" s="964"/>
      <c r="AG469" s="964"/>
      <c r="AH469" s="61"/>
      <c r="AJ469" s="964"/>
      <c r="AK469" s="964"/>
      <c r="AL469" s="964"/>
      <c r="AM469" s="61"/>
      <c r="AO469" s="964"/>
      <c r="AP469" s="964"/>
      <c r="AQ469" s="964"/>
      <c r="AR469" s="61"/>
      <c r="AT469" s="964"/>
      <c r="AU469" s="964"/>
      <c r="AV469" s="964"/>
      <c r="AW469" s="61"/>
      <c r="AY469" s="964"/>
      <c r="AZ469" s="964"/>
      <c r="BA469" s="964"/>
      <c r="BB469" s="61"/>
      <c r="BD469" s="964"/>
      <c r="BE469" s="964"/>
      <c r="BF469" s="61"/>
      <c r="BG469" s="61"/>
      <c r="BH469" s="61"/>
      <c r="BI469" s="506"/>
      <c r="BJ469" s="506"/>
      <c r="BK469" s="506"/>
      <c r="BL469" s="506"/>
      <c r="BM469" s="506"/>
      <c r="BN469" s="506"/>
      <c r="BO469" s="506"/>
      <c r="BP469" s="506"/>
    </row>
    <row r="470" spans="4:68" hidden="1">
      <c r="D470" t="s">
        <v>658</v>
      </c>
      <c r="E470" s="186" t="s">
        <v>659</v>
      </c>
      <c r="G470" s="62"/>
      <c r="H470" s="62"/>
      <c r="I470" s="62"/>
      <c r="J470" s="62"/>
      <c r="K470" s="62"/>
      <c r="L470" s="62"/>
      <c r="M470" s="61"/>
      <c r="N470" s="62"/>
      <c r="O470" s="61"/>
      <c r="P470" s="62"/>
      <c r="Q470" s="61"/>
      <c r="R470" s="62"/>
      <c r="S470" s="936"/>
      <c r="T470" s="61"/>
      <c r="V470" s="968"/>
      <c r="W470" s="968"/>
      <c r="X470" s="186"/>
      <c r="Y470" s="61"/>
      <c r="Z470" s="61"/>
      <c r="AA470" s="61"/>
      <c r="AB470" s="964"/>
      <c r="AC470" s="61"/>
      <c r="AE470" s="964"/>
      <c r="AF470" s="964"/>
      <c r="AG470" s="964"/>
      <c r="AH470" s="61"/>
      <c r="AJ470" s="964"/>
      <c r="AK470" s="964"/>
      <c r="AL470" s="964"/>
      <c r="AM470" s="61"/>
      <c r="AO470" s="964"/>
      <c r="AP470" s="964"/>
      <c r="AQ470" s="964"/>
      <c r="AR470" s="61"/>
      <c r="AT470" s="964"/>
      <c r="AU470" s="964"/>
      <c r="AV470" s="964"/>
      <c r="AW470" s="61"/>
      <c r="AY470" s="964"/>
      <c r="AZ470" s="964"/>
      <c r="BA470" s="964"/>
      <c r="BB470" s="61"/>
      <c r="BD470" s="964"/>
      <c r="BE470" s="964"/>
      <c r="BF470" s="61"/>
      <c r="BG470" s="61"/>
      <c r="BH470" s="61"/>
      <c r="BI470" s="506"/>
      <c r="BJ470" s="506"/>
      <c r="BK470" s="506"/>
      <c r="BL470" s="506"/>
      <c r="BM470" s="506"/>
      <c r="BN470" s="506"/>
      <c r="BO470" s="506"/>
      <c r="BP470" s="506"/>
    </row>
    <row r="471" spans="4:68" hidden="1">
      <c r="D471" t="s">
        <v>660</v>
      </c>
      <c r="E471" s="186" t="s">
        <v>661</v>
      </c>
      <c r="G471" s="62"/>
      <c r="H471" s="62"/>
      <c r="I471" s="62"/>
      <c r="J471" s="62"/>
      <c r="K471" s="62"/>
      <c r="L471" s="62"/>
      <c r="M471" s="61"/>
      <c r="N471" s="62"/>
      <c r="O471" s="61"/>
      <c r="P471" s="62"/>
      <c r="Q471" s="61"/>
      <c r="R471" s="62"/>
      <c r="S471" s="936"/>
      <c r="T471" s="61"/>
      <c r="V471" s="968"/>
      <c r="W471" s="968"/>
      <c r="X471" s="186"/>
      <c r="Y471" s="61"/>
      <c r="Z471" s="61"/>
      <c r="AA471" s="61"/>
      <c r="AB471" s="964"/>
      <c r="AC471" s="61"/>
      <c r="AE471" s="964"/>
      <c r="AF471" s="964"/>
      <c r="AG471" s="964"/>
      <c r="AH471" s="61"/>
      <c r="AJ471" s="964"/>
      <c r="AK471" s="964"/>
      <c r="AL471" s="964"/>
      <c r="AM471" s="61"/>
      <c r="AO471" s="964"/>
      <c r="AP471" s="964"/>
      <c r="AQ471" s="964"/>
      <c r="AR471" s="61"/>
      <c r="AT471" s="964"/>
      <c r="AU471" s="964"/>
      <c r="AV471" s="964"/>
      <c r="AW471" s="61"/>
      <c r="AY471" s="964"/>
      <c r="AZ471" s="964"/>
      <c r="BA471" s="964"/>
      <c r="BB471" s="61"/>
      <c r="BD471" s="964"/>
      <c r="BE471" s="964"/>
      <c r="BF471" s="61"/>
      <c r="BG471" s="61"/>
      <c r="BH471" s="61"/>
      <c r="BI471" s="506"/>
      <c r="BJ471" s="506"/>
      <c r="BK471" s="506"/>
      <c r="BL471" s="506"/>
      <c r="BM471" s="506"/>
      <c r="BN471" s="506"/>
      <c r="BO471" s="506"/>
      <c r="BP471" s="506"/>
    </row>
    <row r="472" spans="4:68" hidden="1">
      <c r="D472" t="s">
        <v>662</v>
      </c>
      <c r="E472" s="186" t="s">
        <v>663</v>
      </c>
      <c r="G472" s="62"/>
      <c r="H472" s="62"/>
      <c r="I472" s="62"/>
      <c r="J472" s="62"/>
      <c r="K472" s="62"/>
      <c r="L472" s="62"/>
      <c r="M472" s="61"/>
      <c r="N472" s="62"/>
      <c r="O472" s="61"/>
      <c r="P472" s="62"/>
      <c r="Q472" s="61"/>
      <c r="R472" s="62"/>
      <c r="S472" s="936"/>
      <c r="T472" s="61"/>
      <c r="V472" s="968"/>
      <c r="W472" s="968"/>
      <c r="X472" s="186"/>
      <c r="Y472" s="61"/>
      <c r="Z472" s="61"/>
      <c r="AA472" s="61"/>
      <c r="AB472" s="964"/>
      <c r="AC472" s="61"/>
      <c r="AE472" s="964"/>
      <c r="AF472" s="964"/>
      <c r="AG472" s="964"/>
      <c r="AH472" s="61"/>
      <c r="AJ472" s="964"/>
      <c r="AK472" s="964"/>
      <c r="AL472" s="964"/>
      <c r="AM472" s="61"/>
      <c r="AO472" s="964"/>
      <c r="AP472" s="964"/>
      <c r="AQ472" s="964"/>
      <c r="AR472" s="61"/>
      <c r="AT472" s="964"/>
      <c r="AU472" s="964"/>
      <c r="AV472" s="964"/>
      <c r="AW472" s="61"/>
      <c r="AY472" s="964"/>
      <c r="AZ472" s="964"/>
      <c r="BA472" s="964"/>
      <c r="BB472" s="61"/>
      <c r="BD472" s="964"/>
      <c r="BE472" s="964"/>
      <c r="BF472" s="61"/>
      <c r="BG472" s="61"/>
      <c r="BH472" s="61"/>
      <c r="BI472" s="506"/>
      <c r="BJ472" s="506"/>
      <c r="BK472" s="506"/>
      <c r="BL472" s="506"/>
      <c r="BM472" s="506"/>
      <c r="BN472" s="506"/>
      <c r="BO472" s="506"/>
      <c r="BP472" s="506"/>
    </row>
    <row r="473" spans="4:68" hidden="1">
      <c r="D473" t="s">
        <v>664</v>
      </c>
      <c r="E473" s="186" t="s">
        <v>665</v>
      </c>
      <c r="G473" s="62"/>
      <c r="H473" s="62"/>
      <c r="I473" s="62"/>
      <c r="J473" s="62"/>
      <c r="K473" s="62"/>
      <c r="L473" s="62"/>
      <c r="M473" s="61"/>
      <c r="N473" s="62"/>
      <c r="O473" s="61"/>
      <c r="P473" s="62"/>
      <c r="Q473" s="61"/>
      <c r="R473" s="62"/>
      <c r="S473" s="936"/>
      <c r="T473" s="61"/>
      <c r="V473" s="968"/>
      <c r="W473" s="968"/>
      <c r="X473" s="186"/>
      <c r="Y473" s="61"/>
      <c r="Z473" s="61"/>
      <c r="AA473" s="61"/>
      <c r="AB473" s="964"/>
      <c r="AC473" s="61"/>
      <c r="AE473" s="964"/>
      <c r="AF473" s="964"/>
      <c r="AG473" s="964"/>
      <c r="AH473" s="61"/>
      <c r="AJ473" s="964"/>
      <c r="AK473" s="964"/>
      <c r="AL473" s="964"/>
      <c r="AM473" s="61"/>
      <c r="AO473" s="964"/>
      <c r="AP473" s="964"/>
      <c r="AQ473" s="964"/>
      <c r="AR473" s="61"/>
      <c r="AT473" s="964"/>
      <c r="AU473" s="964"/>
      <c r="AV473" s="964"/>
      <c r="AW473" s="61"/>
      <c r="AY473" s="964"/>
      <c r="AZ473" s="964"/>
      <c r="BA473" s="964"/>
      <c r="BB473" s="61"/>
      <c r="BD473" s="964"/>
      <c r="BE473" s="964"/>
      <c r="BF473" s="61"/>
      <c r="BG473" s="61"/>
      <c r="BH473" s="61"/>
      <c r="BI473" s="506"/>
      <c r="BJ473" s="506"/>
      <c r="BK473" s="506"/>
      <c r="BL473" s="506"/>
      <c r="BM473" s="506"/>
      <c r="BN473" s="506"/>
      <c r="BO473" s="506"/>
      <c r="BP473" s="506"/>
    </row>
    <row r="474" spans="4:68" hidden="1">
      <c r="D474" t="s">
        <v>666</v>
      </c>
      <c r="E474" s="186" t="s">
        <v>667</v>
      </c>
      <c r="G474" s="62"/>
      <c r="H474" s="62"/>
      <c r="I474" s="62"/>
      <c r="J474" s="62"/>
      <c r="K474" s="62"/>
      <c r="L474" s="62"/>
      <c r="M474" s="61"/>
      <c r="N474" s="62"/>
      <c r="O474" s="61"/>
      <c r="P474" s="62"/>
      <c r="Q474" s="61"/>
      <c r="R474" s="62"/>
      <c r="S474" s="936"/>
      <c r="T474" s="61"/>
      <c r="V474" s="968"/>
      <c r="W474" s="968"/>
      <c r="X474" s="186"/>
      <c r="Y474" s="61"/>
      <c r="Z474" s="61"/>
      <c r="AA474" s="61"/>
      <c r="AB474" s="964"/>
      <c r="AC474" s="61"/>
      <c r="AE474" s="964"/>
      <c r="AF474" s="964"/>
      <c r="AG474" s="964"/>
      <c r="AH474" s="61"/>
      <c r="AJ474" s="964"/>
      <c r="AK474" s="964"/>
      <c r="AL474" s="964"/>
      <c r="AM474" s="61"/>
      <c r="AO474" s="964"/>
      <c r="AP474" s="964"/>
      <c r="AQ474" s="964"/>
      <c r="AR474" s="61"/>
      <c r="AT474" s="964"/>
      <c r="AU474" s="964"/>
      <c r="AV474" s="964"/>
      <c r="AW474" s="61"/>
      <c r="AY474" s="964"/>
      <c r="AZ474" s="964"/>
      <c r="BA474" s="964"/>
      <c r="BB474" s="61"/>
      <c r="BD474" s="964"/>
      <c r="BE474" s="964"/>
      <c r="BF474" s="61"/>
      <c r="BG474" s="61"/>
      <c r="BH474" s="61"/>
      <c r="BI474" s="506"/>
      <c r="BJ474" s="506"/>
      <c r="BK474" s="506"/>
      <c r="BL474" s="506"/>
      <c r="BM474" s="506"/>
      <c r="BN474" s="506"/>
      <c r="BO474" s="506"/>
      <c r="BP474" s="506"/>
    </row>
    <row r="475" spans="4:68" hidden="1">
      <c r="D475" t="s">
        <v>668</v>
      </c>
      <c r="E475" s="186" t="s">
        <v>669</v>
      </c>
      <c r="G475" s="62"/>
      <c r="H475" s="62"/>
      <c r="I475" s="62"/>
      <c r="J475" s="62"/>
      <c r="K475" s="62"/>
      <c r="L475" s="62"/>
      <c r="M475" s="61"/>
      <c r="N475" s="62"/>
      <c r="O475" s="61"/>
      <c r="P475" s="62"/>
      <c r="Q475" s="61"/>
      <c r="R475" s="62"/>
      <c r="S475" s="936"/>
      <c r="T475" s="61"/>
      <c r="V475" s="968"/>
      <c r="W475" s="968"/>
      <c r="X475" s="186"/>
      <c r="Y475" s="61"/>
      <c r="Z475" s="61"/>
      <c r="AA475" s="61"/>
      <c r="AB475" s="964"/>
      <c r="AC475" s="61"/>
      <c r="AE475" s="964"/>
      <c r="AF475" s="964"/>
      <c r="AG475" s="964"/>
      <c r="AH475" s="61"/>
      <c r="AJ475" s="964"/>
      <c r="AK475" s="964"/>
      <c r="AL475" s="964"/>
      <c r="AM475" s="61"/>
      <c r="AO475" s="964"/>
      <c r="AP475" s="964"/>
      <c r="AQ475" s="964"/>
      <c r="AR475" s="61"/>
      <c r="AT475" s="964"/>
      <c r="AU475" s="964"/>
      <c r="AV475" s="964"/>
      <c r="AW475" s="61"/>
      <c r="AY475" s="964"/>
      <c r="AZ475" s="964"/>
      <c r="BA475" s="964"/>
      <c r="BB475" s="61"/>
      <c r="BD475" s="964"/>
      <c r="BE475" s="964"/>
      <c r="BF475" s="61"/>
      <c r="BG475" s="61"/>
      <c r="BH475" s="61"/>
      <c r="BI475" s="506"/>
      <c r="BJ475" s="506"/>
      <c r="BK475" s="506"/>
      <c r="BL475" s="506"/>
      <c r="BM475" s="506"/>
      <c r="BN475" s="506"/>
      <c r="BO475" s="506"/>
      <c r="BP475" s="506"/>
    </row>
    <row r="476" spans="4:68" hidden="1">
      <c r="D476" t="s">
        <v>670</v>
      </c>
      <c r="E476" s="186" t="s">
        <v>671</v>
      </c>
      <c r="G476" s="62"/>
      <c r="H476" s="62"/>
      <c r="I476" s="62"/>
      <c r="J476" s="62"/>
      <c r="K476" s="62"/>
      <c r="L476" s="62"/>
      <c r="M476" s="61"/>
      <c r="N476" s="62"/>
      <c r="O476" s="61"/>
      <c r="P476" s="62"/>
      <c r="Q476" s="61"/>
      <c r="R476" s="62"/>
      <c r="S476" s="936"/>
      <c r="T476" s="61"/>
      <c r="V476" s="968"/>
      <c r="W476" s="968"/>
      <c r="X476" s="186"/>
      <c r="Y476" s="61"/>
      <c r="Z476" s="61"/>
      <c r="AA476" s="61"/>
      <c r="AB476" s="964"/>
      <c r="AC476" s="61"/>
      <c r="AE476" s="964"/>
      <c r="AF476" s="964"/>
      <c r="AG476" s="964"/>
      <c r="AH476" s="61"/>
      <c r="AJ476" s="964"/>
      <c r="AK476" s="964"/>
      <c r="AL476" s="964"/>
      <c r="AM476" s="61"/>
      <c r="AO476" s="964"/>
      <c r="AP476" s="964"/>
      <c r="AQ476" s="964"/>
      <c r="AR476" s="61"/>
      <c r="AT476" s="964"/>
      <c r="AU476" s="964"/>
      <c r="AV476" s="964"/>
      <c r="AW476" s="61"/>
      <c r="AY476" s="964"/>
      <c r="AZ476" s="964"/>
      <c r="BA476" s="964"/>
      <c r="BB476" s="61"/>
      <c r="BD476" s="964"/>
      <c r="BE476" s="964"/>
      <c r="BF476" s="61"/>
      <c r="BG476" s="61"/>
      <c r="BH476" s="61"/>
      <c r="BI476" s="506"/>
      <c r="BJ476" s="506"/>
      <c r="BK476" s="506"/>
      <c r="BL476" s="506"/>
      <c r="BM476" s="506"/>
      <c r="BN476" s="506"/>
      <c r="BO476" s="506"/>
      <c r="BP476" s="506"/>
    </row>
    <row r="477" spans="4:68" hidden="1">
      <c r="D477" t="s">
        <v>672</v>
      </c>
      <c r="E477" s="186" t="s">
        <v>673</v>
      </c>
      <c r="G477" s="62"/>
      <c r="H477" s="62"/>
      <c r="I477" s="62"/>
      <c r="J477" s="62"/>
      <c r="K477" s="62"/>
      <c r="L477" s="62"/>
      <c r="M477" s="61"/>
      <c r="N477" s="62"/>
      <c r="O477" s="61"/>
      <c r="P477" s="62"/>
      <c r="Q477" s="61"/>
      <c r="R477" s="62"/>
      <c r="S477" s="936"/>
      <c r="T477" s="61"/>
      <c r="V477" s="968"/>
      <c r="W477" s="968"/>
      <c r="X477" s="186"/>
      <c r="Y477" s="61"/>
      <c r="Z477" s="61"/>
      <c r="AA477" s="61"/>
      <c r="AB477" s="964"/>
      <c r="AC477" s="61"/>
      <c r="AE477" s="964"/>
      <c r="AF477" s="964"/>
      <c r="AG477" s="964"/>
      <c r="AH477" s="61"/>
      <c r="AJ477" s="964"/>
      <c r="AK477" s="964"/>
      <c r="AL477" s="964"/>
      <c r="AM477" s="61"/>
      <c r="AO477" s="964"/>
      <c r="AP477" s="964"/>
      <c r="AQ477" s="964"/>
      <c r="AR477" s="61"/>
      <c r="AT477" s="964"/>
      <c r="AU477" s="964"/>
      <c r="AV477" s="964"/>
      <c r="AW477" s="61"/>
      <c r="AY477" s="964"/>
      <c r="AZ477" s="964"/>
      <c r="BA477" s="964"/>
      <c r="BB477" s="61"/>
      <c r="BD477" s="964"/>
      <c r="BE477" s="964"/>
      <c r="BF477" s="61"/>
      <c r="BG477" s="61"/>
      <c r="BH477" s="61"/>
      <c r="BI477" s="506"/>
      <c r="BJ477" s="506"/>
      <c r="BK477" s="506"/>
      <c r="BL477" s="506"/>
      <c r="BM477" s="506"/>
      <c r="BN477" s="506"/>
      <c r="BO477" s="506"/>
      <c r="BP477" s="506"/>
    </row>
    <row r="478" spans="4:68" hidden="1">
      <c r="D478" t="s">
        <v>674</v>
      </c>
      <c r="E478" s="186" t="s">
        <v>675</v>
      </c>
      <c r="G478" s="62"/>
      <c r="H478" s="62"/>
      <c r="I478" s="62"/>
      <c r="J478" s="62"/>
      <c r="K478" s="62"/>
      <c r="L478" s="62"/>
      <c r="M478" s="61"/>
      <c r="N478" s="62"/>
      <c r="O478" s="61"/>
      <c r="P478" s="62"/>
      <c r="Q478" s="61"/>
      <c r="R478" s="62"/>
      <c r="S478" s="936"/>
      <c r="T478" s="61"/>
      <c r="V478" s="968"/>
      <c r="W478" s="968"/>
      <c r="X478" s="186"/>
      <c r="Y478" s="61"/>
      <c r="Z478" s="61"/>
      <c r="AA478" s="61"/>
      <c r="AB478" s="964"/>
      <c r="AC478" s="61"/>
      <c r="AE478" s="964"/>
      <c r="AF478" s="964"/>
      <c r="AG478" s="964"/>
      <c r="AH478" s="61"/>
      <c r="AJ478" s="964"/>
      <c r="AK478" s="964"/>
      <c r="AL478" s="964"/>
      <c r="AM478" s="61"/>
      <c r="AO478" s="964"/>
      <c r="AP478" s="964"/>
      <c r="AQ478" s="964"/>
      <c r="AR478" s="61"/>
      <c r="AT478" s="964"/>
      <c r="AU478" s="964"/>
      <c r="AV478" s="964"/>
      <c r="AW478" s="61"/>
      <c r="AY478" s="964"/>
      <c r="AZ478" s="964"/>
      <c r="BA478" s="964"/>
      <c r="BB478" s="61"/>
      <c r="BD478" s="964"/>
      <c r="BE478" s="964"/>
      <c r="BF478" s="61"/>
      <c r="BG478" s="61"/>
      <c r="BH478" s="61"/>
      <c r="BI478" s="506"/>
      <c r="BJ478" s="506"/>
      <c r="BK478" s="506"/>
      <c r="BL478" s="506"/>
      <c r="BM478" s="506"/>
      <c r="BN478" s="506"/>
      <c r="BO478" s="506"/>
      <c r="BP478" s="506"/>
    </row>
    <row r="479" spans="4:68" hidden="1">
      <c r="D479" t="s">
        <v>676</v>
      </c>
      <c r="E479" s="186" t="s">
        <v>677</v>
      </c>
      <c r="G479" s="62"/>
      <c r="H479" s="62"/>
      <c r="I479" s="62"/>
      <c r="J479" s="62"/>
      <c r="K479" s="62"/>
      <c r="L479" s="62"/>
      <c r="M479" s="61"/>
      <c r="N479" s="62"/>
      <c r="O479" s="61"/>
      <c r="P479" s="62"/>
      <c r="Q479" s="61"/>
      <c r="R479" s="62"/>
      <c r="S479" s="936"/>
      <c r="T479" s="61"/>
      <c r="V479" s="968"/>
      <c r="W479" s="968"/>
      <c r="X479" s="186"/>
      <c r="Y479" s="61"/>
      <c r="Z479" s="61"/>
      <c r="AA479" s="61"/>
      <c r="AB479" s="964"/>
      <c r="AC479" s="61"/>
      <c r="AE479" s="964"/>
      <c r="AF479" s="964"/>
      <c r="AG479" s="964"/>
      <c r="AH479" s="61"/>
      <c r="AJ479" s="964"/>
      <c r="AK479" s="964"/>
      <c r="AL479" s="964"/>
      <c r="AM479" s="61"/>
      <c r="AO479" s="964"/>
      <c r="AP479" s="964"/>
      <c r="AQ479" s="964"/>
      <c r="AR479" s="61"/>
      <c r="AT479" s="964"/>
      <c r="AU479" s="964"/>
      <c r="AV479" s="964"/>
      <c r="AW479" s="61"/>
      <c r="AY479" s="964"/>
      <c r="AZ479" s="964"/>
      <c r="BA479" s="964"/>
      <c r="BB479" s="61"/>
      <c r="BD479" s="964"/>
      <c r="BE479" s="964"/>
      <c r="BF479" s="61"/>
      <c r="BG479" s="61"/>
      <c r="BH479" s="61"/>
      <c r="BI479" s="506"/>
      <c r="BJ479" s="506"/>
      <c r="BK479" s="506"/>
      <c r="BL479" s="506"/>
      <c r="BM479" s="506"/>
      <c r="BN479" s="506"/>
      <c r="BO479" s="506"/>
      <c r="BP479" s="506"/>
    </row>
    <row r="480" spans="4:68" hidden="1">
      <c r="D480" t="s">
        <v>678</v>
      </c>
      <c r="E480" s="186" t="s">
        <v>679</v>
      </c>
      <c r="G480" s="62"/>
      <c r="H480" s="62"/>
      <c r="I480" s="62"/>
      <c r="J480" s="62"/>
      <c r="K480" s="62"/>
      <c r="L480" s="62"/>
      <c r="M480" s="61"/>
      <c r="N480" s="62"/>
      <c r="O480" s="61"/>
      <c r="P480" s="62"/>
      <c r="Q480" s="61"/>
      <c r="R480" s="62"/>
      <c r="S480" s="936"/>
      <c r="T480" s="61"/>
      <c r="V480" s="968"/>
      <c r="W480" s="968"/>
      <c r="X480" s="186"/>
      <c r="Y480" s="61"/>
      <c r="Z480" s="61"/>
      <c r="AA480" s="61"/>
      <c r="AB480" s="964"/>
      <c r="AC480" s="61"/>
      <c r="AE480" s="964"/>
      <c r="AF480" s="964"/>
      <c r="AG480" s="964"/>
      <c r="AH480" s="61"/>
      <c r="AJ480" s="964"/>
      <c r="AK480" s="964"/>
      <c r="AL480" s="964"/>
      <c r="AM480" s="61"/>
      <c r="AO480" s="964"/>
      <c r="AP480" s="964"/>
      <c r="AQ480" s="964"/>
      <c r="AR480" s="61"/>
      <c r="AT480" s="964"/>
      <c r="AU480" s="964"/>
      <c r="AV480" s="964"/>
      <c r="AW480" s="61"/>
      <c r="AY480" s="964"/>
      <c r="AZ480" s="964"/>
      <c r="BA480" s="964"/>
      <c r="BB480" s="61"/>
      <c r="BD480" s="964"/>
      <c r="BE480" s="964"/>
      <c r="BF480" s="61"/>
      <c r="BG480" s="61"/>
      <c r="BH480" s="61"/>
      <c r="BI480" s="506"/>
      <c r="BJ480" s="506"/>
      <c r="BK480" s="506"/>
      <c r="BL480" s="506"/>
      <c r="BM480" s="506"/>
      <c r="BN480" s="506"/>
      <c r="BO480" s="506"/>
      <c r="BP480" s="506"/>
    </row>
    <row r="481" spans="4:68" hidden="1">
      <c r="E481" s="186" t="s">
        <v>634</v>
      </c>
      <c r="G481" s="62"/>
      <c r="H481" s="62"/>
      <c r="I481" s="62"/>
      <c r="J481" s="62"/>
      <c r="K481" s="62"/>
      <c r="L481" s="62"/>
      <c r="M481" s="534">
        <f>SUM(M468:M480)</f>
        <v>0</v>
      </c>
      <c r="N481" s="62"/>
      <c r="O481" s="534">
        <f>SUM(O468:O480)</f>
        <v>0</v>
      </c>
      <c r="P481" s="62"/>
      <c r="Q481" s="534">
        <f>SUM(Q468:Q480)</f>
        <v>0</v>
      </c>
      <c r="R481" s="62"/>
      <c r="S481" s="936"/>
      <c r="T481" s="534">
        <f>SUM(T468:T480)</f>
        <v>0</v>
      </c>
      <c r="U481" s="1071"/>
      <c r="V481" s="968"/>
      <c r="W481" s="968"/>
      <c r="X481" s="186"/>
      <c r="Y481" s="534">
        <f>SUM(Y468:Y480)</f>
        <v>0</v>
      </c>
      <c r="Z481" s="61"/>
      <c r="AA481" s="61"/>
      <c r="AB481" s="964"/>
      <c r="AC481" s="534">
        <f>SUM(AC468:AC480)</f>
        <v>0</v>
      </c>
      <c r="AD481" s="1071"/>
      <c r="AE481" s="964"/>
      <c r="AF481" s="964"/>
      <c r="AG481" s="964"/>
      <c r="AH481" s="534">
        <f>SUM(AH468:AH480)</f>
        <v>0</v>
      </c>
      <c r="AI481" s="1071"/>
      <c r="AJ481" s="964"/>
      <c r="AK481" s="964"/>
      <c r="AL481" s="964"/>
      <c r="AM481" s="534">
        <f>SUM(AM468:AM480)</f>
        <v>0</v>
      </c>
      <c r="AN481" s="1071"/>
      <c r="AO481" s="964"/>
      <c r="AP481" s="964"/>
      <c r="AQ481" s="964"/>
      <c r="AR481" s="534">
        <f>SUM(AR468:AR480)</f>
        <v>0</v>
      </c>
      <c r="AS481" s="1071"/>
      <c r="AT481" s="964"/>
      <c r="AU481" s="964"/>
      <c r="AV481" s="964"/>
      <c r="AW481" s="534">
        <f>SUM(AW468:AW480)</f>
        <v>0</v>
      </c>
      <c r="AX481" s="1071"/>
      <c r="AY481" s="964"/>
      <c r="AZ481" s="964"/>
      <c r="BA481" s="964"/>
      <c r="BB481" s="534">
        <f>SUM(BB468:BB480)</f>
        <v>0</v>
      </c>
      <c r="BC481" s="1071"/>
      <c r="BD481" s="964"/>
      <c r="BE481" s="964"/>
      <c r="BF481" s="61"/>
      <c r="BG481" s="61"/>
      <c r="BH481" s="61"/>
      <c r="BI481" s="506"/>
      <c r="BJ481" s="506"/>
      <c r="BK481" s="506"/>
      <c r="BL481" s="506"/>
      <c r="BM481" s="506"/>
      <c r="BN481" s="506"/>
      <c r="BO481" s="506"/>
      <c r="BP481" s="506"/>
    </row>
    <row r="482" spans="4:68" hidden="1">
      <c r="E482" s="186"/>
      <c r="G482" s="62"/>
      <c r="H482" s="62"/>
      <c r="I482" s="62"/>
      <c r="J482" s="62"/>
      <c r="K482" s="62"/>
      <c r="L482" s="62"/>
      <c r="M482" s="61"/>
      <c r="N482" s="62"/>
      <c r="O482" s="61"/>
      <c r="P482" s="62"/>
      <c r="Q482" s="61"/>
      <c r="R482" s="62"/>
      <c r="S482" s="936"/>
      <c r="T482" s="61"/>
      <c r="V482" s="968"/>
      <c r="W482" s="968"/>
      <c r="X482" s="186"/>
      <c r="Y482" s="61"/>
      <c r="Z482" s="61"/>
      <c r="AA482" s="61"/>
      <c r="AB482" s="964"/>
      <c r="AC482" s="61"/>
      <c r="AE482" s="964"/>
      <c r="AF482" s="964"/>
      <c r="AG482" s="964"/>
      <c r="AH482" s="61"/>
      <c r="AJ482" s="964"/>
      <c r="AK482" s="964"/>
      <c r="AL482" s="964"/>
      <c r="AM482" s="61"/>
      <c r="AO482" s="964"/>
      <c r="AP482" s="964"/>
      <c r="AQ482" s="964"/>
      <c r="AR482" s="61"/>
      <c r="AT482" s="964"/>
      <c r="AU482" s="964"/>
      <c r="AV482" s="964"/>
      <c r="AW482" s="61"/>
      <c r="AY482" s="964"/>
      <c r="AZ482" s="964"/>
      <c r="BA482" s="964"/>
      <c r="BB482" s="61"/>
      <c r="BD482" s="964"/>
      <c r="BE482" s="964"/>
      <c r="BF482" s="61"/>
      <c r="BG482" s="61"/>
      <c r="BH482" s="61"/>
      <c r="BI482" s="506"/>
      <c r="BJ482" s="506"/>
      <c r="BK482" s="506"/>
      <c r="BL482" s="506"/>
      <c r="BM482" s="506"/>
      <c r="BN482" s="506"/>
      <c r="BO482" s="506"/>
      <c r="BP482" s="506"/>
    </row>
    <row r="483" spans="4:68" hidden="1">
      <c r="E483" s="254" t="s">
        <v>770</v>
      </c>
      <c r="G483" s="62"/>
      <c r="H483" s="62"/>
      <c r="I483" s="62"/>
      <c r="J483" s="62"/>
      <c r="K483" s="62"/>
      <c r="L483" s="62"/>
      <c r="M483" s="61"/>
      <c r="N483" s="62"/>
      <c r="O483" s="61"/>
      <c r="P483" s="62"/>
      <c r="Q483" s="61"/>
      <c r="R483" s="62"/>
      <c r="S483" s="936"/>
      <c r="T483" s="61"/>
      <c r="V483" s="968"/>
      <c r="W483" s="968"/>
      <c r="X483" s="186"/>
      <c r="Y483" s="61"/>
      <c r="Z483" s="61"/>
      <c r="AA483" s="61"/>
      <c r="AB483" s="964"/>
      <c r="AC483" s="61"/>
      <c r="AE483" s="964"/>
      <c r="AF483" s="964"/>
      <c r="AG483" s="964"/>
      <c r="AH483" s="61"/>
      <c r="AJ483" s="964"/>
      <c r="AK483" s="964"/>
      <c r="AL483" s="964"/>
      <c r="AM483" s="61"/>
      <c r="AO483" s="964"/>
      <c r="AP483" s="964"/>
      <c r="AQ483" s="964"/>
      <c r="AR483" s="61"/>
      <c r="AT483" s="964"/>
      <c r="AU483" s="964"/>
      <c r="AV483" s="964"/>
      <c r="AW483" s="61"/>
      <c r="AY483" s="964"/>
      <c r="AZ483" s="964"/>
      <c r="BA483" s="964"/>
      <c r="BB483" s="61"/>
      <c r="BD483" s="964"/>
      <c r="BE483" s="964"/>
      <c r="BF483" s="61"/>
      <c r="BG483" s="61"/>
      <c r="BH483" s="61"/>
      <c r="BI483" s="506"/>
      <c r="BJ483" s="506"/>
      <c r="BK483" s="506"/>
      <c r="BL483" s="506"/>
      <c r="BM483" s="506"/>
      <c r="BN483" s="506"/>
      <c r="BO483" s="506"/>
      <c r="BP483" s="506"/>
    </row>
    <row r="484" spans="4:68" hidden="1">
      <c r="D484" t="s">
        <v>1111</v>
      </c>
      <c r="E484" s="186" t="s">
        <v>1118</v>
      </c>
      <c r="G484" s="62"/>
      <c r="H484" s="62"/>
      <c r="I484" s="62"/>
      <c r="J484" s="62"/>
      <c r="K484" s="62"/>
      <c r="L484" s="62"/>
      <c r="M484" s="61"/>
      <c r="N484" s="62"/>
      <c r="O484" s="61"/>
      <c r="P484" s="62"/>
      <c r="Q484" s="61"/>
      <c r="R484" s="62"/>
      <c r="S484" s="936"/>
      <c r="T484" s="61"/>
      <c r="V484" s="968"/>
      <c r="W484" s="968"/>
      <c r="X484" s="186"/>
      <c r="Y484" s="61"/>
      <c r="Z484" s="61"/>
      <c r="AA484" s="61"/>
      <c r="AB484" s="964"/>
      <c r="AC484" s="61"/>
      <c r="AE484" s="964"/>
      <c r="AF484" s="964"/>
      <c r="AG484" s="964"/>
      <c r="AH484" s="61"/>
      <c r="AJ484" s="964"/>
      <c r="AK484" s="964"/>
      <c r="AL484" s="964"/>
      <c r="AM484" s="61"/>
      <c r="AO484" s="964"/>
      <c r="AP484" s="964"/>
      <c r="AQ484" s="964"/>
      <c r="AR484" s="61"/>
      <c r="AT484" s="964"/>
      <c r="AU484" s="964"/>
      <c r="AV484" s="964"/>
      <c r="AW484" s="61"/>
      <c r="AY484" s="964"/>
      <c r="AZ484" s="964"/>
      <c r="BA484" s="964"/>
      <c r="BB484" s="61"/>
      <c r="BD484" s="964"/>
      <c r="BE484" s="964"/>
      <c r="BF484" s="61"/>
      <c r="BG484" s="61"/>
      <c r="BH484" s="61"/>
      <c r="BI484" s="506"/>
      <c r="BJ484" s="506"/>
      <c r="BK484" s="506"/>
      <c r="BL484" s="506"/>
      <c r="BM484" s="506"/>
      <c r="BN484" s="506"/>
      <c r="BO484" s="506"/>
      <c r="BP484" s="506"/>
    </row>
    <row r="485" spans="4:68" hidden="1">
      <c r="D485" t="s">
        <v>1112</v>
      </c>
      <c r="E485" s="186" t="s">
        <v>1119</v>
      </c>
      <c r="G485" s="62"/>
      <c r="H485" s="62"/>
      <c r="I485" s="62"/>
      <c r="J485" s="62"/>
      <c r="K485" s="62"/>
      <c r="L485" s="62"/>
      <c r="M485" s="61"/>
      <c r="N485" s="62"/>
      <c r="O485" s="61"/>
      <c r="P485" s="62"/>
      <c r="Q485" s="61"/>
      <c r="R485" s="62"/>
      <c r="S485" s="936"/>
      <c r="T485" s="61"/>
      <c r="V485" s="968"/>
      <c r="W485" s="968"/>
      <c r="X485" s="186"/>
      <c r="Y485" s="61"/>
      <c r="Z485" s="61"/>
      <c r="AA485" s="61"/>
      <c r="AB485" s="964"/>
      <c r="AC485" s="61"/>
      <c r="AE485" s="964"/>
      <c r="AF485" s="964"/>
      <c r="AG485" s="964"/>
      <c r="AH485" s="61"/>
      <c r="AJ485" s="964"/>
      <c r="AK485" s="964"/>
      <c r="AL485" s="964"/>
      <c r="AM485" s="61"/>
      <c r="AO485" s="964"/>
      <c r="AP485" s="964"/>
      <c r="AQ485" s="964"/>
      <c r="AR485" s="61"/>
      <c r="AT485" s="964"/>
      <c r="AU485" s="964"/>
      <c r="AV485" s="964"/>
      <c r="AW485" s="61"/>
      <c r="AY485" s="964"/>
      <c r="AZ485" s="964"/>
      <c r="BA485" s="964"/>
      <c r="BB485" s="61"/>
      <c r="BD485" s="964"/>
      <c r="BE485" s="964"/>
      <c r="BF485" s="61"/>
      <c r="BG485" s="61"/>
      <c r="BH485" s="61"/>
      <c r="BI485" s="506"/>
      <c r="BJ485" s="506"/>
      <c r="BK485" s="506"/>
      <c r="BL485" s="506"/>
      <c r="BM485" s="506"/>
      <c r="BN485" s="506"/>
      <c r="BO485" s="506"/>
      <c r="BP485" s="506"/>
    </row>
    <row r="486" spans="4:68" hidden="1">
      <c r="D486" t="s">
        <v>1113</v>
      </c>
      <c r="E486" s="186" t="s">
        <v>1120</v>
      </c>
      <c r="G486" s="62"/>
      <c r="H486" s="62"/>
      <c r="I486" s="62"/>
      <c r="J486" s="62"/>
      <c r="K486" s="62"/>
      <c r="L486" s="62"/>
      <c r="M486" s="61"/>
      <c r="N486" s="62"/>
      <c r="O486" s="61"/>
      <c r="P486" s="62"/>
      <c r="Q486" s="61"/>
      <c r="R486" s="62"/>
      <c r="S486" s="936"/>
      <c r="T486" s="61"/>
      <c r="V486" s="968"/>
      <c r="W486" s="968"/>
      <c r="X486" s="186"/>
      <c r="Y486" s="61"/>
      <c r="Z486" s="61"/>
      <c r="AA486" s="61"/>
      <c r="AB486" s="964"/>
      <c r="AC486" s="61"/>
      <c r="AE486" s="964"/>
      <c r="AF486" s="964"/>
      <c r="AG486" s="964"/>
      <c r="AH486" s="61"/>
      <c r="AJ486" s="964"/>
      <c r="AK486" s="964"/>
      <c r="AL486" s="964"/>
      <c r="AM486" s="61"/>
      <c r="AO486" s="964"/>
      <c r="AP486" s="964"/>
      <c r="AQ486" s="964"/>
      <c r="AR486" s="61"/>
      <c r="AT486" s="964"/>
      <c r="AU486" s="964"/>
      <c r="AV486" s="964"/>
      <c r="AW486" s="61"/>
      <c r="AY486" s="964"/>
      <c r="AZ486" s="964"/>
      <c r="BA486" s="964"/>
      <c r="BB486" s="61"/>
      <c r="BD486" s="964"/>
      <c r="BE486" s="964"/>
      <c r="BF486" s="61"/>
      <c r="BG486" s="61"/>
      <c r="BH486" s="61"/>
      <c r="BI486" s="506"/>
      <c r="BJ486" s="506"/>
      <c r="BK486" s="506"/>
      <c r="BL486" s="506"/>
      <c r="BM486" s="506"/>
      <c r="BN486" s="506"/>
      <c r="BO486" s="506"/>
      <c r="BP486" s="506"/>
    </row>
    <row r="487" spans="4:68" hidden="1">
      <c r="D487" t="s">
        <v>1114</v>
      </c>
      <c r="E487" s="186" t="s">
        <v>1121</v>
      </c>
      <c r="G487" s="62"/>
      <c r="H487" s="62"/>
      <c r="I487" s="62"/>
      <c r="J487" s="62"/>
      <c r="K487" s="62"/>
      <c r="L487" s="62"/>
      <c r="M487" s="61"/>
      <c r="N487" s="62"/>
      <c r="O487" s="61"/>
      <c r="P487" s="62"/>
      <c r="Q487" s="61"/>
      <c r="R487" s="62"/>
      <c r="S487" s="936"/>
      <c r="T487" s="61"/>
      <c r="V487" s="968"/>
      <c r="W487" s="968"/>
      <c r="X487" s="186"/>
      <c r="Y487" s="61"/>
      <c r="Z487" s="61"/>
      <c r="AA487" s="61"/>
      <c r="AB487" s="964"/>
      <c r="AC487" s="61"/>
      <c r="AE487" s="964"/>
      <c r="AF487" s="964"/>
      <c r="AG487" s="964"/>
      <c r="AH487" s="61"/>
      <c r="AJ487" s="964"/>
      <c r="AK487" s="964"/>
      <c r="AL487" s="964"/>
      <c r="AM487" s="61"/>
      <c r="AO487" s="964"/>
      <c r="AP487" s="964"/>
      <c r="AQ487" s="964"/>
      <c r="AR487" s="61"/>
      <c r="AT487" s="964"/>
      <c r="AU487" s="964"/>
      <c r="AV487" s="964"/>
      <c r="AW487" s="61"/>
      <c r="AY487" s="964"/>
      <c r="AZ487" s="964"/>
      <c r="BA487" s="964"/>
      <c r="BB487" s="61"/>
      <c r="BD487" s="964"/>
      <c r="BE487" s="964"/>
      <c r="BF487" s="61"/>
      <c r="BG487" s="61"/>
      <c r="BH487" s="61"/>
      <c r="BI487" s="506"/>
      <c r="BJ487" s="506"/>
      <c r="BK487" s="506"/>
      <c r="BL487" s="506"/>
      <c r="BM487" s="506"/>
      <c r="BN487" s="506"/>
      <c r="BO487" s="506"/>
      <c r="BP487" s="506"/>
    </row>
    <row r="488" spans="4:68" hidden="1">
      <c r="D488" t="s">
        <v>1115</v>
      </c>
      <c r="E488" s="186" t="s">
        <v>1122</v>
      </c>
      <c r="G488" s="62"/>
      <c r="H488" s="62"/>
      <c r="I488" s="62"/>
      <c r="J488" s="62"/>
      <c r="K488" s="62"/>
      <c r="L488" s="62"/>
      <c r="M488" s="61"/>
      <c r="N488" s="62"/>
      <c r="O488" s="61"/>
      <c r="P488" s="62"/>
      <c r="Q488" s="61"/>
      <c r="R488" s="62"/>
      <c r="S488" s="936"/>
      <c r="T488" s="61"/>
      <c r="V488" s="968"/>
      <c r="W488" s="968"/>
      <c r="X488" s="186"/>
      <c r="Y488" s="61"/>
      <c r="Z488" s="61"/>
      <c r="AA488" s="61"/>
      <c r="AB488" s="964"/>
      <c r="AC488" s="61"/>
      <c r="AE488" s="964"/>
      <c r="AF488" s="964"/>
      <c r="AG488" s="964"/>
      <c r="AH488" s="61"/>
      <c r="AJ488" s="964"/>
      <c r="AK488" s="964"/>
      <c r="AL488" s="964"/>
      <c r="AM488" s="61"/>
      <c r="AO488" s="964"/>
      <c r="AP488" s="964"/>
      <c r="AQ488" s="964"/>
      <c r="AR488" s="61"/>
      <c r="AT488" s="964"/>
      <c r="AU488" s="964"/>
      <c r="AV488" s="964"/>
      <c r="AW488" s="61"/>
      <c r="AY488" s="964"/>
      <c r="AZ488" s="964"/>
      <c r="BA488" s="964"/>
      <c r="BB488" s="61"/>
      <c r="BD488" s="964"/>
      <c r="BE488" s="964"/>
      <c r="BF488" s="61"/>
      <c r="BG488" s="61"/>
      <c r="BH488" s="61"/>
      <c r="BI488" s="506"/>
      <c r="BJ488" s="506"/>
      <c r="BK488" s="506"/>
      <c r="BL488" s="506"/>
      <c r="BM488" s="506"/>
      <c r="BN488" s="506"/>
      <c r="BO488" s="506"/>
      <c r="BP488" s="506"/>
    </row>
    <row r="489" spans="4:68" hidden="1">
      <c r="D489" t="s">
        <v>1116</v>
      </c>
      <c r="E489" s="186" t="s">
        <v>1123</v>
      </c>
      <c r="G489" s="62"/>
      <c r="H489" s="62"/>
      <c r="I489" s="62"/>
      <c r="J489" s="62"/>
      <c r="K489" s="62"/>
      <c r="L489" s="62"/>
      <c r="M489" s="61"/>
      <c r="N489" s="62"/>
      <c r="O489" s="61"/>
      <c r="P489" s="62"/>
      <c r="Q489" s="61"/>
      <c r="R489" s="62"/>
      <c r="S489" s="936"/>
      <c r="T489" s="61"/>
      <c r="V489" s="968"/>
      <c r="W489" s="968"/>
      <c r="X489" s="186"/>
      <c r="Y489" s="61"/>
      <c r="Z489" s="61"/>
      <c r="AA489" s="61"/>
      <c r="AB489" s="964"/>
      <c r="AC489" s="61"/>
      <c r="AE489" s="964"/>
      <c r="AF489" s="964"/>
      <c r="AG489" s="964"/>
      <c r="AH489" s="61"/>
      <c r="AJ489" s="964"/>
      <c r="AK489" s="964"/>
      <c r="AL489" s="964"/>
      <c r="AM489" s="61"/>
      <c r="AO489" s="964"/>
      <c r="AP489" s="964"/>
      <c r="AQ489" s="964"/>
      <c r="AR489" s="61"/>
      <c r="AT489" s="964"/>
      <c r="AU489" s="964"/>
      <c r="AV489" s="964"/>
      <c r="AW489" s="61"/>
      <c r="AY489" s="964"/>
      <c r="AZ489" s="964"/>
      <c r="BA489" s="964"/>
      <c r="BB489" s="61"/>
      <c r="BD489" s="964"/>
      <c r="BE489" s="964"/>
      <c r="BF489" s="61"/>
      <c r="BG489" s="61"/>
      <c r="BH489" s="61"/>
      <c r="BI489" s="506"/>
      <c r="BJ489" s="506"/>
      <c r="BK489" s="506"/>
      <c r="BL489" s="506"/>
      <c r="BM489" s="506"/>
      <c r="BN489" s="506"/>
      <c r="BO489" s="506"/>
      <c r="BP489" s="506"/>
    </row>
    <row r="490" spans="4:68" hidden="1">
      <c r="D490" t="s">
        <v>1117</v>
      </c>
      <c r="E490" s="186" t="s">
        <v>1124</v>
      </c>
      <c r="G490" s="62"/>
      <c r="H490" s="62"/>
      <c r="I490" s="62"/>
      <c r="J490" s="62"/>
      <c r="K490" s="62"/>
      <c r="L490" s="62"/>
      <c r="M490" s="61"/>
      <c r="N490" s="62"/>
      <c r="O490" s="61"/>
      <c r="P490" s="62"/>
      <c r="Q490" s="61"/>
      <c r="R490" s="62"/>
      <c r="S490" s="936"/>
      <c r="T490" s="61"/>
      <c r="V490" s="968"/>
      <c r="W490" s="968"/>
      <c r="X490" s="186"/>
      <c r="Y490" s="61"/>
      <c r="Z490" s="61"/>
      <c r="AA490" s="61"/>
      <c r="AB490" s="964"/>
      <c r="AC490" s="61"/>
      <c r="AE490" s="964"/>
      <c r="AF490" s="964"/>
      <c r="AG490" s="964"/>
      <c r="AH490" s="61"/>
      <c r="AJ490" s="964"/>
      <c r="AK490" s="964"/>
      <c r="AL490" s="964"/>
      <c r="AM490" s="61"/>
      <c r="AO490" s="964"/>
      <c r="AP490" s="964"/>
      <c r="AQ490" s="964"/>
      <c r="AR490" s="61"/>
      <c r="AT490" s="964"/>
      <c r="AU490" s="964"/>
      <c r="AV490" s="964"/>
      <c r="AW490" s="61"/>
      <c r="AY490" s="964"/>
      <c r="AZ490" s="964"/>
      <c r="BA490" s="964"/>
      <c r="BB490" s="61"/>
      <c r="BD490" s="964"/>
      <c r="BE490" s="964"/>
      <c r="BF490" s="61"/>
      <c r="BG490" s="61"/>
      <c r="BH490" s="61"/>
      <c r="BI490" s="506"/>
      <c r="BJ490" s="506"/>
      <c r="BK490" s="506"/>
      <c r="BL490" s="506"/>
      <c r="BM490" s="506"/>
      <c r="BN490" s="506"/>
      <c r="BO490" s="506"/>
      <c r="BP490" s="506"/>
    </row>
    <row r="491" spans="4:68" hidden="1">
      <c r="E491" s="186" t="s">
        <v>634</v>
      </c>
      <c r="G491" s="62"/>
      <c r="H491" s="62"/>
      <c r="I491" s="62"/>
      <c r="J491" s="62"/>
      <c r="K491" s="62"/>
      <c r="L491" s="62"/>
      <c r="M491" s="534">
        <f>SUM(M484:M490)</f>
        <v>0</v>
      </c>
      <c r="N491" s="62"/>
      <c r="O491" s="534">
        <f>SUM(O484:O490)</f>
        <v>0</v>
      </c>
      <c r="P491" s="62"/>
      <c r="Q491" s="534">
        <f>SUM(Q484:Q490)</f>
        <v>0</v>
      </c>
      <c r="R491" s="62"/>
      <c r="S491" s="936"/>
      <c r="T491" s="534">
        <f>SUM(T484:T490)</f>
        <v>0</v>
      </c>
      <c r="U491" s="1071"/>
      <c r="V491" s="968"/>
      <c r="W491" s="968"/>
      <c r="X491" s="186"/>
      <c r="Y491" s="534">
        <f>SUM(Y484:Y490)</f>
        <v>0</v>
      </c>
      <c r="Z491" s="61"/>
      <c r="AA491" s="61"/>
      <c r="AB491" s="964"/>
      <c r="AC491" s="534">
        <f>SUM(AC484:AC490)</f>
        <v>0</v>
      </c>
      <c r="AD491" s="1071"/>
      <c r="AE491" s="964"/>
      <c r="AF491" s="964"/>
      <c r="AG491" s="964"/>
      <c r="AH491" s="534">
        <f>SUM(AH484:AH490)</f>
        <v>0</v>
      </c>
      <c r="AI491" s="1071"/>
      <c r="AJ491" s="964"/>
      <c r="AK491" s="964"/>
      <c r="AL491" s="964"/>
      <c r="AM491" s="534">
        <f>SUM(AM484:AM490)</f>
        <v>0</v>
      </c>
      <c r="AN491" s="1071"/>
      <c r="AO491" s="964"/>
      <c r="AP491" s="964"/>
      <c r="AQ491" s="964"/>
      <c r="AR491" s="534">
        <f>SUM(AR484:AR490)</f>
        <v>0</v>
      </c>
      <c r="AS491" s="1071"/>
      <c r="AT491" s="964"/>
      <c r="AU491" s="964"/>
      <c r="AV491" s="964"/>
      <c r="AW491" s="534">
        <f>SUM(AW484:AW490)</f>
        <v>0</v>
      </c>
      <c r="AX491" s="1071"/>
      <c r="AY491" s="964"/>
      <c r="AZ491" s="964"/>
      <c r="BA491" s="964"/>
      <c r="BB491" s="534">
        <f>SUM(BB484:BB490)</f>
        <v>0</v>
      </c>
      <c r="BC491" s="1071"/>
      <c r="BD491" s="964"/>
      <c r="BE491" s="964"/>
      <c r="BF491" s="61"/>
      <c r="BG491" s="61"/>
      <c r="BH491" s="61"/>
      <c r="BI491" s="506"/>
      <c r="BJ491" s="506"/>
      <c r="BK491" s="506"/>
      <c r="BL491" s="506"/>
      <c r="BM491" s="506"/>
      <c r="BN491" s="506"/>
      <c r="BO491" s="506"/>
      <c r="BP491" s="506"/>
    </row>
    <row r="492" spans="4:68" hidden="1">
      <c r="E492" s="186"/>
      <c r="G492" s="62"/>
      <c r="H492" s="62"/>
      <c r="I492" s="62"/>
      <c r="J492" s="62"/>
      <c r="K492" s="62"/>
      <c r="L492" s="62"/>
      <c r="M492" s="61"/>
      <c r="N492" s="62"/>
      <c r="O492" s="61"/>
      <c r="P492" s="62"/>
      <c r="Q492" s="61"/>
      <c r="R492" s="62"/>
      <c r="S492" s="936"/>
      <c r="T492" s="61"/>
      <c r="V492" s="968"/>
      <c r="W492" s="968"/>
      <c r="X492" s="186"/>
      <c r="Y492" s="61"/>
      <c r="Z492" s="61"/>
      <c r="AA492" s="61"/>
      <c r="AB492" s="964"/>
      <c r="AC492" s="61"/>
      <c r="AE492" s="964"/>
      <c r="AF492" s="964"/>
      <c r="AG492" s="964"/>
      <c r="AH492" s="61"/>
      <c r="AJ492" s="964"/>
      <c r="AK492" s="964"/>
      <c r="AL492" s="964"/>
      <c r="AM492" s="61"/>
      <c r="AO492" s="964"/>
      <c r="AP492" s="964"/>
      <c r="AQ492" s="964"/>
      <c r="AR492" s="61"/>
      <c r="AT492" s="964"/>
      <c r="AU492" s="964"/>
      <c r="AV492" s="964"/>
      <c r="AW492" s="61"/>
      <c r="AY492" s="964"/>
      <c r="AZ492" s="964"/>
      <c r="BA492" s="964"/>
      <c r="BB492" s="61"/>
      <c r="BD492" s="964"/>
      <c r="BE492" s="964"/>
      <c r="BF492" s="61"/>
      <c r="BG492" s="61"/>
      <c r="BH492" s="61"/>
      <c r="BI492" s="506"/>
      <c r="BJ492" s="506"/>
      <c r="BK492" s="506"/>
      <c r="BL492" s="506"/>
      <c r="BM492" s="506"/>
      <c r="BN492" s="506"/>
      <c r="BO492" s="506"/>
      <c r="BP492" s="506"/>
    </row>
    <row r="493" spans="4:68" hidden="1">
      <c r="E493" s="254" t="s">
        <v>755</v>
      </c>
      <c r="G493" s="62"/>
      <c r="H493" s="62"/>
      <c r="I493" s="62"/>
      <c r="J493" s="62"/>
      <c r="K493" s="62"/>
      <c r="L493" s="62"/>
      <c r="M493" s="61"/>
      <c r="N493" s="62"/>
      <c r="O493" s="61"/>
      <c r="P493" s="62"/>
      <c r="Q493" s="61"/>
      <c r="R493" s="62"/>
      <c r="S493" s="936"/>
      <c r="T493" s="61"/>
      <c r="V493" s="968"/>
      <c r="W493" s="968"/>
      <c r="X493" s="186"/>
      <c r="Y493" s="61"/>
      <c r="Z493" s="61"/>
      <c r="AA493" s="61"/>
      <c r="AB493" s="964"/>
      <c r="AC493" s="61"/>
      <c r="AE493" s="964"/>
      <c r="AF493" s="964"/>
      <c r="AG493" s="964"/>
      <c r="AH493" s="61"/>
      <c r="AJ493" s="964"/>
      <c r="AK493" s="964"/>
      <c r="AL493" s="964"/>
      <c r="AM493" s="61"/>
      <c r="AO493" s="964"/>
      <c r="AP493" s="964"/>
      <c r="AQ493" s="964"/>
      <c r="AR493" s="61"/>
      <c r="AT493" s="964"/>
      <c r="AU493" s="964"/>
      <c r="AV493" s="964"/>
      <c r="AW493" s="61"/>
      <c r="AY493" s="964"/>
      <c r="AZ493" s="964"/>
      <c r="BA493" s="964"/>
      <c r="BB493" s="61"/>
      <c r="BD493" s="964"/>
      <c r="BE493" s="964"/>
      <c r="BF493" s="61"/>
      <c r="BG493" s="61"/>
      <c r="BH493" s="61"/>
      <c r="BI493" s="506"/>
      <c r="BJ493" s="506"/>
      <c r="BK493" s="506"/>
      <c r="BL493" s="506"/>
      <c r="BM493" s="506"/>
      <c r="BN493" s="506"/>
      <c r="BO493" s="506"/>
      <c r="BP493" s="506"/>
    </row>
    <row r="494" spans="4:68" hidden="1">
      <c r="D494" t="s">
        <v>756</v>
      </c>
      <c r="E494" s="186" t="s">
        <v>757</v>
      </c>
      <c r="G494" s="62"/>
      <c r="H494" s="62"/>
      <c r="I494" s="62"/>
      <c r="J494" s="62"/>
      <c r="K494" s="62"/>
      <c r="L494" s="62"/>
      <c r="M494" s="61"/>
      <c r="N494" s="62"/>
      <c r="O494" s="61"/>
      <c r="P494" s="62"/>
      <c r="Q494" s="61"/>
      <c r="R494" s="62"/>
      <c r="S494" s="936"/>
      <c r="T494" s="61"/>
      <c r="V494" s="968"/>
      <c r="W494" s="968"/>
      <c r="X494" s="186"/>
      <c r="Y494" s="61"/>
      <c r="Z494" s="61"/>
      <c r="AA494" s="61"/>
      <c r="AB494" s="964"/>
      <c r="AC494" s="61"/>
      <c r="AE494" s="964"/>
      <c r="AF494" s="964"/>
      <c r="AG494" s="964"/>
      <c r="AH494" s="61"/>
      <c r="AJ494" s="964"/>
      <c r="AK494" s="964"/>
      <c r="AL494" s="964"/>
      <c r="AM494" s="61"/>
      <c r="AO494" s="964"/>
      <c r="AP494" s="964"/>
      <c r="AQ494" s="964"/>
      <c r="AR494" s="61"/>
      <c r="AT494" s="964"/>
      <c r="AU494" s="964"/>
      <c r="AV494" s="964"/>
      <c r="AW494" s="61"/>
      <c r="AY494" s="964"/>
      <c r="AZ494" s="964"/>
      <c r="BA494" s="964"/>
      <c r="BB494" s="61"/>
      <c r="BD494" s="964"/>
      <c r="BE494" s="964"/>
      <c r="BF494" s="61"/>
      <c r="BG494" s="61"/>
      <c r="BH494" s="61"/>
      <c r="BI494" s="506"/>
      <c r="BJ494" s="506"/>
      <c r="BK494" s="506"/>
      <c r="BL494" s="506"/>
      <c r="BM494" s="506"/>
      <c r="BN494" s="506"/>
      <c r="BO494" s="506"/>
      <c r="BP494" s="506"/>
    </row>
    <row r="495" spans="4:68" hidden="1">
      <c r="D495" t="s">
        <v>758</v>
      </c>
      <c r="E495" s="186" t="s">
        <v>759</v>
      </c>
      <c r="G495" s="62"/>
      <c r="H495" s="62"/>
      <c r="I495" s="62"/>
      <c r="J495" s="62"/>
      <c r="K495" s="62"/>
      <c r="L495" s="62"/>
      <c r="M495" s="61"/>
      <c r="N495" s="62"/>
      <c r="O495" s="61"/>
      <c r="P495" s="62"/>
      <c r="Q495" s="61"/>
      <c r="R495" s="62"/>
      <c r="S495" s="936"/>
      <c r="T495" s="61"/>
      <c r="V495" s="968"/>
      <c r="W495" s="968"/>
      <c r="X495" s="186"/>
      <c r="Y495" s="61"/>
      <c r="Z495" s="61"/>
      <c r="AA495" s="61"/>
      <c r="AB495" s="964"/>
      <c r="AC495" s="61"/>
      <c r="AE495" s="964"/>
      <c r="AF495" s="964"/>
      <c r="AG495" s="964"/>
      <c r="AH495" s="61"/>
      <c r="AJ495" s="964"/>
      <c r="AK495" s="964"/>
      <c r="AL495" s="964"/>
      <c r="AM495" s="61"/>
      <c r="AO495" s="964"/>
      <c r="AP495" s="964"/>
      <c r="AQ495" s="964"/>
      <c r="AR495" s="61"/>
      <c r="AT495" s="964"/>
      <c r="AU495" s="964"/>
      <c r="AV495" s="964"/>
      <c r="AW495" s="61"/>
      <c r="AY495" s="964"/>
      <c r="AZ495" s="964"/>
      <c r="BA495" s="964"/>
      <c r="BB495" s="61"/>
      <c r="BD495" s="964"/>
      <c r="BE495" s="964"/>
      <c r="BF495" s="61"/>
      <c r="BG495" s="61"/>
      <c r="BH495" s="61"/>
      <c r="BI495" s="506"/>
      <c r="BJ495" s="506"/>
      <c r="BK495" s="506"/>
      <c r="BL495" s="506"/>
      <c r="BM495" s="506"/>
      <c r="BN495" s="506"/>
      <c r="BO495" s="506"/>
      <c r="BP495" s="506"/>
    </row>
    <row r="496" spans="4:68" hidden="1">
      <c r="D496" t="s">
        <v>760</v>
      </c>
      <c r="E496" s="186" t="s">
        <v>761</v>
      </c>
      <c r="G496" s="62"/>
      <c r="H496" s="62"/>
      <c r="I496" s="62"/>
      <c r="J496" s="62"/>
      <c r="K496" s="62"/>
      <c r="L496" s="62"/>
      <c r="M496" s="61"/>
      <c r="N496" s="62"/>
      <c r="O496" s="61"/>
      <c r="P496" s="62"/>
      <c r="Q496" s="61"/>
      <c r="R496" s="62"/>
      <c r="S496" s="936"/>
      <c r="T496" s="61"/>
      <c r="V496" s="968"/>
      <c r="W496" s="968"/>
      <c r="X496" s="186"/>
      <c r="Y496" s="61"/>
      <c r="Z496" s="61"/>
      <c r="AA496" s="61"/>
      <c r="AB496" s="964"/>
      <c r="AC496" s="61"/>
      <c r="AE496" s="964"/>
      <c r="AF496" s="964"/>
      <c r="AG496" s="964"/>
      <c r="AH496" s="61"/>
      <c r="AJ496" s="964"/>
      <c r="AK496" s="964"/>
      <c r="AL496" s="964"/>
      <c r="AM496" s="61"/>
      <c r="AO496" s="964"/>
      <c r="AP496" s="964"/>
      <c r="AQ496" s="964"/>
      <c r="AR496" s="61"/>
      <c r="AT496" s="964"/>
      <c r="AU496" s="964"/>
      <c r="AV496" s="964"/>
      <c r="AW496" s="61"/>
      <c r="AY496" s="964"/>
      <c r="AZ496" s="964"/>
      <c r="BA496" s="964"/>
      <c r="BB496" s="61"/>
      <c r="BD496" s="964"/>
      <c r="BE496" s="964"/>
      <c r="BF496" s="61"/>
      <c r="BG496" s="61"/>
      <c r="BH496" s="61"/>
      <c r="BI496" s="506"/>
      <c r="BJ496" s="506"/>
      <c r="BK496" s="506"/>
      <c r="BL496" s="506"/>
      <c r="BM496" s="506"/>
      <c r="BN496" s="506"/>
      <c r="BO496" s="506"/>
      <c r="BP496" s="506"/>
    </row>
    <row r="497" spans="4:68" hidden="1">
      <c r="D497" t="s">
        <v>762</v>
      </c>
      <c r="E497" s="186" t="s">
        <v>763</v>
      </c>
      <c r="G497" s="62"/>
      <c r="H497" s="62"/>
      <c r="I497" s="62"/>
      <c r="J497" s="62"/>
      <c r="K497" s="62"/>
      <c r="L497" s="62"/>
      <c r="M497" s="61"/>
      <c r="N497" s="62"/>
      <c r="O497" s="61"/>
      <c r="P497" s="62"/>
      <c r="Q497" s="61"/>
      <c r="R497" s="62"/>
      <c r="S497" s="936"/>
      <c r="T497" s="61"/>
      <c r="V497" s="968"/>
      <c r="W497" s="968"/>
      <c r="X497" s="186"/>
      <c r="Y497" s="61"/>
      <c r="Z497" s="61"/>
      <c r="AA497" s="61"/>
      <c r="AB497" s="964"/>
      <c r="AC497" s="61"/>
      <c r="AE497" s="964"/>
      <c r="AF497" s="964"/>
      <c r="AG497" s="964"/>
      <c r="AH497" s="61"/>
      <c r="AJ497" s="964"/>
      <c r="AK497" s="964"/>
      <c r="AL497" s="964"/>
      <c r="AM497" s="61"/>
      <c r="AO497" s="964"/>
      <c r="AP497" s="964"/>
      <c r="AQ497" s="964"/>
      <c r="AR497" s="61"/>
      <c r="AT497" s="964"/>
      <c r="AU497" s="964"/>
      <c r="AV497" s="964"/>
      <c r="AW497" s="61"/>
      <c r="AY497" s="964"/>
      <c r="AZ497" s="964"/>
      <c r="BA497" s="964"/>
      <c r="BB497" s="61"/>
      <c r="BD497" s="964"/>
      <c r="BE497" s="964"/>
      <c r="BF497" s="61"/>
      <c r="BG497" s="61"/>
      <c r="BH497" s="61"/>
      <c r="BI497" s="506"/>
      <c r="BJ497" s="506"/>
      <c r="BK497" s="506"/>
      <c r="BL497" s="506"/>
      <c r="BM497" s="506"/>
      <c r="BN497" s="506"/>
      <c r="BO497" s="506"/>
      <c r="BP497" s="506"/>
    </row>
    <row r="498" spans="4:68" hidden="1">
      <c r="D498" t="s">
        <v>764</v>
      </c>
      <c r="E498" s="186" t="s">
        <v>765</v>
      </c>
      <c r="G498" s="62"/>
      <c r="H498" s="62"/>
      <c r="I498" s="62"/>
      <c r="J498" s="62"/>
      <c r="K498" s="62"/>
      <c r="L498" s="62"/>
      <c r="M498" s="61"/>
      <c r="N498" s="62"/>
      <c r="O498" s="61"/>
      <c r="P498" s="62"/>
      <c r="Q498" s="61"/>
      <c r="R498" s="62"/>
      <c r="S498" s="936"/>
      <c r="T498" s="61"/>
      <c r="V498" s="968"/>
      <c r="W498" s="968"/>
      <c r="X498" s="186"/>
      <c r="Y498" s="61"/>
      <c r="Z498" s="61"/>
      <c r="AA498" s="61"/>
      <c r="AB498" s="964"/>
      <c r="AC498" s="61"/>
      <c r="AE498" s="964"/>
      <c r="AF498" s="964"/>
      <c r="AG498" s="964"/>
      <c r="AH498" s="61"/>
      <c r="AJ498" s="964"/>
      <c r="AK498" s="964"/>
      <c r="AL498" s="964"/>
      <c r="AM498" s="61"/>
      <c r="AO498" s="964"/>
      <c r="AP498" s="964"/>
      <c r="AQ498" s="964"/>
      <c r="AR498" s="61"/>
      <c r="AT498" s="964"/>
      <c r="AU498" s="964"/>
      <c r="AV498" s="964"/>
      <c r="AW498" s="61"/>
      <c r="AY498" s="964"/>
      <c r="AZ498" s="964"/>
      <c r="BA498" s="964"/>
      <c r="BB498" s="61"/>
      <c r="BD498" s="964"/>
      <c r="BE498" s="964"/>
      <c r="BF498" s="61"/>
      <c r="BG498" s="61"/>
      <c r="BH498" s="61"/>
      <c r="BI498" s="506"/>
      <c r="BJ498" s="506"/>
      <c r="BK498" s="506"/>
      <c r="BL498" s="506"/>
      <c r="BM498" s="506"/>
      <c r="BN498" s="506"/>
      <c r="BO498" s="506"/>
      <c r="BP498" s="506"/>
    </row>
    <row r="499" spans="4:68" hidden="1">
      <c r="D499" t="s">
        <v>766</v>
      </c>
      <c r="E499" s="186" t="s">
        <v>767</v>
      </c>
      <c r="G499" s="62"/>
      <c r="H499" s="62"/>
      <c r="I499" s="62"/>
      <c r="J499" s="62"/>
      <c r="K499" s="62"/>
      <c r="L499" s="62"/>
      <c r="M499" s="61"/>
      <c r="N499" s="62"/>
      <c r="O499" s="61"/>
      <c r="P499" s="62"/>
      <c r="Q499" s="61"/>
      <c r="R499" s="62"/>
      <c r="S499" s="936"/>
      <c r="T499" s="61"/>
      <c r="V499" s="968"/>
      <c r="W499" s="968"/>
      <c r="X499" s="186"/>
      <c r="Y499" s="61"/>
      <c r="Z499" s="61"/>
      <c r="AA499" s="61"/>
      <c r="AB499" s="964"/>
      <c r="AC499" s="61"/>
      <c r="AE499" s="964"/>
      <c r="AF499" s="964"/>
      <c r="AG499" s="964"/>
      <c r="AH499" s="61"/>
      <c r="AJ499" s="964"/>
      <c r="AK499" s="964"/>
      <c r="AL499" s="964"/>
      <c r="AM499" s="61"/>
      <c r="AO499" s="964"/>
      <c r="AP499" s="964"/>
      <c r="AQ499" s="964"/>
      <c r="AR499" s="61"/>
      <c r="AT499" s="964"/>
      <c r="AU499" s="964"/>
      <c r="AV499" s="964"/>
      <c r="AW499" s="61"/>
      <c r="AY499" s="964"/>
      <c r="AZ499" s="964"/>
      <c r="BA499" s="964"/>
      <c r="BB499" s="61"/>
      <c r="BD499" s="964"/>
      <c r="BE499" s="964"/>
      <c r="BF499" s="61"/>
      <c r="BG499" s="61"/>
      <c r="BH499" s="61"/>
      <c r="BI499" s="506"/>
      <c r="BJ499" s="506"/>
      <c r="BK499" s="506"/>
      <c r="BL499" s="506"/>
      <c r="BM499" s="506"/>
      <c r="BN499" s="506"/>
      <c r="BO499" s="506"/>
      <c r="BP499" s="506"/>
    </row>
    <row r="500" spans="4:68" hidden="1">
      <c r="D500" t="s">
        <v>768</v>
      </c>
      <c r="E500" s="186" t="s">
        <v>769</v>
      </c>
      <c r="G500" s="62"/>
      <c r="H500" s="62"/>
      <c r="I500" s="62"/>
      <c r="J500" s="62"/>
      <c r="K500" s="62"/>
      <c r="L500" s="62"/>
      <c r="M500" s="61"/>
      <c r="N500" s="62"/>
      <c r="O500" s="61"/>
      <c r="P500" s="62"/>
      <c r="Q500" s="61"/>
      <c r="R500" s="62"/>
      <c r="S500" s="936"/>
      <c r="T500" s="61"/>
      <c r="V500" s="968"/>
      <c r="W500" s="968"/>
      <c r="X500" s="186"/>
      <c r="Y500" s="61"/>
      <c r="Z500" s="61"/>
      <c r="AA500" s="61"/>
      <c r="AB500" s="964"/>
      <c r="AC500" s="61"/>
      <c r="AE500" s="964"/>
      <c r="AF500" s="964"/>
      <c r="AG500" s="964"/>
      <c r="AH500" s="61"/>
      <c r="AJ500" s="964"/>
      <c r="AK500" s="964"/>
      <c r="AL500" s="964"/>
      <c r="AM500" s="61"/>
      <c r="AO500" s="964"/>
      <c r="AP500" s="964"/>
      <c r="AQ500" s="964"/>
      <c r="AR500" s="61"/>
      <c r="AT500" s="964"/>
      <c r="AU500" s="964"/>
      <c r="AV500" s="964"/>
      <c r="AW500" s="61"/>
      <c r="AY500" s="964"/>
      <c r="AZ500" s="964"/>
      <c r="BA500" s="964"/>
      <c r="BB500" s="61"/>
      <c r="BD500" s="964"/>
      <c r="BE500" s="964"/>
      <c r="BF500" s="61"/>
      <c r="BG500" s="61"/>
      <c r="BH500" s="61"/>
      <c r="BI500" s="506"/>
      <c r="BJ500" s="506"/>
      <c r="BK500" s="506"/>
      <c r="BL500" s="506"/>
      <c r="BM500" s="506"/>
      <c r="BN500" s="506"/>
      <c r="BO500" s="506"/>
      <c r="BP500" s="506"/>
    </row>
    <row r="501" spans="4:68" hidden="1">
      <c r="E501" s="186" t="s">
        <v>634</v>
      </c>
      <c r="G501" s="62"/>
      <c r="H501" s="62"/>
      <c r="I501" s="62"/>
      <c r="J501" s="62"/>
      <c r="K501" s="62"/>
      <c r="L501" s="62"/>
      <c r="M501" s="534">
        <f>SUM(M494:M500)</f>
        <v>0</v>
      </c>
      <c r="N501" s="62"/>
      <c r="O501" s="534">
        <f>SUM(O494:O500)</f>
        <v>0</v>
      </c>
      <c r="P501" s="62"/>
      <c r="Q501" s="534">
        <f>SUM(Q494:Q500)</f>
        <v>0</v>
      </c>
      <c r="R501" s="62"/>
      <c r="S501" s="936"/>
      <c r="T501" s="534">
        <f>SUM(T494:T500)</f>
        <v>0</v>
      </c>
      <c r="U501" s="1071"/>
      <c r="V501" s="968"/>
      <c r="W501" s="968"/>
      <c r="X501" s="186"/>
      <c r="Y501" s="534">
        <f>SUM(Y494:Y500)</f>
        <v>0</v>
      </c>
      <c r="Z501" s="61"/>
      <c r="AA501" s="61"/>
      <c r="AB501" s="964"/>
      <c r="AC501" s="534">
        <f>SUM(AC494:AC500)</f>
        <v>0</v>
      </c>
      <c r="AD501" s="1071"/>
      <c r="AE501" s="964"/>
      <c r="AF501" s="964"/>
      <c r="AG501" s="964"/>
      <c r="AH501" s="534">
        <f>SUM(AH494:AH500)</f>
        <v>0</v>
      </c>
      <c r="AI501" s="1071"/>
      <c r="AJ501" s="964"/>
      <c r="AK501" s="964"/>
      <c r="AL501" s="964"/>
      <c r="AM501" s="534">
        <f>SUM(AM494:AM500)</f>
        <v>0</v>
      </c>
      <c r="AN501" s="1071"/>
      <c r="AO501" s="964"/>
      <c r="AP501" s="964"/>
      <c r="AQ501" s="964"/>
      <c r="AR501" s="534">
        <f>SUM(AR494:AR500)</f>
        <v>0</v>
      </c>
      <c r="AS501" s="1071"/>
      <c r="AT501" s="964"/>
      <c r="AU501" s="964"/>
      <c r="AV501" s="964"/>
      <c r="AW501" s="534">
        <f>SUM(AW494:AW500)</f>
        <v>0</v>
      </c>
      <c r="AX501" s="1071"/>
      <c r="AY501" s="964"/>
      <c r="AZ501" s="964"/>
      <c r="BA501" s="964"/>
      <c r="BB501" s="534">
        <f>SUM(BB494:BB500)</f>
        <v>0</v>
      </c>
      <c r="BC501" s="1071"/>
      <c r="BD501" s="964"/>
      <c r="BE501" s="964"/>
      <c r="BF501" s="61"/>
      <c r="BG501" s="61"/>
      <c r="BH501" s="61"/>
      <c r="BI501" s="506"/>
      <c r="BJ501" s="506"/>
      <c r="BK501" s="506"/>
      <c r="BL501" s="506"/>
      <c r="BM501" s="506"/>
      <c r="BN501" s="506"/>
      <c r="BO501" s="506"/>
      <c r="BP501" s="506"/>
    </row>
    <row r="502" spans="4:68" hidden="1">
      <c r="E502" s="186"/>
      <c r="G502" s="62"/>
      <c r="H502" s="62"/>
      <c r="I502" s="62"/>
      <c r="J502" s="62"/>
      <c r="K502" s="62"/>
      <c r="L502" s="62"/>
      <c r="M502" s="61"/>
      <c r="N502" s="62"/>
      <c r="O502" s="61"/>
      <c r="P502" s="62"/>
      <c r="Q502" s="61"/>
      <c r="R502" s="62"/>
      <c r="S502" s="936"/>
      <c r="T502" s="61"/>
      <c r="V502" s="968"/>
      <c r="W502" s="968"/>
      <c r="X502" s="186"/>
      <c r="Y502" s="61"/>
      <c r="Z502" s="61"/>
      <c r="AA502" s="61"/>
      <c r="AB502" s="964"/>
      <c r="AC502" s="61"/>
      <c r="AE502" s="964"/>
      <c r="AF502" s="964"/>
      <c r="AG502" s="964"/>
      <c r="AH502" s="61"/>
      <c r="AJ502" s="964"/>
      <c r="AK502" s="964"/>
      <c r="AL502" s="964"/>
      <c r="AM502" s="61"/>
      <c r="AO502" s="964"/>
      <c r="AP502" s="964"/>
      <c r="AQ502" s="964"/>
      <c r="AR502" s="61"/>
      <c r="AT502" s="964"/>
      <c r="AU502" s="964"/>
      <c r="AV502" s="964"/>
      <c r="AW502" s="61"/>
      <c r="AY502" s="964"/>
      <c r="AZ502" s="964"/>
      <c r="BA502" s="964"/>
      <c r="BB502" s="61"/>
      <c r="BD502" s="964"/>
      <c r="BE502" s="964"/>
      <c r="BF502" s="61"/>
      <c r="BG502" s="61"/>
      <c r="BH502" s="61"/>
      <c r="BI502" s="506"/>
      <c r="BJ502" s="506"/>
      <c r="BK502" s="506"/>
      <c r="BL502" s="506"/>
      <c r="BM502" s="506"/>
      <c r="BN502" s="506"/>
      <c r="BO502" s="506"/>
      <c r="BP502" s="506"/>
    </row>
    <row r="503" spans="4:68" hidden="1">
      <c r="E503" s="254" t="s">
        <v>771</v>
      </c>
      <c r="G503" s="62"/>
      <c r="H503" s="62"/>
      <c r="I503" s="62"/>
      <c r="J503" s="62"/>
      <c r="K503" s="62"/>
      <c r="L503" s="62"/>
      <c r="M503" s="61"/>
      <c r="N503" s="62"/>
      <c r="O503" s="61"/>
      <c r="P503" s="62"/>
      <c r="Q503" s="61"/>
      <c r="R503" s="62"/>
      <c r="S503" s="936"/>
      <c r="T503" s="61"/>
      <c r="V503" s="968"/>
      <c r="W503" s="968"/>
      <c r="X503" s="186"/>
      <c r="Y503" s="61"/>
      <c r="Z503" s="61"/>
      <c r="AA503" s="61"/>
      <c r="AB503" s="964"/>
      <c r="AC503" s="61"/>
      <c r="AE503" s="964"/>
      <c r="AF503" s="964"/>
      <c r="AG503" s="964"/>
      <c r="AH503" s="61"/>
      <c r="AJ503" s="964"/>
      <c r="AK503" s="964"/>
      <c r="AL503" s="964"/>
      <c r="AM503" s="61"/>
      <c r="AO503" s="964"/>
      <c r="AP503" s="964"/>
      <c r="AQ503" s="964"/>
      <c r="AR503" s="61"/>
      <c r="AT503" s="964"/>
      <c r="AU503" s="964"/>
      <c r="AV503" s="964"/>
      <c r="AW503" s="61"/>
      <c r="AY503" s="964"/>
      <c r="AZ503" s="964"/>
      <c r="BA503" s="964"/>
      <c r="BB503" s="61"/>
      <c r="BD503" s="964"/>
      <c r="BE503" s="964"/>
      <c r="BF503" s="61"/>
      <c r="BG503" s="61"/>
      <c r="BH503" s="61"/>
      <c r="BI503" s="506"/>
      <c r="BJ503" s="506"/>
      <c r="BK503" s="506"/>
      <c r="BL503" s="506"/>
      <c r="BM503" s="506"/>
      <c r="BN503" s="506"/>
      <c r="BO503" s="506"/>
      <c r="BP503" s="506"/>
    </row>
    <row r="504" spans="4:68" hidden="1">
      <c r="D504" t="s">
        <v>772</v>
      </c>
      <c r="E504" s="186" t="s">
        <v>1125</v>
      </c>
      <c r="G504" s="62"/>
      <c r="H504" s="62"/>
      <c r="I504" s="62"/>
      <c r="J504" s="62"/>
      <c r="K504" s="62"/>
      <c r="L504" s="62"/>
      <c r="M504" s="61"/>
      <c r="N504" s="62"/>
      <c r="O504" s="61"/>
      <c r="P504" s="62"/>
      <c r="Q504" s="61"/>
      <c r="R504" s="62"/>
      <c r="S504" s="936"/>
      <c r="T504" s="61"/>
      <c r="V504" s="968"/>
      <c r="W504" s="968"/>
      <c r="X504" s="186"/>
      <c r="Y504" s="61"/>
      <c r="Z504" s="61"/>
      <c r="AA504" s="61"/>
      <c r="AB504" s="964"/>
      <c r="AC504" s="61"/>
      <c r="AE504" s="964"/>
      <c r="AF504" s="964"/>
      <c r="AG504" s="964"/>
      <c r="AH504" s="61"/>
      <c r="AJ504" s="964"/>
      <c r="AK504" s="964"/>
      <c r="AL504" s="964"/>
      <c r="AM504" s="61"/>
      <c r="AO504" s="964"/>
      <c r="AP504" s="964"/>
      <c r="AQ504" s="964"/>
      <c r="AR504" s="61"/>
      <c r="AT504" s="964"/>
      <c r="AU504" s="964"/>
      <c r="AV504" s="964"/>
      <c r="AW504" s="61"/>
      <c r="AY504" s="964"/>
      <c r="AZ504" s="964"/>
      <c r="BA504" s="964"/>
      <c r="BB504" s="61"/>
      <c r="BD504" s="964"/>
      <c r="BE504" s="964"/>
      <c r="BF504" s="61"/>
      <c r="BG504" s="61"/>
      <c r="BH504" s="61"/>
      <c r="BI504" s="506"/>
      <c r="BJ504" s="506"/>
      <c r="BK504" s="506"/>
      <c r="BL504" s="506"/>
      <c r="BM504" s="506"/>
      <c r="BN504" s="506"/>
      <c r="BO504" s="506"/>
      <c r="BP504" s="506"/>
    </row>
    <row r="505" spans="4:68" hidden="1">
      <c r="D505" t="s">
        <v>773</v>
      </c>
      <c r="E505" s="186" t="s">
        <v>1126</v>
      </c>
      <c r="G505" s="62"/>
      <c r="H505" s="62"/>
      <c r="I505" s="62"/>
      <c r="J505" s="62"/>
      <c r="K505" s="62"/>
      <c r="L505" s="62"/>
      <c r="M505" s="61"/>
      <c r="N505" s="62"/>
      <c r="O505" s="61"/>
      <c r="P505" s="62"/>
      <c r="Q505" s="61"/>
      <c r="R505" s="62"/>
      <c r="S505" s="936"/>
      <c r="T505" s="61"/>
      <c r="V505" s="968"/>
      <c r="W505" s="968"/>
      <c r="X505" s="186"/>
      <c r="Y505" s="61"/>
      <c r="Z505" s="61"/>
      <c r="AA505" s="61"/>
      <c r="AB505" s="964"/>
      <c r="AC505" s="61"/>
      <c r="AE505" s="964"/>
      <c r="AF505" s="964"/>
      <c r="AG505" s="964"/>
      <c r="AH505" s="61"/>
      <c r="AJ505" s="964"/>
      <c r="AK505" s="964"/>
      <c r="AL505" s="964"/>
      <c r="AM505" s="61"/>
      <c r="AO505" s="964"/>
      <c r="AP505" s="964"/>
      <c r="AQ505" s="964"/>
      <c r="AR505" s="61"/>
      <c r="AT505" s="964"/>
      <c r="AU505" s="964"/>
      <c r="AV505" s="964"/>
      <c r="AW505" s="61"/>
      <c r="AY505" s="964"/>
      <c r="AZ505" s="964"/>
      <c r="BA505" s="964"/>
      <c r="BB505" s="61"/>
      <c r="BD505" s="964"/>
      <c r="BE505" s="964"/>
      <c r="BF505" s="61"/>
      <c r="BG505" s="61"/>
      <c r="BH505" s="61"/>
      <c r="BI505" s="506"/>
      <c r="BJ505" s="506"/>
      <c r="BK505" s="506"/>
      <c r="BL505" s="506"/>
      <c r="BM505" s="506"/>
      <c r="BN505" s="506"/>
      <c r="BO505" s="506"/>
      <c r="BP505" s="506"/>
    </row>
    <row r="506" spans="4:68" hidden="1">
      <c r="D506" t="s">
        <v>774</v>
      </c>
      <c r="E506" s="186" t="s">
        <v>1127</v>
      </c>
      <c r="G506" s="62"/>
      <c r="H506" s="62"/>
      <c r="I506" s="62"/>
      <c r="J506" s="62"/>
      <c r="K506" s="62"/>
      <c r="L506" s="62"/>
      <c r="M506" s="61"/>
      <c r="N506" s="62"/>
      <c r="O506" s="61"/>
      <c r="P506" s="62"/>
      <c r="Q506" s="61"/>
      <c r="R506" s="62"/>
      <c r="S506" s="936"/>
      <c r="T506" s="61"/>
      <c r="V506" s="968"/>
      <c r="W506" s="968"/>
      <c r="X506" s="186"/>
      <c r="Y506" s="61"/>
      <c r="Z506" s="61"/>
      <c r="AA506" s="61"/>
      <c r="AB506" s="964"/>
      <c r="AC506" s="61"/>
      <c r="AE506" s="964"/>
      <c r="AF506" s="964"/>
      <c r="AG506" s="964"/>
      <c r="AH506" s="61"/>
      <c r="AJ506" s="964"/>
      <c r="AK506" s="964"/>
      <c r="AL506" s="964"/>
      <c r="AM506" s="61"/>
      <c r="AO506" s="964"/>
      <c r="AP506" s="964"/>
      <c r="AQ506" s="964"/>
      <c r="AR506" s="61"/>
      <c r="AT506" s="964"/>
      <c r="AU506" s="964"/>
      <c r="AV506" s="964"/>
      <c r="AW506" s="61"/>
      <c r="AY506" s="964"/>
      <c r="AZ506" s="964"/>
      <c r="BA506" s="964"/>
      <c r="BB506" s="61"/>
      <c r="BD506" s="964"/>
      <c r="BE506" s="964"/>
      <c r="BF506" s="61"/>
      <c r="BG506" s="61"/>
      <c r="BH506" s="61"/>
      <c r="BI506" s="506"/>
      <c r="BJ506" s="506"/>
      <c r="BK506" s="506"/>
      <c r="BL506" s="506"/>
      <c r="BM506" s="506"/>
      <c r="BN506" s="506"/>
      <c r="BO506" s="506"/>
      <c r="BP506" s="506"/>
    </row>
    <row r="507" spans="4:68" hidden="1">
      <c r="D507" t="s">
        <v>775</v>
      </c>
      <c r="E507" s="186" t="s">
        <v>1128</v>
      </c>
      <c r="G507" s="62"/>
      <c r="H507" s="62"/>
      <c r="I507" s="62"/>
      <c r="J507" s="62"/>
      <c r="K507" s="62"/>
      <c r="L507" s="62"/>
      <c r="M507" s="61"/>
      <c r="N507" s="62"/>
      <c r="O507" s="61"/>
      <c r="P507" s="62"/>
      <c r="Q507" s="61"/>
      <c r="R507" s="62"/>
      <c r="S507" s="936"/>
      <c r="T507" s="61"/>
      <c r="V507" s="968"/>
      <c r="W507" s="968"/>
      <c r="X507" s="186"/>
      <c r="Y507" s="61"/>
      <c r="Z507" s="61"/>
      <c r="AA507" s="61"/>
      <c r="AB507" s="964"/>
      <c r="AC507" s="61"/>
      <c r="AE507" s="964"/>
      <c r="AF507" s="964"/>
      <c r="AG507" s="964"/>
      <c r="AH507" s="61"/>
      <c r="AJ507" s="964"/>
      <c r="AK507" s="964"/>
      <c r="AL507" s="964"/>
      <c r="AM507" s="61"/>
      <c r="AO507" s="964"/>
      <c r="AP507" s="964"/>
      <c r="AQ507" s="964"/>
      <c r="AR507" s="61"/>
      <c r="AT507" s="964"/>
      <c r="AU507" s="964"/>
      <c r="AV507" s="964"/>
      <c r="AW507" s="61"/>
      <c r="AY507" s="964"/>
      <c r="AZ507" s="964"/>
      <c r="BA507" s="964"/>
      <c r="BB507" s="61"/>
      <c r="BD507" s="964"/>
      <c r="BE507" s="964"/>
      <c r="BF507" s="61"/>
      <c r="BG507" s="61"/>
      <c r="BH507" s="61"/>
      <c r="BI507" s="506"/>
      <c r="BJ507" s="506"/>
      <c r="BK507" s="506"/>
      <c r="BL507" s="506"/>
      <c r="BM507" s="506"/>
      <c r="BN507" s="506"/>
      <c r="BO507" s="506"/>
      <c r="BP507" s="506"/>
    </row>
    <row r="508" spans="4:68" hidden="1">
      <c r="D508" t="s">
        <v>776</v>
      </c>
      <c r="E508" s="186" t="s">
        <v>1129</v>
      </c>
      <c r="G508" s="62"/>
      <c r="H508" s="62"/>
      <c r="I508" s="62"/>
      <c r="J508" s="62"/>
      <c r="K508" s="62"/>
      <c r="L508" s="62"/>
      <c r="M508" s="61"/>
      <c r="N508" s="62"/>
      <c r="O508" s="61"/>
      <c r="P508" s="62"/>
      <c r="Q508" s="61"/>
      <c r="R508" s="62"/>
      <c r="S508" s="936"/>
      <c r="T508" s="61"/>
      <c r="V508" s="968"/>
      <c r="W508" s="968"/>
      <c r="X508" s="186"/>
      <c r="Y508" s="61"/>
      <c r="Z508" s="61"/>
      <c r="AA508" s="61"/>
      <c r="AB508" s="964"/>
      <c r="AC508" s="61"/>
      <c r="AE508" s="964"/>
      <c r="AF508" s="964"/>
      <c r="AG508" s="964"/>
      <c r="AH508" s="61"/>
      <c r="AJ508" s="964"/>
      <c r="AK508" s="964"/>
      <c r="AL508" s="964"/>
      <c r="AM508" s="61"/>
      <c r="AO508" s="964"/>
      <c r="AP508" s="964"/>
      <c r="AQ508" s="964"/>
      <c r="AR508" s="61"/>
      <c r="AT508" s="964"/>
      <c r="AU508" s="964"/>
      <c r="AV508" s="964"/>
      <c r="AW508" s="61"/>
      <c r="AY508" s="964"/>
      <c r="AZ508" s="964"/>
      <c r="BA508" s="964"/>
      <c r="BB508" s="61"/>
      <c r="BD508" s="964"/>
      <c r="BE508" s="964"/>
      <c r="BF508" s="61"/>
      <c r="BG508" s="61"/>
      <c r="BH508" s="61"/>
      <c r="BI508" s="506"/>
      <c r="BJ508" s="506"/>
      <c r="BK508" s="506"/>
      <c r="BL508" s="506"/>
      <c r="BM508" s="506"/>
      <c r="BN508" s="506"/>
      <c r="BO508" s="506"/>
      <c r="BP508" s="506"/>
    </row>
    <row r="509" spans="4:68" hidden="1">
      <c r="D509" t="s">
        <v>777</v>
      </c>
      <c r="E509" s="186" t="s">
        <v>778</v>
      </c>
      <c r="G509" s="62"/>
      <c r="H509" s="62"/>
      <c r="I509" s="62"/>
      <c r="J509" s="62"/>
      <c r="K509" s="62"/>
      <c r="L509" s="62"/>
      <c r="M509" s="61"/>
      <c r="N509" s="62"/>
      <c r="O509" s="61"/>
      <c r="P509" s="62"/>
      <c r="Q509" s="61"/>
      <c r="R509" s="62"/>
      <c r="S509" s="936"/>
      <c r="T509" s="61"/>
      <c r="V509" s="968"/>
      <c r="W509" s="968"/>
      <c r="X509" s="186"/>
      <c r="Y509" s="61"/>
      <c r="Z509" s="61"/>
      <c r="AA509" s="61"/>
      <c r="AB509" s="964"/>
      <c r="AC509" s="61"/>
      <c r="AE509" s="964"/>
      <c r="AF509" s="964"/>
      <c r="AG509" s="964"/>
      <c r="AH509" s="61"/>
      <c r="AJ509" s="964"/>
      <c r="AK509" s="964"/>
      <c r="AL509" s="964"/>
      <c r="AM509" s="61"/>
      <c r="AO509" s="964"/>
      <c r="AP509" s="964"/>
      <c r="AQ509" s="964"/>
      <c r="AR509" s="61"/>
      <c r="AT509" s="964"/>
      <c r="AU509" s="964"/>
      <c r="AV509" s="964"/>
      <c r="AW509" s="61"/>
      <c r="AY509" s="964"/>
      <c r="AZ509" s="964"/>
      <c r="BA509" s="964"/>
      <c r="BB509" s="61"/>
      <c r="BD509" s="964"/>
      <c r="BE509" s="964"/>
      <c r="BF509" s="61"/>
      <c r="BG509" s="61"/>
      <c r="BH509" s="61"/>
      <c r="BI509" s="506"/>
      <c r="BJ509" s="506"/>
      <c r="BK509" s="506"/>
      <c r="BL509" s="506"/>
      <c r="BM509" s="506"/>
      <c r="BN509" s="506"/>
      <c r="BO509" s="506"/>
      <c r="BP509" s="506"/>
    </row>
    <row r="510" spans="4:68" hidden="1">
      <c r="D510" t="s">
        <v>779</v>
      </c>
      <c r="E510" s="186" t="s">
        <v>780</v>
      </c>
      <c r="G510" s="62"/>
      <c r="H510" s="62"/>
      <c r="I510" s="62"/>
      <c r="J510" s="62"/>
      <c r="K510" s="62"/>
      <c r="L510" s="62"/>
      <c r="M510" s="61"/>
      <c r="N510" s="62"/>
      <c r="O510" s="61"/>
      <c r="P510" s="62"/>
      <c r="Q510" s="61"/>
      <c r="R510" s="62"/>
      <c r="S510" s="936"/>
      <c r="T510" s="61"/>
      <c r="V510" s="968"/>
      <c r="W510" s="968"/>
      <c r="X510" s="186"/>
      <c r="Y510" s="61"/>
      <c r="Z510" s="61"/>
      <c r="AA510" s="61"/>
      <c r="AB510" s="964"/>
      <c r="AC510" s="61"/>
      <c r="AE510" s="964"/>
      <c r="AF510" s="964"/>
      <c r="AG510" s="964"/>
      <c r="AH510" s="61"/>
      <c r="AJ510" s="964"/>
      <c r="AK510" s="964"/>
      <c r="AL510" s="964"/>
      <c r="AM510" s="61"/>
      <c r="AO510" s="964"/>
      <c r="AP510" s="964"/>
      <c r="AQ510" s="964"/>
      <c r="AR510" s="61"/>
      <c r="AT510" s="964"/>
      <c r="AU510" s="964"/>
      <c r="AV510" s="964"/>
      <c r="AW510" s="61"/>
      <c r="AY510" s="964"/>
      <c r="AZ510" s="964"/>
      <c r="BA510" s="964"/>
      <c r="BB510" s="61"/>
      <c r="BD510" s="964"/>
      <c r="BE510" s="964"/>
      <c r="BF510" s="61"/>
      <c r="BG510" s="61"/>
      <c r="BH510" s="61"/>
      <c r="BI510" s="506"/>
      <c r="BJ510" s="506"/>
      <c r="BK510" s="506"/>
      <c r="BL510" s="506"/>
      <c r="BM510" s="506"/>
      <c r="BN510" s="506"/>
      <c r="BO510" s="506"/>
      <c r="BP510" s="506"/>
    </row>
    <row r="511" spans="4:68" hidden="1">
      <c r="E511" s="186" t="s">
        <v>634</v>
      </c>
      <c r="G511" s="62"/>
      <c r="H511" s="62"/>
      <c r="I511" s="62"/>
      <c r="J511" s="62"/>
      <c r="K511" s="62"/>
      <c r="L511" s="62"/>
      <c r="M511" s="534">
        <f>SUM(M504:M510)</f>
        <v>0</v>
      </c>
      <c r="N511" s="62"/>
      <c r="O511" s="534">
        <f>SUM(O504:O510)</f>
        <v>0</v>
      </c>
      <c r="P511" s="62"/>
      <c r="Q511" s="534">
        <f>SUM(Q504:Q510)</f>
        <v>0</v>
      </c>
      <c r="R511" s="62"/>
      <c r="S511" s="936"/>
      <c r="T511" s="534">
        <f>SUM(T504:T510)</f>
        <v>0</v>
      </c>
      <c r="U511" s="1071"/>
      <c r="V511" s="968"/>
      <c r="W511" s="968"/>
      <c r="X511" s="186"/>
      <c r="Y511" s="534">
        <f>SUM(Y504:Y510)</f>
        <v>0</v>
      </c>
      <c r="Z511" s="61"/>
      <c r="AA511" s="61"/>
      <c r="AB511" s="964"/>
      <c r="AC511" s="534">
        <f>SUM(AC504:AC510)</f>
        <v>0</v>
      </c>
      <c r="AD511" s="1071"/>
      <c r="AE511" s="964"/>
      <c r="AF511" s="964"/>
      <c r="AG511" s="964"/>
      <c r="AH511" s="534">
        <f>SUM(AH504:AH510)</f>
        <v>0</v>
      </c>
      <c r="AI511" s="1071"/>
      <c r="AJ511" s="964"/>
      <c r="AK511" s="964"/>
      <c r="AL511" s="964"/>
      <c r="AM511" s="534">
        <f>SUM(AM504:AM510)</f>
        <v>0</v>
      </c>
      <c r="AN511" s="1071"/>
      <c r="AO511" s="964"/>
      <c r="AP511" s="964"/>
      <c r="AQ511" s="964"/>
      <c r="AR511" s="534">
        <f>SUM(AR504:AR510)</f>
        <v>0</v>
      </c>
      <c r="AS511" s="1071"/>
      <c r="AT511" s="964"/>
      <c r="AU511" s="964"/>
      <c r="AV511" s="964"/>
      <c r="AW511" s="534">
        <f>SUM(AW504:AW510)</f>
        <v>0</v>
      </c>
      <c r="AX511" s="1071"/>
      <c r="AY511" s="964"/>
      <c r="AZ511" s="964"/>
      <c r="BA511" s="964"/>
      <c r="BB511" s="534">
        <f>SUM(BB504:BB510)</f>
        <v>0</v>
      </c>
      <c r="BC511" s="1071"/>
      <c r="BD511" s="964"/>
      <c r="BE511" s="964"/>
      <c r="BF511" s="61"/>
      <c r="BG511" s="61"/>
      <c r="BH511" s="61"/>
      <c r="BI511" s="506"/>
      <c r="BJ511" s="506"/>
      <c r="BK511" s="506"/>
      <c r="BL511" s="506"/>
      <c r="BM511" s="506"/>
      <c r="BN511" s="506"/>
      <c r="BO511" s="506"/>
      <c r="BP511" s="506"/>
    </row>
    <row r="512" spans="4:68" hidden="1">
      <c r="E512" s="186"/>
      <c r="G512" s="62"/>
      <c r="H512" s="62"/>
      <c r="I512" s="62"/>
      <c r="J512" s="62"/>
      <c r="K512" s="62"/>
      <c r="L512" s="62"/>
      <c r="M512" s="61"/>
      <c r="N512" s="62"/>
      <c r="O512" s="61"/>
      <c r="P512" s="62"/>
      <c r="Q512" s="61"/>
      <c r="R512" s="62"/>
      <c r="S512" s="936"/>
      <c r="T512" s="61"/>
      <c r="V512" s="968"/>
      <c r="W512" s="968"/>
      <c r="X512" s="186"/>
      <c r="Y512" s="61"/>
      <c r="Z512" s="61"/>
      <c r="AA512" s="61"/>
      <c r="AB512" s="964"/>
      <c r="AC512" s="61"/>
      <c r="AE512" s="964"/>
      <c r="AF512" s="964"/>
      <c r="AG512" s="964"/>
      <c r="AH512" s="61"/>
      <c r="AJ512" s="964"/>
      <c r="AK512" s="964"/>
      <c r="AL512" s="964"/>
      <c r="AM512" s="61"/>
      <c r="AO512" s="964"/>
      <c r="AP512" s="964"/>
      <c r="AQ512" s="964"/>
      <c r="AR512" s="61"/>
      <c r="AT512" s="964"/>
      <c r="AU512" s="964"/>
      <c r="AV512" s="964"/>
      <c r="AW512" s="61"/>
      <c r="AY512" s="964"/>
      <c r="AZ512" s="964"/>
      <c r="BA512" s="964"/>
      <c r="BB512" s="61"/>
      <c r="BD512" s="964"/>
      <c r="BE512" s="964"/>
      <c r="BF512" s="61"/>
      <c r="BG512" s="61"/>
      <c r="BH512" s="61"/>
      <c r="BI512" s="506"/>
      <c r="BJ512" s="506"/>
      <c r="BK512" s="506"/>
      <c r="BL512" s="506"/>
      <c r="BM512" s="506"/>
      <c r="BN512" s="506"/>
      <c r="BO512" s="506"/>
      <c r="BP512" s="506"/>
    </row>
    <row r="513" spans="4:68" hidden="1">
      <c r="E513" s="186"/>
      <c r="G513" s="62"/>
      <c r="H513" s="62"/>
      <c r="I513" s="62"/>
      <c r="J513" s="62"/>
      <c r="K513" s="62"/>
      <c r="L513" s="62"/>
      <c r="M513" s="61"/>
      <c r="N513" s="62"/>
      <c r="O513" s="61"/>
      <c r="P513" s="62"/>
      <c r="Q513" s="61"/>
      <c r="R513" s="62"/>
      <c r="S513" s="936"/>
      <c r="T513" s="61"/>
      <c r="V513" s="968"/>
      <c r="W513" s="968"/>
      <c r="X513" s="186"/>
      <c r="Y513" s="61"/>
      <c r="Z513" s="61"/>
      <c r="AA513" s="61"/>
      <c r="AB513" s="964"/>
      <c r="AC513" s="61"/>
      <c r="AE513" s="964"/>
      <c r="AF513" s="964"/>
      <c r="AG513" s="964"/>
      <c r="AH513" s="61"/>
      <c r="AJ513" s="964"/>
      <c r="AK513" s="964"/>
      <c r="AL513" s="964"/>
      <c r="AM513" s="61"/>
      <c r="AO513" s="964"/>
      <c r="AP513" s="964"/>
      <c r="AQ513" s="964"/>
      <c r="AR513" s="61"/>
      <c r="AT513" s="964"/>
      <c r="AU513" s="964"/>
      <c r="AV513" s="964"/>
      <c r="AW513" s="61"/>
      <c r="AY513" s="964"/>
      <c r="AZ513" s="964"/>
      <c r="BA513" s="964"/>
      <c r="BB513" s="61"/>
      <c r="BD513" s="964"/>
      <c r="BE513" s="964"/>
      <c r="BF513" s="61"/>
      <c r="BG513" s="61"/>
      <c r="BH513" s="61"/>
      <c r="BI513" s="506"/>
      <c r="BJ513" s="506"/>
      <c r="BK513" s="506"/>
      <c r="BL513" s="506"/>
      <c r="BM513" s="506"/>
      <c r="BN513" s="506"/>
      <c r="BO513" s="506"/>
      <c r="BP513" s="506"/>
    </row>
    <row r="514" spans="4:68">
      <c r="D514" s="495"/>
      <c r="E514" s="820" t="s">
        <v>1130</v>
      </c>
      <c r="F514" s="495"/>
      <c r="G514" s="821"/>
      <c r="H514" s="821"/>
      <c r="I514" s="821"/>
      <c r="J514" s="821"/>
      <c r="K514" s="821"/>
      <c r="L514" s="821"/>
      <c r="M514" s="823"/>
      <c r="N514" s="821"/>
      <c r="O514" s="823"/>
      <c r="P514" s="821"/>
      <c r="Q514" s="823"/>
      <c r="R514" s="821"/>
      <c r="S514" s="948"/>
      <c r="T514" s="823"/>
      <c r="U514" s="821"/>
      <c r="V514" s="980"/>
      <c r="W514" s="980"/>
      <c r="X514" s="819"/>
      <c r="Y514" s="823"/>
      <c r="Z514" s="823"/>
      <c r="AA514" s="823"/>
      <c r="AB514" s="985"/>
      <c r="AC514" s="823"/>
      <c r="AD514" s="821"/>
      <c r="AE514" s="985"/>
      <c r="AF514" s="985"/>
      <c r="AG514" s="985"/>
      <c r="AH514" s="823"/>
      <c r="AI514" s="821"/>
      <c r="AJ514" s="985"/>
      <c r="AK514" s="985"/>
      <c r="AL514" s="985"/>
      <c r="AM514" s="823"/>
      <c r="AN514" s="821"/>
      <c r="AO514" s="985"/>
      <c r="AP514" s="985"/>
      <c r="AQ514" s="985"/>
      <c r="AR514" s="823"/>
      <c r="AS514" s="821"/>
      <c r="AT514" s="985"/>
      <c r="AU514" s="985"/>
      <c r="AV514" s="985"/>
      <c r="AW514" s="823"/>
      <c r="AX514" s="821"/>
      <c r="AY514" s="985"/>
      <c r="AZ514" s="985"/>
      <c r="BA514" s="985"/>
      <c r="BB514" s="823"/>
      <c r="BC514" s="821"/>
      <c r="BD514" s="985"/>
      <c r="BE514" s="985"/>
      <c r="BF514" s="61"/>
      <c r="BG514" s="61"/>
      <c r="BH514" s="61"/>
      <c r="BI514" s="506"/>
      <c r="BJ514" s="506"/>
      <c r="BK514" s="506"/>
      <c r="BL514" s="506"/>
      <c r="BM514" s="506"/>
      <c r="BN514" s="506"/>
      <c r="BO514" s="506"/>
      <c r="BP514" s="506"/>
    </row>
    <row r="515" spans="4:68" hidden="1">
      <c r="E515" s="186"/>
      <c r="G515" s="62"/>
      <c r="H515" s="62"/>
      <c r="I515" s="62"/>
      <c r="J515" s="62"/>
      <c r="K515" s="62"/>
      <c r="L515" s="62"/>
      <c r="M515" s="61"/>
      <c r="N515" s="62"/>
      <c r="O515" s="61"/>
      <c r="P515" s="62"/>
      <c r="Q515" s="61"/>
      <c r="R515" s="62"/>
      <c r="S515" s="936"/>
      <c r="T515" s="61"/>
      <c r="V515" s="968"/>
      <c r="W515" s="968"/>
      <c r="X515" s="186"/>
      <c r="Y515" s="61"/>
      <c r="Z515" s="61"/>
      <c r="AA515" s="61"/>
      <c r="AB515" s="964"/>
      <c r="AC515" s="61"/>
      <c r="AE515" s="964"/>
      <c r="AF515" s="964"/>
      <c r="AG515" s="964"/>
      <c r="AH515" s="61"/>
      <c r="AJ515" s="964"/>
      <c r="AK515" s="964"/>
      <c r="AL515" s="964"/>
      <c r="AM515" s="61"/>
      <c r="AO515" s="964"/>
      <c r="AP515" s="964"/>
      <c r="AQ515" s="964"/>
      <c r="AR515" s="61"/>
      <c r="AT515" s="964"/>
      <c r="AU515" s="964"/>
      <c r="AV515" s="964"/>
      <c r="AW515" s="61"/>
      <c r="AY515" s="964"/>
      <c r="AZ515" s="964"/>
      <c r="BA515" s="964"/>
      <c r="BB515" s="61"/>
      <c r="BD515" s="964"/>
      <c r="BE515" s="964"/>
      <c r="BF515" s="61"/>
      <c r="BG515" s="61"/>
      <c r="BH515" s="61"/>
      <c r="BI515" s="506"/>
      <c r="BJ515" s="506"/>
      <c r="BK515" s="506"/>
      <c r="BL515" s="506"/>
      <c r="BM515" s="506"/>
      <c r="BN515" s="506"/>
      <c r="BO515" s="506"/>
      <c r="BP515" s="506"/>
    </row>
    <row r="516" spans="4:68" hidden="1">
      <c r="E516" s="254" t="s">
        <v>721</v>
      </c>
      <c r="G516" s="62"/>
      <c r="H516" s="62"/>
      <c r="I516" s="62"/>
      <c r="J516" s="62"/>
      <c r="K516" s="62"/>
      <c r="L516" s="62"/>
      <c r="M516" s="61"/>
      <c r="N516" s="62"/>
      <c r="O516" s="61"/>
      <c r="P516" s="62"/>
      <c r="Q516" s="61"/>
      <c r="R516" s="62"/>
      <c r="S516" s="936"/>
      <c r="T516" s="61"/>
      <c r="V516" s="968"/>
      <c r="W516" s="968"/>
      <c r="X516" s="186"/>
      <c r="Y516" s="61"/>
      <c r="Z516" s="61"/>
      <c r="AA516" s="61"/>
      <c r="AB516" s="964"/>
      <c r="AC516" s="61"/>
      <c r="AE516" s="964"/>
      <c r="AF516" s="964"/>
      <c r="AG516" s="964"/>
      <c r="AH516" s="61"/>
      <c r="AJ516" s="964"/>
      <c r="AK516" s="964"/>
      <c r="AL516" s="964"/>
      <c r="AM516" s="61"/>
      <c r="AO516" s="964"/>
      <c r="AP516" s="964"/>
      <c r="AQ516" s="964"/>
      <c r="AR516" s="61"/>
      <c r="AT516" s="964"/>
      <c r="AU516" s="964"/>
      <c r="AV516" s="964"/>
      <c r="AW516" s="61"/>
      <c r="AY516" s="964"/>
      <c r="AZ516" s="964"/>
      <c r="BA516" s="964"/>
      <c r="BB516" s="61"/>
      <c r="BD516" s="964"/>
      <c r="BE516" s="964"/>
      <c r="BF516" s="61"/>
      <c r="BG516" s="61"/>
      <c r="BH516" s="61"/>
      <c r="BI516" s="506"/>
      <c r="BJ516" s="506"/>
      <c r="BK516" s="506"/>
      <c r="BL516" s="506"/>
      <c r="BM516" s="506"/>
      <c r="BN516" s="506"/>
      <c r="BO516" s="506"/>
      <c r="BP516" s="506"/>
    </row>
    <row r="517" spans="4:68" hidden="1">
      <c r="D517" t="s">
        <v>722</v>
      </c>
      <c r="E517" s="186" t="s">
        <v>723</v>
      </c>
      <c r="G517" s="62"/>
      <c r="H517" s="62"/>
      <c r="I517" s="62"/>
      <c r="J517" s="62"/>
      <c r="K517" s="62"/>
      <c r="L517" s="62"/>
      <c r="M517" s="61"/>
      <c r="N517" s="62"/>
      <c r="O517" s="61"/>
      <c r="P517" s="62"/>
      <c r="Q517" s="61"/>
      <c r="R517" s="62"/>
      <c r="S517" s="936"/>
      <c r="T517" s="61"/>
      <c r="V517" s="968"/>
      <c r="W517" s="968"/>
      <c r="X517" s="186"/>
      <c r="Y517" s="61"/>
      <c r="Z517" s="61"/>
      <c r="AA517" s="61"/>
      <c r="AB517" s="964"/>
      <c r="AC517" s="61"/>
      <c r="AE517" s="964"/>
      <c r="AF517" s="964"/>
      <c r="AG517" s="964"/>
      <c r="AH517" s="61"/>
      <c r="AJ517" s="964"/>
      <c r="AK517" s="964"/>
      <c r="AL517" s="964"/>
      <c r="AM517" s="61"/>
      <c r="AO517" s="964"/>
      <c r="AP517" s="964"/>
      <c r="AQ517" s="964"/>
      <c r="AR517" s="61"/>
      <c r="AT517" s="964"/>
      <c r="AU517" s="964"/>
      <c r="AV517" s="964"/>
      <c r="AW517" s="61"/>
      <c r="AY517" s="964"/>
      <c r="AZ517" s="964"/>
      <c r="BA517" s="964"/>
      <c r="BB517" s="61"/>
      <c r="BD517" s="964"/>
      <c r="BE517" s="964"/>
      <c r="BF517" s="61"/>
      <c r="BG517" s="61"/>
      <c r="BH517" s="61"/>
      <c r="BI517" s="506"/>
      <c r="BJ517" s="506"/>
      <c r="BK517" s="506"/>
      <c r="BL517" s="506"/>
      <c r="BM517" s="506"/>
      <c r="BN517" s="506"/>
      <c r="BO517" s="506"/>
      <c r="BP517" s="506"/>
    </row>
    <row r="518" spans="4:68" hidden="1">
      <c r="D518" t="s">
        <v>724</v>
      </c>
      <c r="E518" s="186" t="s">
        <v>725</v>
      </c>
      <c r="G518" s="62"/>
      <c r="H518" s="62"/>
      <c r="I518" s="62"/>
      <c r="J518" s="62"/>
      <c r="K518" s="62"/>
      <c r="L518" s="62"/>
      <c r="M518" s="61"/>
      <c r="N518" s="62"/>
      <c r="O518" s="61"/>
      <c r="P518" s="62"/>
      <c r="Q518" s="61"/>
      <c r="R518" s="62"/>
      <c r="S518" s="936"/>
      <c r="T518" s="61"/>
      <c r="V518" s="968"/>
      <c r="W518" s="968"/>
      <c r="X518" s="186"/>
      <c r="Y518" s="61"/>
      <c r="Z518" s="61"/>
      <c r="AA518" s="61"/>
      <c r="AB518" s="964"/>
      <c r="AC518" s="61"/>
      <c r="AE518" s="964"/>
      <c r="AF518" s="964"/>
      <c r="AG518" s="964"/>
      <c r="AH518" s="61"/>
      <c r="AJ518" s="964"/>
      <c r="AK518" s="964"/>
      <c r="AL518" s="964"/>
      <c r="AM518" s="61"/>
      <c r="AO518" s="964"/>
      <c r="AP518" s="964"/>
      <c r="AQ518" s="964"/>
      <c r="AR518" s="61"/>
      <c r="AT518" s="964"/>
      <c r="AU518" s="964"/>
      <c r="AV518" s="964"/>
      <c r="AW518" s="61"/>
      <c r="AY518" s="964"/>
      <c r="AZ518" s="964"/>
      <c r="BA518" s="964"/>
      <c r="BB518" s="61"/>
      <c r="BD518" s="964"/>
      <c r="BE518" s="964"/>
      <c r="BF518" s="61"/>
      <c r="BG518" s="61"/>
      <c r="BH518" s="61"/>
      <c r="BI518" s="506"/>
      <c r="BJ518" s="506"/>
      <c r="BK518" s="506"/>
      <c r="BL518" s="506"/>
      <c r="BM518" s="506"/>
      <c r="BN518" s="506"/>
      <c r="BO518" s="506"/>
      <c r="BP518" s="506"/>
    </row>
    <row r="519" spans="4:68" hidden="1">
      <c r="D519" t="s">
        <v>726</v>
      </c>
      <c r="E519" s="186" t="s">
        <v>727</v>
      </c>
      <c r="G519" s="62"/>
      <c r="H519" s="62"/>
      <c r="I519" s="62"/>
      <c r="J519" s="62"/>
      <c r="K519" s="62"/>
      <c r="L519" s="62"/>
      <c r="M519" s="61"/>
      <c r="N519" s="62"/>
      <c r="O519" s="61"/>
      <c r="P519" s="62"/>
      <c r="Q519" s="61"/>
      <c r="R519" s="62"/>
      <c r="S519" s="936"/>
      <c r="T519" s="61"/>
      <c r="V519" s="968"/>
      <c r="W519" s="968"/>
      <c r="X519" s="186"/>
      <c r="Y519" s="61"/>
      <c r="Z519" s="61"/>
      <c r="AA519" s="61"/>
      <c r="AB519" s="964"/>
      <c r="AC519" s="61"/>
      <c r="AE519" s="964"/>
      <c r="AF519" s="964"/>
      <c r="AG519" s="964"/>
      <c r="AH519" s="61"/>
      <c r="AJ519" s="964"/>
      <c r="AK519" s="964"/>
      <c r="AL519" s="964"/>
      <c r="AM519" s="61"/>
      <c r="AO519" s="964"/>
      <c r="AP519" s="964"/>
      <c r="AQ519" s="964"/>
      <c r="AR519" s="61"/>
      <c r="AT519" s="964"/>
      <c r="AU519" s="964"/>
      <c r="AV519" s="964"/>
      <c r="AW519" s="61"/>
      <c r="AY519" s="964"/>
      <c r="AZ519" s="964"/>
      <c r="BA519" s="964"/>
      <c r="BB519" s="61"/>
      <c r="BD519" s="964"/>
      <c r="BE519" s="964"/>
      <c r="BF519" s="61"/>
      <c r="BG519" s="61"/>
      <c r="BH519" s="61"/>
      <c r="BI519" s="506"/>
      <c r="BJ519" s="506"/>
      <c r="BK519" s="506"/>
      <c r="BL519" s="506"/>
      <c r="BM519" s="506"/>
      <c r="BN519" s="506"/>
      <c r="BO519" s="506"/>
      <c r="BP519" s="506"/>
    </row>
    <row r="520" spans="4:68" hidden="1">
      <c r="D520" t="s">
        <v>728</v>
      </c>
      <c r="E520" s="186" t="s">
        <v>729</v>
      </c>
      <c r="G520" s="62"/>
      <c r="H520" s="62"/>
      <c r="I520" s="62"/>
      <c r="J520" s="62"/>
      <c r="K520" s="62"/>
      <c r="L520" s="62"/>
      <c r="M520" s="61"/>
      <c r="N520" s="62"/>
      <c r="O520" s="61"/>
      <c r="P520" s="62"/>
      <c r="Q520" s="61"/>
      <c r="R520" s="62"/>
      <c r="S520" s="936"/>
      <c r="T520" s="61"/>
      <c r="V520" s="968"/>
      <c r="W520" s="968"/>
      <c r="X520" s="186"/>
      <c r="Y520" s="61"/>
      <c r="Z520" s="61"/>
      <c r="AA520" s="61"/>
      <c r="AB520" s="964"/>
      <c r="AC520" s="61"/>
      <c r="AE520" s="964"/>
      <c r="AF520" s="964"/>
      <c r="AG520" s="964"/>
      <c r="AH520" s="61"/>
      <c r="AJ520" s="964"/>
      <c r="AK520" s="964"/>
      <c r="AL520" s="964"/>
      <c r="AM520" s="61"/>
      <c r="AO520" s="964"/>
      <c r="AP520" s="964"/>
      <c r="AQ520" s="964"/>
      <c r="AR520" s="61"/>
      <c r="AT520" s="964"/>
      <c r="AU520" s="964"/>
      <c r="AV520" s="964"/>
      <c r="AW520" s="61"/>
      <c r="AY520" s="964"/>
      <c r="AZ520" s="964"/>
      <c r="BA520" s="964"/>
      <c r="BB520" s="61"/>
      <c r="BD520" s="964"/>
      <c r="BE520" s="964"/>
      <c r="BF520" s="61"/>
      <c r="BG520" s="61"/>
      <c r="BH520" s="61"/>
      <c r="BI520" s="506"/>
      <c r="BJ520" s="506"/>
      <c r="BK520" s="506"/>
      <c r="BL520" s="506"/>
      <c r="BM520" s="506"/>
      <c r="BN520" s="506"/>
      <c r="BO520" s="506"/>
      <c r="BP520" s="506"/>
    </row>
    <row r="521" spans="4:68" hidden="1">
      <c r="D521" t="s">
        <v>730</v>
      </c>
      <c r="E521" s="186" t="s">
        <v>731</v>
      </c>
      <c r="G521" s="62"/>
      <c r="H521" s="62"/>
      <c r="I521" s="62"/>
      <c r="J521" s="62"/>
      <c r="K521" s="62"/>
      <c r="L521" s="62"/>
      <c r="M521" s="61"/>
      <c r="N521" s="62"/>
      <c r="O521" s="61"/>
      <c r="P521" s="62"/>
      <c r="Q521" s="61"/>
      <c r="R521" s="62"/>
      <c r="S521" s="936"/>
      <c r="T521" s="61"/>
      <c r="V521" s="968"/>
      <c r="W521" s="968"/>
      <c r="X521" s="186"/>
      <c r="Y521" s="61"/>
      <c r="Z521" s="61"/>
      <c r="AA521" s="61"/>
      <c r="AB521" s="964"/>
      <c r="AC521" s="61"/>
      <c r="AE521" s="964"/>
      <c r="AF521" s="964"/>
      <c r="AG521" s="964"/>
      <c r="AH521" s="61"/>
      <c r="AJ521" s="964"/>
      <c r="AK521" s="964"/>
      <c r="AL521" s="964"/>
      <c r="AM521" s="61"/>
      <c r="AO521" s="964"/>
      <c r="AP521" s="964"/>
      <c r="AQ521" s="964"/>
      <c r="AR521" s="61"/>
      <c r="AT521" s="964"/>
      <c r="AU521" s="964"/>
      <c r="AV521" s="964"/>
      <c r="AW521" s="61"/>
      <c r="AY521" s="964"/>
      <c r="AZ521" s="964"/>
      <c r="BA521" s="964"/>
      <c r="BB521" s="61"/>
      <c r="BD521" s="964"/>
      <c r="BE521" s="964"/>
      <c r="BF521" s="61"/>
      <c r="BG521" s="61"/>
      <c r="BH521" s="61"/>
      <c r="BI521" s="506"/>
      <c r="BJ521" s="506"/>
      <c r="BK521" s="506"/>
      <c r="BL521" s="506"/>
      <c r="BM521" s="506"/>
      <c r="BN521" s="506"/>
      <c r="BO521" s="506"/>
      <c r="BP521" s="506"/>
    </row>
    <row r="522" spans="4:68" hidden="1">
      <c r="D522" t="s">
        <v>732</v>
      </c>
      <c r="E522" s="186" t="s">
        <v>733</v>
      </c>
      <c r="G522" s="62"/>
      <c r="H522" s="62"/>
      <c r="I522" s="62"/>
      <c r="J522" s="62"/>
      <c r="K522" s="62"/>
      <c r="L522" s="62"/>
      <c r="M522" s="61"/>
      <c r="N522" s="62"/>
      <c r="O522" s="61"/>
      <c r="P522" s="62"/>
      <c r="Q522" s="61"/>
      <c r="R522" s="62"/>
      <c r="S522" s="936"/>
      <c r="T522" s="61"/>
      <c r="V522" s="968"/>
      <c r="W522" s="968"/>
      <c r="X522" s="186"/>
      <c r="Y522" s="61"/>
      <c r="Z522" s="61"/>
      <c r="AA522" s="61"/>
      <c r="AB522" s="964"/>
      <c r="AC522" s="61"/>
      <c r="AE522" s="964"/>
      <c r="AF522" s="964"/>
      <c r="AG522" s="964"/>
      <c r="AH522" s="61"/>
      <c r="AJ522" s="964"/>
      <c r="AK522" s="964"/>
      <c r="AL522" s="964"/>
      <c r="AM522" s="61"/>
      <c r="AO522" s="964"/>
      <c r="AP522" s="964"/>
      <c r="AQ522" s="964"/>
      <c r="AR522" s="61"/>
      <c r="AT522" s="964"/>
      <c r="AU522" s="964"/>
      <c r="AV522" s="964"/>
      <c r="AW522" s="61"/>
      <c r="AY522" s="964"/>
      <c r="AZ522" s="964"/>
      <c r="BA522" s="964"/>
      <c r="BB522" s="61"/>
      <c r="BD522" s="964"/>
      <c r="BE522" s="964"/>
      <c r="BF522" s="61"/>
      <c r="BG522" s="61"/>
      <c r="BH522" s="61"/>
      <c r="BI522" s="506"/>
      <c r="BJ522" s="506"/>
      <c r="BK522" s="506"/>
      <c r="BL522" s="506"/>
      <c r="BM522" s="506"/>
      <c r="BN522" s="506"/>
      <c r="BO522" s="506"/>
      <c r="BP522" s="506"/>
    </row>
    <row r="523" spans="4:68" hidden="1">
      <c r="D523" t="s">
        <v>734</v>
      </c>
      <c r="E523" s="186" t="s">
        <v>735</v>
      </c>
      <c r="G523" s="62"/>
      <c r="H523" s="62"/>
      <c r="I523" s="62"/>
      <c r="J523" s="62"/>
      <c r="K523" s="62"/>
      <c r="L523" s="62"/>
      <c r="M523" s="61"/>
      <c r="N523" s="62"/>
      <c r="O523" s="61"/>
      <c r="P523" s="62"/>
      <c r="Q523" s="61"/>
      <c r="R523" s="62"/>
      <c r="S523" s="936"/>
      <c r="T523" s="61"/>
      <c r="V523" s="968"/>
      <c r="W523" s="968"/>
      <c r="X523" s="186"/>
      <c r="Y523" s="61"/>
      <c r="Z523" s="61"/>
      <c r="AA523" s="61"/>
      <c r="AB523" s="964"/>
      <c r="AC523" s="61"/>
      <c r="AE523" s="964"/>
      <c r="AF523" s="964"/>
      <c r="AG523" s="964"/>
      <c r="AH523" s="61"/>
      <c r="AJ523" s="964"/>
      <c r="AK523" s="964"/>
      <c r="AL523" s="964"/>
      <c r="AM523" s="61"/>
      <c r="AO523" s="964"/>
      <c r="AP523" s="964"/>
      <c r="AQ523" s="964"/>
      <c r="AR523" s="61"/>
      <c r="AT523" s="964"/>
      <c r="AU523" s="964"/>
      <c r="AV523" s="964"/>
      <c r="AW523" s="61"/>
      <c r="AY523" s="964"/>
      <c r="AZ523" s="964"/>
      <c r="BA523" s="964"/>
      <c r="BB523" s="61"/>
      <c r="BD523" s="964"/>
      <c r="BE523" s="964"/>
      <c r="BF523" s="61"/>
      <c r="BG523" s="61"/>
      <c r="BH523" s="61"/>
      <c r="BI523" s="506"/>
      <c r="BJ523" s="506"/>
      <c r="BK523" s="506"/>
      <c r="BL523" s="506"/>
      <c r="BM523" s="506"/>
      <c r="BN523" s="506"/>
      <c r="BO523" s="506"/>
      <c r="BP523" s="506"/>
    </row>
    <row r="524" spans="4:68" hidden="1">
      <c r="D524" t="s">
        <v>736</v>
      </c>
      <c r="E524" s="186" t="s">
        <v>737</v>
      </c>
      <c r="G524" s="62"/>
      <c r="H524" s="62"/>
      <c r="I524" s="62"/>
      <c r="J524" s="62"/>
      <c r="K524" s="62"/>
      <c r="L524" s="62"/>
      <c r="M524" s="61"/>
      <c r="N524" s="62"/>
      <c r="O524" s="61"/>
      <c r="P524" s="62"/>
      <c r="Q524" s="61"/>
      <c r="R524" s="62"/>
      <c r="S524" s="936"/>
      <c r="T524" s="61"/>
      <c r="V524" s="968"/>
      <c r="W524" s="968"/>
      <c r="X524" s="186"/>
      <c r="Y524" s="61"/>
      <c r="Z524" s="61"/>
      <c r="AA524" s="61"/>
      <c r="AB524" s="964"/>
      <c r="AC524" s="61"/>
      <c r="AE524" s="964"/>
      <c r="AF524" s="964"/>
      <c r="AG524" s="964"/>
      <c r="AH524" s="61"/>
      <c r="AJ524" s="964"/>
      <c r="AK524" s="964"/>
      <c r="AL524" s="964"/>
      <c r="AM524" s="61"/>
      <c r="AO524" s="964"/>
      <c r="AP524" s="964"/>
      <c r="AQ524" s="964"/>
      <c r="AR524" s="61"/>
      <c r="AT524" s="964"/>
      <c r="AU524" s="964"/>
      <c r="AV524" s="964"/>
      <c r="AW524" s="61"/>
      <c r="AY524" s="964"/>
      <c r="AZ524" s="964"/>
      <c r="BA524" s="964"/>
      <c r="BB524" s="61"/>
      <c r="BD524" s="964"/>
      <c r="BE524" s="964"/>
      <c r="BF524" s="61"/>
      <c r="BG524" s="61"/>
      <c r="BH524" s="61"/>
      <c r="BI524" s="506"/>
      <c r="BJ524" s="506"/>
      <c r="BK524" s="506"/>
      <c r="BL524" s="506"/>
      <c r="BM524" s="506"/>
      <c r="BN524" s="506"/>
      <c r="BO524" s="506"/>
      <c r="BP524" s="506"/>
    </row>
    <row r="525" spans="4:68" hidden="1">
      <c r="E525" s="186" t="s">
        <v>634</v>
      </c>
      <c r="G525" s="62"/>
      <c r="H525" s="62"/>
      <c r="I525" s="62"/>
      <c r="J525" s="62"/>
      <c r="K525" s="62"/>
      <c r="L525" s="62"/>
      <c r="M525" s="534">
        <f>SUM(M517:M524)</f>
        <v>0</v>
      </c>
      <c r="N525" s="62"/>
      <c r="O525" s="534">
        <f>SUM(O517:O524)</f>
        <v>0</v>
      </c>
      <c r="P525" s="62"/>
      <c r="Q525" s="534">
        <f>SUM(Q517:Q524)</f>
        <v>0</v>
      </c>
      <c r="R525" s="62"/>
      <c r="S525" s="936"/>
      <c r="T525" s="534">
        <f>SUM(T517:T524)</f>
        <v>0</v>
      </c>
      <c r="U525" s="1071"/>
      <c r="V525" s="968"/>
      <c r="W525" s="968"/>
      <c r="X525" s="186"/>
      <c r="Y525" s="534">
        <f>SUM(Y517:Y524)</f>
        <v>0</v>
      </c>
      <c r="Z525" s="61"/>
      <c r="AA525" s="61"/>
      <c r="AB525" s="964"/>
      <c r="AC525" s="534">
        <f>SUM(AC517:AC524)</f>
        <v>0</v>
      </c>
      <c r="AD525" s="1071"/>
      <c r="AE525" s="964"/>
      <c r="AF525" s="964"/>
      <c r="AG525" s="964"/>
      <c r="AH525" s="534">
        <f>SUM(AH517:AH524)</f>
        <v>0</v>
      </c>
      <c r="AI525" s="1071"/>
      <c r="AJ525" s="964"/>
      <c r="AK525" s="964"/>
      <c r="AL525" s="964"/>
      <c r="AM525" s="534">
        <f>SUM(AM517:AM524)</f>
        <v>0</v>
      </c>
      <c r="AN525" s="1071"/>
      <c r="AO525" s="964"/>
      <c r="AP525" s="964"/>
      <c r="AQ525" s="964"/>
      <c r="AR525" s="534">
        <f>SUM(AR517:AR524)</f>
        <v>0</v>
      </c>
      <c r="AS525" s="1071"/>
      <c r="AT525" s="964"/>
      <c r="AU525" s="964"/>
      <c r="AV525" s="964"/>
      <c r="AW525" s="534">
        <f>SUM(AW517:AW524)</f>
        <v>0</v>
      </c>
      <c r="AX525" s="1071"/>
      <c r="AY525" s="964"/>
      <c r="AZ525" s="964"/>
      <c r="BA525" s="964"/>
      <c r="BB525" s="534">
        <f>SUM(BB517:BB524)</f>
        <v>0</v>
      </c>
      <c r="BC525" s="1071"/>
      <c r="BD525" s="964"/>
      <c r="BE525" s="964"/>
      <c r="BF525" s="61"/>
      <c r="BG525" s="61"/>
      <c r="BH525" s="61"/>
      <c r="BI525" s="506"/>
      <c r="BJ525" s="506"/>
      <c r="BK525" s="506"/>
      <c r="BL525" s="506"/>
      <c r="BM525" s="506"/>
      <c r="BN525" s="506"/>
      <c r="BO525" s="506"/>
      <c r="BP525" s="506"/>
    </row>
    <row r="526" spans="4:68" hidden="1">
      <c r="E526" s="186"/>
      <c r="G526" s="62"/>
      <c r="H526" s="62"/>
      <c r="I526" s="62"/>
      <c r="J526" s="62"/>
      <c r="K526" s="62"/>
      <c r="L526" s="62"/>
      <c r="M526" s="61"/>
      <c r="N526" s="62"/>
      <c r="O526" s="61"/>
      <c r="P526" s="62"/>
      <c r="Q526" s="61"/>
      <c r="R526" s="62"/>
      <c r="S526" s="936"/>
      <c r="T526" s="61"/>
      <c r="V526" s="968"/>
      <c r="W526" s="968"/>
      <c r="X526" s="186"/>
      <c r="Y526" s="61"/>
      <c r="Z526" s="61"/>
      <c r="AA526" s="61"/>
      <c r="AB526" s="964"/>
      <c r="AC526" s="61"/>
      <c r="AE526" s="964"/>
      <c r="AF526" s="964"/>
      <c r="AG526" s="964"/>
      <c r="AH526" s="61"/>
      <c r="AJ526" s="964"/>
      <c r="AK526" s="964"/>
      <c r="AL526" s="964"/>
      <c r="AM526" s="61"/>
      <c r="AO526" s="964"/>
      <c r="AP526" s="964"/>
      <c r="AQ526" s="964"/>
      <c r="AR526" s="61"/>
      <c r="AT526" s="964"/>
      <c r="AU526" s="964"/>
      <c r="AV526" s="964"/>
      <c r="AW526" s="61"/>
      <c r="AY526" s="964"/>
      <c r="AZ526" s="964"/>
      <c r="BA526" s="964"/>
      <c r="BB526" s="61"/>
      <c r="BD526" s="964"/>
      <c r="BE526" s="964"/>
      <c r="BF526" s="61"/>
      <c r="BG526" s="61"/>
      <c r="BH526" s="61"/>
      <c r="BI526" s="506"/>
      <c r="BJ526" s="506"/>
      <c r="BK526" s="506"/>
      <c r="BL526" s="506"/>
      <c r="BM526" s="506"/>
      <c r="BN526" s="506"/>
      <c r="BO526" s="506"/>
      <c r="BP526" s="506"/>
    </row>
    <row r="527" spans="4:68" hidden="1">
      <c r="E527" s="186"/>
      <c r="G527" s="62"/>
      <c r="H527" s="62"/>
      <c r="I527" s="62"/>
      <c r="J527" s="62"/>
      <c r="K527" s="62"/>
      <c r="L527" s="62"/>
      <c r="M527" s="61"/>
      <c r="N527" s="62"/>
      <c r="O527" s="61"/>
      <c r="P527" s="62"/>
      <c r="Q527" s="61"/>
      <c r="R527" s="62"/>
      <c r="S527" s="936"/>
      <c r="T527" s="61"/>
      <c r="V527" s="968"/>
      <c r="W527" s="968"/>
      <c r="X527" s="186"/>
      <c r="Y527" s="61"/>
      <c r="Z527" s="61"/>
      <c r="AA527" s="61"/>
      <c r="AB527" s="964"/>
      <c r="AC527" s="61"/>
      <c r="AE527" s="964"/>
      <c r="AF527" s="964"/>
      <c r="AG527" s="964"/>
      <c r="AH527" s="61"/>
      <c r="AJ527" s="964"/>
      <c r="AK527" s="964"/>
      <c r="AL527" s="964"/>
      <c r="AM527" s="61"/>
      <c r="AO527" s="964"/>
      <c r="AP527" s="964"/>
      <c r="AQ527" s="964"/>
      <c r="AR527" s="61"/>
      <c r="AT527" s="964"/>
      <c r="AU527" s="964"/>
      <c r="AV527" s="964"/>
      <c r="AW527" s="61"/>
      <c r="AY527" s="964"/>
      <c r="AZ527" s="964"/>
      <c r="BA527" s="964"/>
      <c r="BB527" s="61"/>
      <c r="BD527" s="964"/>
      <c r="BE527" s="964"/>
      <c r="BF527" s="61"/>
      <c r="BG527" s="61"/>
      <c r="BH527" s="61"/>
      <c r="BI527" s="506"/>
      <c r="BJ527" s="506"/>
      <c r="BK527" s="506"/>
      <c r="BL527" s="506"/>
      <c r="BM527" s="506"/>
      <c r="BN527" s="506"/>
      <c r="BO527" s="506"/>
      <c r="BP527" s="506"/>
    </row>
    <row r="528" spans="4:68" hidden="1">
      <c r="E528" s="254" t="s">
        <v>1131</v>
      </c>
      <c r="G528" s="62"/>
      <c r="H528" s="62"/>
      <c r="I528" s="62"/>
      <c r="J528" s="62"/>
      <c r="K528" s="62"/>
      <c r="L528" s="62"/>
      <c r="M528" s="61"/>
      <c r="N528" s="62"/>
      <c r="O528" s="61"/>
      <c r="P528" s="62"/>
      <c r="Q528" s="61"/>
      <c r="R528" s="62"/>
      <c r="S528" s="936"/>
      <c r="T528" s="61"/>
      <c r="V528" s="968"/>
      <c r="W528" s="968"/>
      <c r="X528" s="186"/>
      <c r="Y528" s="61"/>
      <c r="Z528" s="61"/>
      <c r="AA528" s="61"/>
      <c r="AB528" s="964"/>
      <c r="AC528" s="61"/>
      <c r="AE528" s="964"/>
      <c r="AF528" s="964"/>
      <c r="AG528" s="964"/>
      <c r="AH528" s="61"/>
      <c r="AJ528" s="964"/>
      <c r="AK528" s="964"/>
      <c r="AL528" s="964"/>
      <c r="AM528" s="61"/>
      <c r="AO528" s="964"/>
      <c r="AP528" s="964"/>
      <c r="AQ528" s="964"/>
      <c r="AR528" s="61"/>
      <c r="AT528" s="964"/>
      <c r="AU528" s="964"/>
      <c r="AV528" s="964"/>
      <c r="AW528" s="61"/>
      <c r="AY528" s="964"/>
      <c r="AZ528" s="964"/>
      <c r="BA528" s="964"/>
      <c r="BB528" s="61"/>
      <c r="BD528" s="964"/>
      <c r="BE528" s="964"/>
      <c r="BF528" s="61"/>
      <c r="BG528" s="61"/>
      <c r="BH528" s="61"/>
      <c r="BI528" s="506"/>
      <c r="BJ528" s="506"/>
      <c r="BK528" s="506"/>
      <c r="BL528" s="506"/>
      <c r="BM528" s="506"/>
      <c r="BN528" s="506"/>
      <c r="BO528" s="506"/>
      <c r="BP528" s="506"/>
    </row>
    <row r="529" spans="4:68" hidden="1">
      <c r="D529" t="s">
        <v>1132</v>
      </c>
      <c r="E529" s="186" t="s">
        <v>1139</v>
      </c>
      <c r="G529" s="62"/>
      <c r="H529" s="62"/>
      <c r="I529" s="62"/>
      <c r="J529" s="62"/>
      <c r="K529" s="62"/>
      <c r="L529" s="62"/>
      <c r="M529" s="61"/>
      <c r="N529" s="62"/>
      <c r="O529" s="61"/>
      <c r="P529" s="62"/>
      <c r="Q529" s="61"/>
      <c r="R529" s="62"/>
      <c r="S529" s="936"/>
      <c r="T529" s="61"/>
      <c r="V529" s="968"/>
      <c r="W529" s="968"/>
      <c r="X529" s="186"/>
      <c r="Y529" s="61"/>
      <c r="Z529" s="61"/>
      <c r="AA529" s="61"/>
      <c r="AB529" s="964"/>
      <c r="AC529" s="61"/>
      <c r="AE529" s="964"/>
      <c r="AF529" s="964"/>
      <c r="AG529" s="964"/>
      <c r="AH529" s="61"/>
      <c r="AJ529" s="964"/>
      <c r="AK529" s="964"/>
      <c r="AL529" s="964"/>
      <c r="AM529" s="61"/>
      <c r="AO529" s="964"/>
      <c r="AP529" s="964"/>
      <c r="AQ529" s="964"/>
      <c r="AR529" s="61"/>
      <c r="AT529" s="964"/>
      <c r="AU529" s="964"/>
      <c r="AV529" s="964"/>
      <c r="AW529" s="61"/>
      <c r="AY529" s="964"/>
      <c r="AZ529" s="964"/>
      <c r="BA529" s="964"/>
      <c r="BB529" s="61"/>
      <c r="BD529" s="964"/>
      <c r="BE529" s="964"/>
      <c r="BF529" s="61"/>
      <c r="BG529" s="61"/>
      <c r="BH529" s="61"/>
      <c r="BI529" s="506"/>
      <c r="BJ529" s="506"/>
      <c r="BK529" s="506"/>
      <c r="BL529" s="506"/>
      <c r="BM529" s="506"/>
      <c r="BN529" s="506"/>
      <c r="BO529" s="506"/>
      <c r="BP529" s="506"/>
    </row>
    <row r="530" spans="4:68" hidden="1">
      <c r="D530" t="s">
        <v>1133</v>
      </c>
      <c r="E530" s="186" t="s">
        <v>1140</v>
      </c>
      <c r="G530" s="62"/>
      <c r="H530" s="62"/>
      <c r="I530" s="62"/>
      <c r="J530" s="62"/>
      <c r="K530" s="62"/>
      <c r="L530" s="62"/>
      <c r="M530" s="61"/>
      <c r="N530" s="62"/>
      <c r="O530" s="61"/>
      <c r="P530" s="62"/>
      <c r="Q530" s="61"/>
      <c r="R530" s="62"/>
      <c r="S530" s="936"/>
      <c r="T530" s="61"/>
      <c r="V530" s="968"/>
      <c r="W530" s="968"/>
      <c r="X530" s="186"/>
      <c r="Y530" s="61"/>
      <c r="Z530" s="61"/>
      <c r="AA530" s="61"/>
      <c r="AB530" s="964"/>
      <c r="AC530" s="61"/>
      <c r="AE530" s="964"/>
      <c r="AF530" s="964"/>
      <c r="AG530" s="964"/>
      <c r="AH530" s="61"/>
      <c r="AJ530" s="964"/>
      <c r="AK530" s="964"/>
      <c r="AL530" s="964"/>
      <c r="AM530" s="61"/>
      <c r="AO530" s="964"/>
      <c r="AP530" s="964"/>
      <c r="AQ530" s="964"/>
      <c r="AR530" s="61"/>
      <c r="AT530" s="964"/>
      <c r="AU530" s="964"/>
      <c r="AV530" s="964"/>
      <c r="AW530" s="61"/>
      <c r="AY530" s="964"/>
      <c r="AZ530" s="964"/>
      <c r="BA530" s="964"/>
      <c r="BB530" s="61"/>
      <c r="BD530" s="964"/>
      <c r="BE530" s="964"/>
      <c r="BF530" s="61"/>
      <c r="BG530" s="61"/>
      <c r="BH530" s="61"/>
      <c r="BI530" s="506"/>
      <c r="BJ530" s="506"/>
      <c r="BK530" s="506"/>
      <c r="BL530" s="506"/>
      <c r="BM530" s="506"/>
      <c r="BN530" s="506"/>
      <c r="BO530" s="506"/>
      <c r="BP530" s="506"/>
    </row>
    <row r="531" spans="4:68" hidden="1">
      <c r="D531" t="s">
        <v>1134</v>
      </c>
      <c r="E531" s="186" t="s">
        <v>727</v>
      </c>
      <c r="G531" s="62"/>
      <c r="H531" s="62"/>
      <c r="I531" s="62"/>
      <c r="J531" s="62"/>
      <c r="K531" s="62"/>
      <c r="L531" s="62"/>
      <c r="M531" s="61"/>
      <c r="N531" s="62"/>
      <c r="O531" s="61"/>
      <c r="P531" s="62"/>
      <c r="Q531" s="61"/>
      <c r="R531" s="62"/>
      <c r="S531" s="936"/>
      <c r="T531" s="61"/>
      <c r="V531" s="968"/>
      <c r="W531" s="968"/>
      <c r="X531" s="186"/>
      <c r="Y531" s="61"/>
      <c r="Z531" s="61"/>
      <c r="AA531" s="61"/>
      <c r="AB531" s="964"/>
      <c r="AC531" s="61"/>
      <c r="AE531" s="964"/>
      <c r="AF531" s="964"/>
      <c r="AG531" s="964"/>
      <c r="AH531" s="61"/>
      <c r="AJ531" s="964"/>
      <c r="AK531" s="964"/>
      <c r="AL531" s="964"/>
      <c r="AM531" s="61"/>
      <c r="AO531" s="964"/>
      <c r="AP531" s="964"/>
      <c r="AQ531" s="964"/>
      <c r="AR531" s="61"/>
      <c r="AT531" s="964"/>
      <c r="AU531" s="964"/>
      <c r="AV531" s="964"/>
      <c r="AW531" s="61"/>
      <c r="AY531" s="964"/>
      <c r="AZ531" s="964"/>
      <c r="BA531" s="964"/>
      <c r="BB531" s="61"/>
      <c r="BD531" s="964"/>
      <c r="BE531" s="964"/>
      <c r="BF531" s="61"/>
      <c r="BG531" s="61"/>
      <c r="BH531" s="61"/>
      <c r="BI531" s="506"/>
      <c r="BJ531" s="506"/>
      <c r="BK531" s="506"/>
      <c r="BL531" s="506"/>
      <c r="BM531" s="506"/>
      <c r="BN531" s="506"/>
      <c r="BO531" s="506"/>
      <c r="BP531" s="506"/>
    </row>
    <row r="532" spans="4:68" hidden="1">
      <c r="D532" t="s">
        <v>1135</v>
      </c>
      <c r="E532" s="186" t="s">
        <v>729</v>
      </c>
      <c r="G532" s="62"/>
      <c r="H532" s="62"/>
      <c r="I532" s="62"/>
      <c r="J532" s="62"/>
      <c r="K532" s="62"/>
      <c r="L532" s="62"/>
      <c r="M532" s="61"/>
      <c r="N532" s="62"/>
      <c r="O532" s="61"/>
      <c r="P532" s="62"/>
      <c r="Q532" s="61"/>
      <c r="R532" s="62"/>
      <c r="S532" s="936"/>
      <c r="T532" s="61"/>
      <c r="V532" s="968"/>
      <c r="W532" s="968"/>
      <c r="X532" s="186"/>
      <c r="Y532" s="61"/>
      <c r="Z532" s="61"/>
      <c r="AA532" s="61"/>
      <c r="AB532" s="964"/>
      <c r="AC532" s="61"/>
      <c r="AE532" s="964"/>
      <c r="AF532" s="964"/>
      <c r="AG532" s="964"/>
      <c r="AH532" s="61"/>
      <c r="AJ532" s="964"/>
      <c r="AK532" s="964"/>
      <c r="AL532" s="964"/>
      <c r="AM532" s="61"/>
      <c r="AO532" s="964"/>
      <c r="AP532" s="964"/>
      <c r="AQ532" s="964"/>
      <c r="AR532" s="61"/>
      <c r="AT532" s="964"/>
      <c r="AU532" s="964"/>
      <c r="AV532" s="964"/>
      <c r="AW532" s="61"/>
      <c r="AY532" s="964"/>
      <c r="AZ532" s="964"/>
      <c r="BA532" s="964"/>
      <c r="BB532" s="61"/>
      <c r="BD532" s="964"/>
      <c r="BE532" s="964"/>
      <c r="BF532" s="61"/>
      <c r="BG532" s="61"/>
      <c r="BH532" s="61"/>
      <c r="BI532" s="506"/>
      <c r="BJ532" s="506"/>
      <c r="BK532" s="506"/>
      <c r="BL532" s="506"/>
      <c r="BM532" s="506"/>
      <c r="BN532" s="506"/>
      <c r="BO532" s="506"/>
      <c r="BP532" s="506"/>
    </row>
    <row r="533" spans="4:68" hidden="1">
      <c r="D533" t="s">
        <v>1136</v>
      </c>
      <c r="E533" s="186" t="s">
        <v>731</v>
      </c>
      <c r="G533" s="62"/>
      <c r="H533" s="62"/>
      <c r="I533" s="62"/>
      <c r="J533" s="62"/>
      <c r="K533" s="62"/>
      <c r="L533" s="62"/>
      <c r="M533" s="61"/>
      <c r="N533" s="62"/>
      <c r="O533" s="61"/>
      <c r="P533" s="62"/>
      <c r="Q533" s="61"/>
      <c r="R533" s="62"/>
      <c r="S533" s="936"/>
      <c r="T533" s="61"/>
      <c r="V533" s="968"/>
      <c r="W533" s="968"/>
      <c r="X533" s="186"/>
      <c r="Y533" s="61"/>
      <c r="Z533" s="61"/>
      <c r="AA533" s="61"/>
      <c r="AB533" s="964"/>
      <c r="AC533" s="61"/>
      <c r="AE533" s="964"/>
      <c r="AF533" s="964"/>
      <c r="AG533" s="964"/>
      <c r="AH533" s="61"/>
      <c r="AJ533" s="964"/>
      <c r="AK533" s="964"/>
      <c r="AL533" s="964"/>
      <c r="AM533" s="61"/>
      <c r="AO533" s="964"/>
      <c r="AP533" s="964"/>
      <c r="AQ533" s="964"/>
      <c r="AR533" s="61"/>
      <c r="AT533" s="964"/>
      <c r="AU533" s="964"/>
      <c r="AV533" s="964"/>
      <c r="AW533" s="61"/>
      <c r="AY533" s="964"/>
      <c r="AZ533" s="964"/>
      <c r="BA533" s="964"/>
      <c r="BB533" s="61"/>
      <c r="BD533" s="964"/>
      <c r="BE533" s="964"/>
      <c r="BF533" s="61"/>
      <c r="BG533" s="61"/>
      <c r="BH533" s="61"/>
      <c r="BI533" s="506"/>
      <c r="BJ533" s="506"/>
      <c r="BK533" s="506"/>
      <c r="BL533" s="506"/>
      <c r="BM533" s="506"/>
      <c r="BN533" s="506"/>
      <c r="BO533" s="506"/>
      <c r="BP533" s="506"/>
    </row>
    <row r="534" spans="4:68" hidden="1">
      <c r="D534" t="s">
        <v>1137</v>
      </c>
      <c r="E534" s="186" t="s">
        <v>1141</v>
      </c>
      <c r="G534" s="62"/>
      <c r="H534" s="62"/>
      <c r="I534" s="62"/>
      <c r="J534" s="62"/>
      <c r="K534" s="62"/>
      <c r="L534" s="62"/>
      <c r="M534" s="61"/>
      <c r="N534" s="62"/>
      <c r="O534" s="61"/>
      <c r="P534" s="62"/>
      <c r="Q534" s="61"/>
      <c r="R534" s="62"/>
      <c r="S534" s="936"/>
      <c r="T534" s="61"/>
      <c r="V534" s="968"/>
      <c r="W534" s="968"/>
      <c r="X534" s="186"/>
      <c r="Y534" s="61"/>
      <c r="Z534" s="61"/>
      <c r="AA534" s="61"/>
      <c r="AB534" s="964"/>
      <c r="AC534" s="61"/>
      <c r="AE534" s="964"/>
      <c r="AF534" s="964"/>
      <c r="AG534" s="964"/>
      <c r="AH534" s="61"/>
      <c r="AJ534" s="964"/>
      <c r="AK534" s="964"/>
      <c r="AL534" s="964"/>
      <c r="AM534" s="61"/>
      <c r="AO534" s="964"/>
      <c r="AP534" s="964"/>
      <c r="AQ534" s="964"/>
      <c r="AR534" s="61"/>
      <c r="AT534" s="964"/>
      <c r="AU534" s="964"/>
      <c r="AV534" s="964"/>
      <c r="AW534" s="61"/>
      <c r="AY534" s="964"/>
      <c r="AZ534" s="964"/>
      <c r="BA534" s="964"/>
      <c r="BB534" s="61"/>
      <c r="BD534" s="964"/>
      <c r="BE534" s="964"/>
      <c r="BF534" s="61"/>
      <c r="BG534" s="61"/>
      <c r="BH534" s="61"/>
      <c r="BI534" s="506"/>
      <c r="BJ534" s="506"/>
      <c r="BK534" s="506"/>
      <c r="BL534" s="506"/>
      <c r="BM534" s="506"/>
      <c r="BN534" s="506"/>
      <c r="BO534" s="506"/>
      <c r="BP534" s="506"/>
    </row>
    <row r="535" spans="4:68" hidden="1">
      <c r="D535" t="s">
        <v>1138</v>
      </c>
      <c r="E535" s="186" t="s">
        <v>1142</v>
      </c>
      <c r="G535" s="62"/>
      <c r="H535" s="62"/>
      <c r="I535" s="62"/>
      <c r="J535" s="62"/>
      <c r="K535" s="62"/>
      <c r="L535" s="62"/>
      <c r="M535" s="61"/>
      <c r="N535" s="62"/>
      <c r="O535" s="61"/>
      <c r="P535" s="62"/>
      <c r="Q535" s="61"/>
      <c r="R535" s="62"/>
      <c r="S535" s="936"/>
      <c r="T535" s="61"/>
      <c r="V535" s="968"/>
      <c r="W535" s="968"/>
      <c r="X535" s="186"/>
      <c r="Y535" s="61"/>
      <c r="Z535" s="61"/>
      <c r="AA535" s="61"/>
      <c r="AB535" s="964"/>
      <c r="AC535" s="61"/>
      <c r="AE535" s="964"/>
      <c r="AF535" s="964"/>
      <c r="AG535" s="964"/>
      <c r="AH535" s="61"/>
      <c r="AJ535" s="964"/>
      <c r="AK535" s="964"/>
      <c r="AL535" s="964"/>
      <c r="AM535" s="61"/>
      <c r="AO535" s="964"/>
      <c r="AP535" s="964"/>
      <c r="AQ535" s="964"/>
      <c r="AR535" s="61"/>
      <c r="AT535" s="964"/>
      <c r="AU535" s="964"/>
      <c r="AV535" s="964"/>
      <c r="AW535" s="61"/>
      <c r="AY535" s="964"/>
      <c r="AZ535" s="964"/>
      <c r="BA535" s="964"/>
      <c r="BB535" s="61"/>
      <c r="BD535" s="964"/>
      <c r="BE535" s="964"/>
      <c r="BF535" s="61"/>
      <c r="BG535" s="61"/>
      <c r="BH535" s="61"/>
      <c r="BI535" s="506"/>
      <c r="BJ535" s="506"/>
      <c r="BK535" s="506"/>
      <c r="BL535" s="506"/>
      <c r="BM535" s="506"/>
      <c r="BN535" s="506"/>
      <c r="BO535" s="506"/>
      <c r="BP535" s="506"/>
    </row>
    <row r="536" spans="4:68" hidden="1">
      <c r="E536" s="186" t="s">
        <v>634</v>
      </c>
      <c r="G536" s="62"/>
      <c r="H536" s="62"/>
      <c r="I536" s="62"/>
      <c r="J536" s="62"/>
      <c r="K536" s="62"/>
      <c r="L536" s="62"/>
      <c r="M536" s="534">
        <f>SUM(M529:M535)</f>
        <v>0</v>
      </c>
      <c r="N536" s="62"/>
      <c r="O536" s="534">
        <f>SUM(O529:O535)</f>
        <v>0</v>
      </c>
      <c r="P536" s="62"/>
      <c r="Q536" s="534">
        <f>SUM(Q529:Q535)</f>
        <v>0</v>
      </c>
      <c r="R536" s="62"/>
      <c r="S536" s="936"/>
      <c r="T536" s="534">
        <f>SUM(T529:T535)</f>
        <v>0</v>
      </c>
      <c r="U536" s="1071"/>
      <c r="V536" s="968"/>
      <c r="W536" s="968"/>
      <c r="X536" s="186"/>
      <c r="Y536" s="534">
        <f>SUM(Y529:Y535)</f>
        <v>0</v>
      </c>
      <c r="Z536" s="61"/>
      <c r="AA536" s="61"/>
      <c r="AB536" s="964"/>
      <c r="AC536" s="534">
        <f>SUM(AC529:AC535)</f>
        <v>0</v>
      </c>
      <c r="AD536" s="1071"/>
      <c r="AE536" s="964"/>
      <c r="AF536" s="964"/>
      <c r="AG536" s="964"/>
      <c r="AH536" s="534">
        <f>SUM(AH529:AH535)</f>
        <v>0</v>
      </c>
      <c r="AI536" s="1071"/>
      <c r="AJ536" s="964"/>
      <c r="AK536" s="964"/>
      <c r="AL536" s="964"/>
      <c r="AM536" s="534">
        <f>SUM(AM529:AM535)</f>
        <v>0</v>
      </c>
      <c r="AN536" s="1071"/>
      <c r="AO536" s="964"/>
      <c r="AP536" s="964"/>
      <c r="AQ536" s="964"/>
      <c r="AR536" s="534">
        <f>SUM(AR529:AR535)</f>
        <v>0</v>
      </c>
      <c r="AS536" s="1071"/>
      <c r="AT536" s="964"/>
      <c r="AU536" s="964"/>
      <c r="AV536" s="964"/>
      <c r="AW536" s="534">
        <f>SUM(AW529:AW535)</f>
        <v>0</v>
      </c>
      <c r="AX536" s="1071"/>
      <c r="AY536" s="964"/>
      <c r="AZ536" s="964"/>
      <c r="BA536" s="964"/>
      <c r="BB536" s="534">
        <f>SUM(BB529:BB535)</f>
        <v>0</v>
      </c>
      <c r="BC536" s="1071"/>
      <c r="BD536" s="964"/>
      <c r="BE536" s="964"/>
      <c r="BF536" s="61"/>
      <c r="BG536" s="61"/>
      <c r="BH536" s="61"/>
      <c r="BI536" s="506"/>
      <c r="BJ536" s="506"/>
      <c r="BK536" s="506"/>
      <c r="BL536" s="506"/>
      <c r="BM536" s="506"/>
      <c r="BN536" s="506"/>
      <c r="BO536" s="506"/>
      <c r="BP536" s="506"/>
    </row>
    <row r="537" spans="4:68">
      <c r="E537" s="186"/>
      <c r="G537" s="62"/>
      <c r="H537" s="62"/>
      <c r="I537" s="62"/>
      <c r="J537" s="62"/>
      <c r="K537" s="62"/>
      <c r="L537" s="62"/>
      <c r="M537" s="61"/>
      <c r="N537" s="62"/>
      <c r="O537" s="61"/>
      <c r="P537" s="62"/>
      <c r="Q537" s="61"/>
      <c r="R537" s="62"/>
      <c r="S537" s="936"/>
      <c r="T537" s="61"/>
      <c r="V537" s="968"/>
      <c r="W537" s="968"/>
      <c r="X537" s="186"/>
      <c r="Y537" s="61"/>
      <c r="Z537" s="61"/>
      <c r="AA537" s="61"/>
      <c r="AB537" s="964"/>
      <c r="AC537" s="61"/>
      <c r="AE537" s="964"/>
      <c r="AF537" s="964"/>
      <c r="AG537" s="964"/>
      <c r="AH537" s="61"/>
      <c r="AJ537" s="964"/>
      <c r="AK537" s="964"/>
      <c r="AL537" s="964"/>
      <c r="AM537" s="61"/>
      <c r="AO537" s="964"/>
      <c r="AP537" s="964"/>
      <c r="AQ537" s="964"/>
      <c r="AR537" s="61"/>
      <c r="AT537" s="964"/>
      <c r="AU537" s="964"/>
      <c r="AV537" s="964"/>
      <c r="AW537" s="61"/>
      <c r="AY537" s="964"/>
      <c r="AZ537" s="964"/>
      <c r="BA537" s="964"/>
      <c r="BB537" s="61"/>
      <c r="BD537" s="964"/>
      <c r="BE537" s="964"/>
      <c r="BF537" s="61"/>
      <c r="BG537" s="61"/>
      <c r="BH537" s="61"/>
      <c r="BI537" s="506"/>
      <c r="BJ537" s="506"/>
      <c r="BK537" s="506"/>
      <c r="BL537" s="506"/>
      <c r="BM537" s="506"/>
      <c r="BN537" s="506"/>
      <c r="BO537" s="506"/>
      <c r="BP537" s="506"/>
    </row>
    <row r="538" spans="4:68">
      <c r="E538" s="254" t="s">
        <v>738</v>
      </c>
      <c r="G538" s="62"/>
      <c r="H538" s="62"/>
      <c r="I538" s="62"/>
      <c r="J538" s="62"/>
      <c r="K538" s="62"/>
      <c r="L538" s="62"/>
      <c r="M538" s="61"/>
      <c r="N538" s="62"/>
      <c r="O538" s="61"/>
      <c r="P538" s="62"/>
      <c r="Q538" s="61"/>
      <c r="R538" s="62"/>
      <c r="S538" s="936"/>
      <c r="T538" s="61"/>
      <c r="V538" s="968"/>
      <c r="W538" s="968"/>
      <c r="X538" s="186"/>
      <c r="Y538" s="61"/>
      <c r="Z538" s="61"/>
      <c r="AA538" s="61"/>
      <c r="AB538" s="964"/>
      <c r="AC538" s="61"/>
      <c r="AE538" s="964"/>
      <c r="AF538" s="964"/>
      <c r="AG538" s="964"/>
      <c r="AH538" s="61"/>
      <c r="AJ538" s="964"/>
      <c r="AK538" s="964"/>
      <c r="AL538" s="964"/>
      <c r="AM538" s="61"/>
      <c r="AO538" s="964"/>
      <c r="AP538" s="964"/>
      <c r="AQ538" s="964"/>
      <c r="AR538" s="61"/>
      <c r="AT538" s="964"/>
      <c r="AU538" s="964"/>
      <c r="AV538" s="964"/>
      <c r="AW538" s="61"/>
      <c r="AY538" s="964"/>
      <c r="AZ538" s="964"/>
      <c r="BA538" s="964"/>
      <c r="BB538" s="61"/>
      <c r="BD538" s="964"/>
      <c r="BE538" s="964"/>
      <c r="BF538" s="61"/>
      <c r="BG538" s="61"/>
      <c r="BH538" s="61"/>
      <c r="BI538" s="506"/>
      <c r="BJ538" s="506"/>
      <c r="BK538" s="506"/>
      <c r="BL538" s="506"/>
      <c r="BM538" s="506"/>
      <c r="BN538" s="506"/>
      <c r="BO538" s="506"/>
      <c r="BP538" s="506"/>
    </row>
    <row r="539" spans="4:68">
      <c r="D539" t="s">
        <v>739</v>
      </c>
      <c r="E539" s="186" t="s">
        <v>740</v>
      </c>
      <c r="G539" s="62"/>
      <c r="H539" s="62"/>
      <c r="I539" s="62"/>
      <c r="J539" s="62"/>
      <c r="K539" s="62"/>
      <c r="L539" s="62"/>
      <c r="M539" s="61"/>
      <c r="N539" s="62"/>
      <c r="O539" s="61"/>
      <c r="P539" s="62"/>
      <c r="Q539" s="61"/>
      <c r="R539" s="62"/>
      <c r="S539" s="936"/>
      <c r="T539" s="61"/>
      <c r="V539" s="968"/>
      <c r="W539" s="968"/>
      <c r="X539" s="186"/>
      <c r="Y539" s="61">
        <v>45000</v>
      </c>
      <c r="Z539" s="61"/>
      <c r="AA539" s="61"/>
      <c r="AB539" s="964"/>
      <c r="AC539" s="61"/>
      <c r="AE539" s="964"/>
      <c r="AF539" s="964"/>
      <c r="AG539" s="964"/>
      <c r="AH539" s="61"/>
      <c r="AJ539" s="964"/>
      <c r="AK539" s="964"/>
      <c r="AL539" s="964"/>
      <c r="AM539" s="61"/>
      <c r="AO539" s="964"/>
      <c r="AP539" s="964"/>
      <c r="AQ539" s="964"/>
      <c r="AR539" s="61"/>
      <c r="AT539" s="964"/>
      <c r="AU539" s="964"/>
      <c r="AV539" s="964"/>
      <c r="AW539" s="61"/>
      <c r="AY539" s="964"/>
      <c r="AZ539" s="964"/>
      <c r="BA539" s="964"/>
      <c r="BB539" s="61"/>
      <c r="BD539" s="964"/>
      <c r="BE539" s="964"/>
      <c r="BF539" s="61"/>
      <c r="BG539" s="61"/>
      <c r="BH539" s="61"/>
      <c r="BI539" s="506"/>
      <c r="BJ539" s="506"/>
      <c r="BK539" s="506"/>
      <c r="BL539" s="506"/>
      <c r="BM539" s="506"/>
      <c r="BN539" s="506"/>
      <c r="BO539" s="506"/>
      <c r="BP539" s="506"/>
    </row>
    <row r="540" spans="4:68">
      <c r="D540" t="s">
        <v>741</v>
      </c>
      <c r="E540" s="186" t="s">
        <v>742</v>
      </c>
      <c r="G540" s="62"/>
      <c r="H540" s="62"/>
      <c r="I540" s="62"/>
      <c r="J540" s="62"/>
      <c r="K540" s="62"/>
      <c r="L540" s="62"/>
      <c r="M540" s="61"/>
      <c r="N540" s="62"/>
      <c r="O540" s="61"/>
      <c r="P540" s="62"/>
      <c r="Q540" s="61"/>
      <c r="R540" s="62"/>
      <c r="S540" s="936"/>
      <c r="T540" s="61"/>
      <c r="V540" s="968"/>
      <c r="W540" s="968"/>
      <c r="X540" s="186"/>
      <c r="Y540" s="61"/>
      <c r="Z540" s="61"/>
      <c r="AA540" s="61"/>
      <c r="AB540" s="964"/>
      <c r="AC540" s="61"/>
      <c r="AE540" s="964"/>
      <c r="AF540" s="964"/>
      <c r="AG540" s="964"/>
      <c r="AH540" s="61"/>
      <c r="AJ540" s="964"/>
      <c r="AK540" s="964"/>
      <c r="AL540" s="964"/>
      <c r="AM540" s="61"/>
      <c r="AO540" s="964"/>
      <c r="AP540" s="964"/>
      <c r="AQ540" s="964"/>
      <c r="AR540" s="61"/>
      <c r="AT540" s="964"/>
      <c r="AU540" s="964"/>
      <c r="AV540" s="964"/>
      <c r="AW540" s="61"/>
      <c r="AY540" s="964"/>
      <c r="AZ540" s="964"/>
      <c r="BA540" s="964"/>
      <c r="BB540" s="61"/>
      <c r="BD540" s="964"/>
      <c r="BE540" s="964"/>
      <c r="BF540" s="61"/>
      <c r="BG540" s="61"/>
      <c r="BH540" s="61"/>
      <c r="BI540" s="506"/>
      <c r="BJ540" s="506"/>
      <c r="BK540" s="506"/>
      <c r="BL540" s="506"/>
      <c r="BM540" s="506"/>
      <c r="BN540" s="506"/>
      <c r="BO540" s="506"/>
      <c r="BP540" s="506"/>
    </row>
    <row r="541" spans="4:68">
      <c r="D541" t="s">
        <v>743</v>
      </c>
      <c r="E541" s="186" t="s">
        <v>744</v>
      </c>
      <c r="G541" s="62"/>
      <c r="H541" s="62"/>
      <c r="I541" s="62"/>
      <c r="J541" s="62"/>
      <c r="K541" s="62"/>
      <c r="L541" s="62"/>
      <c r="M541" s="61"/>
      <c r="N541" s="62"/>
      <c r="O541" s="61"/>
      <c r="P541" s="62"/>
      <c r="Q541" s="61"/>
      <c r="R541" s="62"/>
      <c r="S541" s="936"/>
      <c r="T541" s="61"/>
      <c r="V541" s="968"/>
      <c r="W541" s="968"/>
      <c r="X541" s="186"/>
      <c r="Y541" s="61"/>
      <c r="Z541" s="61"/>
      <c r="AA541" s="61"/>
      <c r="AB541" s="964"/>
      <c r="AC541" s="61"/>
      <c r="AE541" s="964"/>
      <c r="AF541" s="964"/>
      <c r="AG541" s="964"/>
      <c r="AH541" s="61"/>
      <c r="AJ541" s="964"/>
      <c r="AK541" s="964"/>
      <c r="AL541" s="964"/>
      <c r="AM541" s="61"/>
      <c r="AO541" s="964"/>
      <c r="AP541" s="964"/>
      <c r="AQ541" s="964"/>
      <c r="AR541" s="61"/>
      <c r="AT541" s="964"/>
      <c r="AU541" s="964"/>
      <c r="AV541" s="964"/>
      <c r="AW541" s="61"/>
      <c r="AY541" s="964"/>
      <c r="AZ541" s="964"/>
      <c r="BA541" s="964"/>
      <c r="BB541" s="61"/>
      <c r="BD541" s="964"/>
      <c r="BE541" s="964"/>
      <c r="BF541" s="61"/>
      <c r="BG541" s="61"/>
      <c r="BH541" s="61"/>
      <c r="BI541" s="506"/>
      <c r="BJ541" s="506"/>
      <c r="BK541" s="506"/>
      <c r="BL541" s="506"/>
      <c r="BM541" s="506"/>
      <c r="BN541" s="506"/>
      <c r="BO541" s="506"/>
      <c r="BP541" s="506"/>
    </row>
    <row r="542" spans="4:68">
      <c r="D542" t="s">
        <v>745</v>
      </c>
      <c r="E542" s="186" t="s">
        <v>746</v>
      </c>
      <c r="G542" s="62"/>
      <c r="H542" s="62"/>
      <c r="I542" s="62"/>
      <c r="J542" s="62"/>
      <c r="K542" s="62"/>
      <c r="L542" s="62"/>
      <c r="M542" s="61"/>
      <c r="N542" s="62"/>
      <c r="O542" s="61"/>
      <c r="P542" s="62"/>
      <c r="Q542" s="61"/>
      <c r="R542" s="62"/>
      <c r="S542" s="936"/>
      <c r="T542" s="61"/>
      <c r="V542" s="968"/>
      <c r="W542" s="968"/>
      <c r="X542" s="186"/>
      <c r="Y542" s="61"/>
      <c r="Z542" s="61"/>
      <c r="AA542" s="61"/>
      <c r="AB542" s="964"/>
      <c r="AC542" s="61"/>
      <c r="AE542" s="964"/>
      <c r="AF542" s="964"/>
      <c r="AG542" s="964"/>
      <c r="AH542" s="61"/>
      <c r="AJ542" s="964"/>
      <c r="AK542" s="964"/>
      <c r="AL542" s="964"/>
      <c r="AM542" s="61"/>
      <c r="AO542" s="964"/>
      <c r="AP542" s="964"/>
      <c r="AQ542" s="964"/>
      <c r="AR542" s="61"/>
      <c r="AT542" s="964"/>
      <c r="AU542" s="964"/>
      <c r="AV542" s="964"/>
      <c r="AW542" s="61"/>
      <c r="AY542" s="964"/>
      <c r="AZ542" s="964"/>
      <c r="BA542" s="964"/>
      <c r="BB542" s="61"/>
      <c r="BD542" s="964"/>
      <c r="BE542" s="964"/>
      <c r="BF542" s="61"/>
      <c r="BG542" s="61"/>
      <c r="BH542" s="61"/>
      <c r="BI542" s="506"/>
      <c r="BJ542" s="506"/>
      <c r="BK542" s="506"/>
      <c r="BL542" s="506"/>
      <c r="BM542" s="506"/>
      <c r="BN542" s="506"/>
      <c r="BO542" s="506"/>
      <c r="BP542" s="506"/>
    </row>
    <row r="543" spans="4:68">
      <c r="D543" t="s">
        <v>747</v>
      </c>
      <c r="E543" s="186" t="s">
        <v>748</v>
      </c>
      <c r="G543" s="62"/>
      <c r="H543" s="62"/>
      <c r="I543" s="62"/>
      <c r="J543" s="62"/>
      <c r="K543" s="62"/>
      <c r="L543" s="62"/>
      <c r="M543" s="61"/>
      <c r="N543" s="62"/>
      <c r="O543" s="61"/>
      <c r="P543" s="62"/>
      <c r="Q543" s="61"/>
      <c r="R543" s="62"/>
      <c r="S543" s="936"/>
      <c r="T543" s="61"/>
      <c r="V543" s="968"/>
      <c r="W543" s="968"/>
      <c r="X543" s="186"/>
      <c r="Y543" s="61">
        <v>1000</v>
      </c>
      <c r="Z543" s="61"/>
      <c r="AA543" s="61"/>
      <c r="AB543" s="964"/>
      <c r="AC543" s="61"/>
      <c r="AE543" s="964"/>
      <c r="AF543" s="964"/>
      <c r="AG543" s="964"/>
      <c r="AH543" s="61"/>
      <c r="AJ543" s="964"/>
      <c r="AK543" s="964"/>
      <c r="AL543" s="964"/>
      <c r="AM543" s="61"/>
      <c r="AO543" s="964"/>
      <c r="AP543" s="964"/>
      <c r="AQ543" s="964"/>
      <c r="AR543" s="61"/>
      <c r="AT543" s="964"/>
      <c r="AU543" s="964"/>
      <c r="AV543" s="964"/>
      <c r="AW543" s="61"/>
      <c r="AY543" s="964"/>
      <c r="AZ543" s="964"/>
      <c r="BA543" s="964"/>
      <c r="BB543" s="61"/>
      <c r="BD543" s="964"/>
      <c r="BE543" s="964"/>
      <c r="BF543" s="61"/>
      <c r="BG543" s="61"/>
      <c r="BH543" s="61"/>
      <c r="BI543" s="506"/>
      <c r="BJ543" s="506"/>
      <c r="BK543" s="506"/>
      <c r="BL543" s="506"/>
      <c r="BM543" s="506"/>
      <c r="BN543" s="506"/>
      <c r="BO543" s="506"/>
      <c r="BP543" s="506"/>
    </row>
    <row r="544" spans="4:68">
      <c r="D544" t="s">
        <v>749</v>
      </c>
      <c r="E544" s="186" t="s">
        <v>750</v>
      </c>
      <c r="G544" s="62"/>
      <c r="H544" s="62"/>
      <c r="I544" s="62"/>
      <c r="J544" s="62"/>
      <c r="K544" s="62"/>
      <c r="L544" s="62"/>
      <c r="M544" s="61"/>
      <c r="N544" s="62"/>
      <c r="O544" s="61"/>
      <c r="P544" s="62"/>
      <c r="Q544" s="61"/>
      <c r="R544" s="62"/>
      <c r="S544" s="936"/>
      <c r="T544" s="61"/>
      <c r="V544" s="968"/>
      <c r="W544" s="968"/>
      <c r="X544" s="186"/>
      <c r="Y544" s="61"/>
      <c r="Z544" s="61"/>
      <c r="AA544" s="61"/>
      <c r="AB544" s="964"/>
      <c r="AC544" s="61"/>
      <c r="AE544" s="964"/>
      <c r="AF544" s="964"/>
      <c r="AG544" s="964"/>
      <c r="AH544" s="61"/>
      <c r="AJ544" s="964"/>
      <c r="AK544" s="964"/>
      <c r="AL544" s="964"/>
      <c r="AM544" s="61"/>
      <c r="AO544" s="964"/>
      <c r="AP544" s="964"/>
      <c r="AQ544" s="964"/>
      <c r="AR544" s="61"/>
      <c r="AT544" s="964"/>
      <c r="AU544" s="964"/>
      <c r="AV544" s="964"/>
      <c r="AW544" s="61"/>
      <c r="AY544" s="964"/>
      <c r="AZ544" s="964"/>
      <c r="BA544" s="964"/>
      <c r="BB544" s="61"/>
      <c r="BD544" s="964"/>
      <c r="BE544" s="964"/>
      <c r="BF544" s="61"/>
      <c r="BG544" s="61"/>
      <c r="BH544" s="61"/>
      <c r="BI544" s="506"/>
      <c r="BJ544" s="506"/>
      <c r="BK544" s="506"/>
      <c r="BL544" s="506"/>
      <c r="BM544" s="506"/>
      <c r="BN544" s="506"/>
      <c r="BO544" s="506"/>
      <c r="BP544" s="506"/>
    </row>
    <row r="545" spans="4:68">
      <c r="D545" t="s">
        <v>751</v>
      </c>
      <c r="E545" s="186" t="s">
        <v>752</v>
      </c>
      <c r="G545" s="62"/>
      <c r="H545" s="62"/>
      <c r="I545" s="62"/>
      <c r="J545" s="62"/>
      <c r="K545" s="62"/>
      <c r="L545" s="62"/>
      <c r="M545" s="61"/>
      <c r="N545" s="62"/>
      <c r="O545" s="61"/>
      <c r="P545" s="62"/>
      <c r="Q545" s="61"/>
      <c r="R545" s="62"/>
      <c r="S545" s="936"/>
      <c r="T545" s="61"/>
      <c r="V545" s="968"/>
      <c r="W545" s="968"/>
      <c r="X545" s="186"/>
      <c r="Y545" s="61"/>
      <c r="Z545" s="61"/>
      <c r="AA545" s="61"/>
      <c r="AB545" s="964"/>
      <c r="AC545" s="61"/>
      <c r="AE545" s="964"/>
      <c r="AF545" s="964"/>
      <c r="AG545" s="964"/>
      <c r="AH545" s="61"/>
      <c r="AJ545" s="964"/>
      <c r="AK545" s="964"/>
      <c r="AL545" s="964"/>
      <c r="AM545" s="61"/>
      <c r="AO545" s="964"/>
      <c r="AP545" s="964"/>
      <c r="AQ545" s="964"/>
      <c r="AR545" s="61"/>
      <c r="AT545" s="964"/>
      <c r="AU545" s="964"/>
      <c r="AV545" s="964"/>
      <c r="AW545" s="61"/>
      <c r="AY545" s="964"/>
      <c r="AZ545" s="964"/>
      <c r="BA545" s="964"/>
      <c r="BB545" s="61"/>
      <c r="BD545" s="964"/>
      <c r="BE545" s="964"/>
      <c r="BF545" s="61"/>
      <c r="BG545" s="61"/>
      <c r="BH545" s="61"/>
      <c r="BI545" s="506"/>
      <c r="BJ545" s="506"/>
      <c r="BK545" s="506"/>
      <c r="BL545" s="506"/>
      <c r="BM545" s="506"/>
      <c r="BN545" s="506"/>
      <c r="BO545" s="506"/>
      <c r="BP545" s="506"/>
    </row>
    <row r="546" spans="4:68">
      <c r="D546" t="s">
        <v>753</v>
      </c>
      <c r="E546" s="186" t="s">
        <v>754</v>
      </c>
      <c r="G546" s="62"/>
      <c r="H546" s="62"/>
      <c r="I546" s="62"/>
      <c r="J546" s="62"/>
      <c r="K546" s="62"/>
      <c r="L546" s="62"/>
      <c r="M546" s="61"/>
      <c r="N546" s="62"/>
      <c r="O546" s="61"/>
      <c r="P546" s="62"/>
      <c r="Q546" s="61"/>
      <c r="R546" s="62"/>
      <c r="S546" s="936"/>
      <c r="T546" s="61"/>
      <c r="V546" s="968"/>
      <c r="W546" s="968"/>
      <c r="X546" s="186"/>
      <c r="Y546" s="61"/>
      <c r="Z546" s="61"/>
      <c r="AA546" s="61"/>
      <c r="AB546" s="964"/>
      <c r="AC546" s="61"/>
      <c r="AE546" s="964"/>
      <c r="AF546" s="964"/>
      <c r="AG546" s="964"/>
      <c r="AH546" s="61"/>
      <c r="AJ546" s="964"/>
      <c r="AK546" s="964"/>
      <c r="AL546" s="964"/>
      <c r="AM546" s="61"/>
      <c r="AO546" s="964"/>
      <c r="AP546" s="964"/>
      <c r="AQ546" s="964"/>
      <c r="AR546" s="61"/>
      <c r="AT546" s="964"/>
      <c r="AU546" s="964"/>
      <c r="AV546" s="964"/>
      <c r="AW546" s="61"/>
      <c r="AY546" s="964"/>
      <c r="AZ546" s="964"/>
      <c r="BA546" s="964"/>
      <c r="BB546" s="61"/>
      <c r="BD546" s="964"/>
      <c r="BE546" s="964"/>
      <c r="BF546" s="61"/>
      <c r="BG546" s="61"/>
      <c r="BH546" s="61"/>
      <c r="BI546" s="506"/>
      <c r="BJ546" s="506"/>
      <c r="BK546" s="506"/>
      <c r="BL546" s="506"/>
      <c r="BM546" s="506"/>
      <c r="BN546" s="506"/>
      <c r="BO546" s="506"/>
      <c r="BP546" s="506"/>
    </row>
    <row r="547" spans="4:68">
      <c r="E547" s="186" t="s">
        <v>634</v>
      </c>
      <c r="G547" s="62"/>
      <c r="H547" s="62"/>
      <c r="I547" s="62"/>
      <c r="J547" s="62"/>
      <c r="K547" s="62"/>
      <c r="L547" s="62"/>
      <c r="M547" s="534">
        <f>SUM(M539:M546)</f>
        <v>0</v>
      </c>
      <c r="N547" s="62"/>
      <c r="O547" s="534">
        <f>SUM(O539:O546)</f>
        <v>0</v>
      </c>
      <c r="P547" s="62"/>
      <c r="Q547" s="534">
        <f>SUM(Q539:Q546)</f>
        <v>0</v>
      </c>
      <c r="R547" s="62"/>
      <c r="S547" s="936"/>
      <c r="T547" s="534">
        <f>SUM(T539:T546)</f>
        <v>0</v>
      </c>
      <c r="U547" s="1071"/>
      <c r="V547" s="968"/>
      <c r="W547" s="968"/>
      <c r="X547" s="186"/>
      <c r="Y547" s="534">
        <f>SUM(Y539:Y546)</f>
        <v>46000</v>
      </c>
      <c r="Z547" s="61"/>
      <c r="AA547" s="61"/>
      <c r="AB547" s="964"/>
      <c r="AC547" s="534">
        <f>SUM(AC539:AC546)</f>
        <v>0</v>
      </c>
      <c r="AD547" s="1071"/>
      <c r="AE547" s="964"/>
      <c r="AF547" s="964"/>
      <c r="AG547" s="964"/>
      <c r="AH547" s="534">
        <f>SUM(AH539:AH546)</f>
        <v>0</v>
      </c>
      <c r="AI547" s="1071"/>
      <c r="AJ547" s="964"/>
      <c r="AK547" s="964"/>
      <c r="AL547" s="964"/>
      <c r="AM547" s="534">
        <f>SUM(AM539:AM546)</f>
        <v>0</v>
      </c>
      <c r="AN547" s="1071"/>
      <c r="AO547" s="964"/>
      <c r="AP547" s="964"/>
      <c r="AQ547" s="964"/>
      <c r="AR547" s="534">
        <f>SUM(AR539:AR546)</f>
        <v>0</v>
      </c>
      <c r="AS547" s="1071"/>
      <c r="AT547" s="964"/>
      <c r="AU547" s="964"/>
      <c r="AV547" s="964"/>
      <c r="AW547" s="534">
        <f>SUM(AW539:AW546)</f>
        <v>0</v>
      </c>
      <c r="AX547" s="1071"/>
      <c r="AY547" s="964"/>
      <c r="AZ547" s="964"/>
      <c r="BA547" s="964"/>
      <c r="BB547" s="534">
        <f>SUM(BB539:BB546)</f>
        <v>0</v>
      </c>
      <c r="BC547" s="1071"/>
      <c r="BD547" s="964"/>
      <c r="BE547" s="964"/>
      <c r="BF547" s="61"/>
      <c r="BG547" s="61"/>
      <c r="BH547" s="61"/>
      <c r="BI547" s="506"/>
      <c r="BJ547" s="506"/>
      <c r="BK547" s="506"/>
      <c r="BL547" s="506"/>
      <c r="BM547" s="506"/>
      <c r="BN547" s="506"/>
      <c r="BO547" s="506"/>
      <c r="BP547" s="506"/>
    </row>
    <row r="548" spans="4:68">
      <c r="E548" s="186"/>
      <c r="G548" s="62"/>
      <c r="H548" s="62"/>
      <c r="I548" s="62"/>
      <c r="J548" s="62"/>
      <c r="K548" s="62"/>
      <c r="L548" s="62"/>
      <c r="M548" s="61"/>
      <c r="N548" s="62"/>
      <c r="O548" s="61"/>
      <c r="P548" s="62"/>
      <c r="Q548" s="61"/>
      <c r="R548" s="62"/>
      <c r="S548" s="936"/>
      <c r="T548" s="61"/>
      <c r="V548" s="968"/>
      <c r="W548" s="968"/>
      <c r="X548" s="186"/>
      <c r="Y548" s="61"/>
      <c r="Z548" s="61"/>
      <c r="AA548" s="61"/>
      <c r="AB548" s="964"/>
      <c r="AC548" s="61"/>
      <c r="AE548" s="964"/>
      <c r="AF548" s="964"/>
      <c r="AG548" s="964"/>
      <c r="AH548" s="61"/>
      <c r="AJ548" s="964"/>
      <c r="AK548" s="964"/>
      <c r="AL548" s="964"/>
      <c r="AM548" s="61"/>
      <c r="AO548" s="964"/>
      <c r="AP548" s="964"/>
      <c r="AQ548" s="964"/>
      <c r="AR548" s="61"/>
      <c r="AT548" s="964"/>
      <c r="AU548" s="964"/>
      <c r="AV548" s="964"/>
      <c r="AW548" s="61"/>
      <c r="AY548" s="964"/>
      <c r="AZ548" s="964"/>
      <c r="BA548" s="964"/>
      <c r="BB548" s="61"/>
      <c r="BD548" s="964"/>
      <c r="BE548" s="964"/>
      <c r="BF548" s="61"/>
      <c r="BG548" s="61"/>
      <c r="BH548" s="61"/>
      <c r="BI548" s="506"/>
      <c r="BJ548" s="506"/>
      <c r="BK548" s="506"/>
      <c r="BL548" s="506"/>
      <c r="BM548" s="506"/>
      <c r="BN548" s="506"/>
      <c r="BO548" s="506"/>
      <c r="BP548" s="506"/>
    </row>
    <row r="549" spans="4:68">
      <c r="D549" s="495"/>
      <c r="E549" s="820" t="s">
        <v>1143</v>
      </c>
      <c r="F549" s="495"/>
      <c r="G549" s="821"/>
      <c r="H549" s="821"/>
      <c r="I549" s="821"/>
      <c r="J549" s="821"/>
      <c r="K549" s="821"/>
      <c r="L549" s="821"/>
      <c r="M549" s="823"/>
      <c r="N549" s="821"/>
      <c r="O549" s="823"/>
      <c r="P549" s="821"/>
      <c r="Q549" s="823"/>
      <c r="R549" s="821"/>
      <c r="S549" s="948"/>
      <c r="T549" s="823"/>
      <c r="U549" s="821"/>
      <c r="V549" s="980"/>
      <c r="W549" s="980"/>
      <c r="X549" s="819"/>
      <c r="Y549" s="823"/>
      <c r="Z549" s="823"/>
      <c r="AA549" s="823"/>
      <c r="AB549" s="985"/>
      <c r="AC549" s="823"/>
      <c r="AD549" s="821"/>
      <c r="AE549" s="985"/>
      <c r="AF549" s="985"/>
      <c r="AG549" s="985"/>
      <c r="AH549" s="823"/>
      <c r="AI549" s="821"/>
      <c r="AJ549" s="985"/>
      <c r="AK549" s="985"/>
      <c r="AL549" s="985"/>
      <c r="AM549" s="823"/>
      <c r="AN549" s="821"/>
      <c r="AO549" s="985"/>
      <c r="AP549" s="985"/>
      <c r="AQ549" s="985"/>
      <c r="AR549" s="823"/>
      <c r="AS549" s="821"/>
      <c r="AT549" s="985"/>
      <c r="AU549" s="985"/>
      <c r="AV549" s="985"/>
      <c r="AW549" s="823"/>
      <c r="AX549" s="821"/>
      <c r="AY549" s="985"/>
      <c r="AZ549" s="985"/>
      <c r="BA549" s="985"/>
      <c r="BB549" s="823"/>
      <c r="BC549" s="821"/>
      <c r="BD549" s="985"/>
      <c r="BE549" s="985"/>
      <c r="BF549" s="61"/>
      <c r="BG549" s="61"/>
      <c r="BH549" s="61"/>
      <c r="BI549" s="506"/>
      <c r="BJ549" s="506"/>
      <c r="BK549" s="506"/>
      <c r="BL549" s="506"/>
      <c r="BM549" s="506"/>
      <c r="BN549" s="506"/>
      <c r="BO549" s="506"/>
      <c r="BP549" s="506"/>
    </row>
    <row r="550" spans="4:68">
      <c r="E550" s="186"/>
      <c r="G550" s="62"/>
      <c r="H550" s="62"/>
      <c r="I550" s="62"/>
      <c r="J550" s="62"/>
      <c r="K550" s="62"/>
      <c r="L550" s="62"/>
      <c r="M550" s="61"/>
      <c r="N550" s="62"/>
      <c r="O550" s="61"/>
      <c r="P550" s="62"/>
      <c r="Q550" s="61"/>
      <c r="R550" s="62"/>
      <c r="S550" s="936"/>
      <c r="T550" s="61"/>
      <c r="V550" s="968"/>
      <c r="W550" s="968"/>
      <c r="X550" s="186"/>
      <c r="Y550" s="61"/>
      <c r="Z550" s="61"/>
      <c r="AA550" s="61"/>
      <c r="AB550" s="964"/>
      <c r="AC550" s="61"/>
      <c r="AE550" s="964"/>
      <c r="AF550" s="964"/>
      <c r="AG550" s="964"/>
      <c r="AH550" s="61"/>
      <c r="AJ550" s="964"/>
      <c r="AK550" s="964"/>
      <c r="AL550" s="964"/>
      <c r="AM550" s="61"/>
      <c r="AO550" s="964"/>
      <c r="AP550" s="964"/>
      <c r="AQ550" s="964"/>
      <c r="AR550" s="61"/>
      <c r="AT550" s="964"/>
      <c r="AU550" s="964"/>
      <c r="AV550" s="964"/>
      <c r="AW550" s="61"/>
      <c r="AY550" s="964"/>
      <c r="AZ550" s="964"/>
      <c r="BA550" s="964"/>
      <c r="BB550" s="61"/>
      <c r="BD550" s="964"/>
      <c r="BE550" s="964"/>
      <c r="BF550" s="61"/>
      <c r="BG550" s="61"/>
      <c r="BH550" s="61"/>
      <c r="BI550" s="506"/>
      <c r="BJ550" s="506"/>
      <c r="BK550" s="506"/>
      <c r="BL550" s="506"/>
      <c r="BM550" s="506"/>
      <c r="BN550" s="506"/>
      <c r="BO550" s="506"/>
      <c r="BP550" s="506"/>
    </row>
    <row r="551" spans="4:68" hidden="1">
      <c r="E551" s="254" t="s">
        <v>680</v>
      </c>
      <c r="G551" s="62"/>
      <c r="H551" s="62"/>
      <c r="I551" s="62"/>
      <c r="J551" s="62"/>
      <c r="K551" s="62"/>
      <c r="L551" s="62"/>
      <c r="M551" s="61"/>
      <c r="N551" s="62"/>
      <c r="O551" s="61"/>
      <c r="P551" s="62"/>
      <c r="Q551" s="61"/>
      <c r="R551" s="62"/>
      <c r="S551" s="936"/>
      <c r="T551" s="61"/>
      <c r="V551" s="968"/>
      <c r="W551" s="968"/>
      <c r="X551" s="186"/>
      <c r="Y551" s="61"/>
      <c r="Z551" s="61"/>
      <c r="AA551" s="61"/>
      <c r="AB551" s="964"/>
      <c r="AC551" s="61"/>
      <c r="AE551" s="964"/>
      <c r="AF551" s="964"/>
      <c r="AG551" s="964"/>
      <c r="AH551" s="61"/>
      <c r="AJ551" s="964"/>
      <c r="AK551" s="964"/>
      <c r="AL551" s="964"/>
      <c r="AM551" s="61"/>
      <c r="AO551" s="964"/>
      <c r="AP551" s="964"/>
      <c r="AQ551" s="964"/>
      <c r="AR551" s="61"/>
      <c r="AT551" s="964"/>
      <c r="AU551" s="964"/>
      <c r="AV551" s="964"/>
      <c r="AW551" s="61"/>
      <c r="AY551" s="964"/>
      <c r="AZ551" s="964"/>
      <c r="BA551" s="964"/>
      <c r="BB551" s="61"/>
      <c r="BD551" s="964"/>
      <c r="BE551" s="964"/>
      <c r="BF551" s="61"/>
      <c r="BG551" s="61"/>
      <c r="BH551" s="61"/>
      <c r="BI551" s="506"/>
      <c r="BJ551" s="506"/>
      <c r="BK551" s="506"/>
      <c r="BL551" s="506"/>
      <c r="BM551" s="506"/>
      <c r="BN551" s="506"/>
      <c r="BO551" s="506"/>
      <c r="BP551" s="506"/>
    </row>
    <row r="552" spans="4:68" hidden="1">
      <c r="D552" t="s">
        <v>681</v>
      </c>
      <c r="E552" s="186" t="s">
        <v>682</v>
      </c>
      <c r="G552" s="62"/>
      <c r="H552" s="62"/>
      <c r="I552" s="62"/>
      <c r="J552" s="62"/>
      <c r="K552" s="62"/>
      <c r="L552" s="62"/>
      <c r="M552" s="61"/>
      <c r="N552" s="62"/>
      <c r="O552" s="61"/>
      <c r="P552" s="62"/>
      <c r="Q552" s="61"/>
      <c r="R552" s="62"/>
      <c r="S552" s="936"/>
      <c r="T552" s="61"/>
      <c r="V552" s="968"/>
      <c r="W552" s="968"/>
      <c r="X552" s="186"/>
      <c r="Y552" s="61"/>
      <c r="Z552" s="61"/>
      <c r="AA552" s="61"/>
      <c r="AB552" s="964"/>
      <c r="AC552" s="61"/>
      <c r="AE552" s="964"/>
      <c r="AF552" s="964"/>
      <c r="AG552" s="964"/>
      <c r="AH552" s="61"/>
      <c r="AJ552" s="964"/>
      <c r="AK552" s="964"/>
      <c r="AL552" s="964"/>
      <c r="AM552" s="61"/>
      <c r="AO552" s="964"/>
      <c r="AP552" s="964"/>
      <c r="AQ552" s="964"/>
      <c r="AR552" s="61"/>
      <c r="AT552" s="964"/>
      <c r="AU552" s="964"/>
      <c r="AV552" s="964"/>
      <c r="AW552" s="61"/>
      <c r="AY552" s="964"/>
      <c r="AZ552" s="964"/>
      <c r="BA552" s="964"/>
      <c r="BB552" s="61"/>
      <c r="BD552" s="964"/>
      <c r="BE552" s="964"/>
      <c r="BF552" s="61"/>
      <c r="BG552" s="61"/>
      <c r="BH552" s="61"/>
      <c r="BI552" s="506"/>
      <c r="BJ552" s="506"/>
      <c r="BK552" s="506"/>
      <c r="BL552" s="506"/>
      <c r="BM552" s="506"/>
      <c r="BN552" s="506"/>
      <c r="BO552" s="506"/>
      <c r="BP552" s="506"/>
    </row>
    <row r="553" spans="4:68" hidden="1">
      <c r="D553" t="s">
        <v>683</v>
      </c>
      <c r="E553" s="186" t="s">
        <v>684</v>
      </c>
      <c r="G553" s="62"/>
      <c r="H553" s="62"/>
      <c r="I553" s="62"/>
      <c r="J553" s="62"/>
      <c r="K553" s="62"/>
      <c r="L553" s="62"/>
      <c r="M553" s="61"/>
      <c r="N553" s="62"/>
      <c r="O553" s="61"/>
      <c r="P553" s="62"/>
      <c r="Q553" s="61"/>
      <c r="R553" s="62"/>
      <c r="S553" s="936"/>
      <c r="T553" s="61"/>
      <c r="V553" s="968"/>
      <c r="W553" s="968"/>
      <c r="X553" s="186"/>
      <c r="Y553" s="61"/>
      <c r="Z553" s="61"/>
      <c r="AA553" s="61"/>
      <c r="AB553" s="964"/>
      <c r="AC553" s="61"/>
      <c r="AE553" s="964"/>
      <c r="AF553" s="964"/>
      <c r="AG553" s="964"/>
      <c r="AH553" s="61"/>
      <c r="AJ553" s="964"/>
      <c r="AK553" s="964"/>
      <c r="AL553" s="964"/>
      <c r="AM553" s="61"/>
      <c r="AO553" s="964"/>
      <c r="AP553" s="964"/>
      <c r="AQ553" s="964"/>
      <c r="AR553" s="61"/>
      <c r="AT553" s="964"/>
      <c r="AU553" s="964"/>
      <c r="AV553" s="964"/>
      <c r="AW553" s="61"/>
      <c r="AY553" s="964"/>
      <c r="AZ553" s="964"/>
      <c r="BA553" s="964"/>
      <c r="BB553" s="61"/>
      <c r="BD553" s="964"/>
      <c r="BE553" s="964"/>
      <c r="BF553" s="61"/>
      <c r="BG553" s="61"/>
      <c r="BH553" s="61"/>
      <c r="BI553" s="506"/>
      <c r="BJ553" s="506"/>
      <c r="BK553" s="506"/>
      <c r="BL553" s="506"/>
      <c r="BM553" s="506"/>
      <c r="BN553" s="506"/>
      <c r="BO553" s="506"/>
      <c r="BP553" s="506"/>
    </row>
    <row r="554" spans="4:68" hidden="1">
      <c r="D554" t="s">
        <v>685</v>
      </c>
      <c r="E554" s="186" t="s">
        <v>686</v>
      </c>
      <c r="G554" s="62"/>
      <c r="H554" s="62"/>
      <c r="I554" s="62"/>
      <c r="J554" s="62"/>
      <c r="K554" s="62"/>
      <c r="L554" s="62"/>
      <c r="M554" s="61"/>
      <c r="N554" s="62"/>
      <c r="O554" s="61"/>
      <c r="P554" s="62"/>
      <c r="Q554" s="61"/>
      <c r="R554" s="62"/>
      <c r="S554" s="936"/>
      <c r="T554" s="61"/>
      <c r="V554" s="968"/>
      <c r="W554" s="968"/>
      <c r="X554" s="186"/>
      <c r="Y554" s="61"/>
      <c r="Z554" s="61"/>
      <c r="AA554" s="61"/>
      <c r="AB554" s="964"/>
      <c r="AC554" s="61"/>
      <c r="AE554" s="964"/>
      <c r="AF554" s="964"/>
      <c r="AG554" s="964"/>
      <c r="AH554" s="61"/>
      <c r="AJ554" s="964"/>
      <c r="AK554" s="964"/>
      <c r="AL554" s="964"/>
      <c r="AM554" s="61"/>
      <c r="AO554" s="964"/>
      <c r="AP554" s="964"/>
      <c r="AQ554" s="964"/>
      <c r="AR554" s="61"/>
      <c r="AT554" s="964"/>
      <c r="AU554" s="964"/>
      <c r="AV554" s="964"/>
      <c r="AW554" s="61"/>
      <c r="AY554" s="964"/>
      <c r="AZ554" s="964"/>
      <c r="BA554" s="964"/>
      <c r="BB554" s="61"/>
      <c r="BD554" s="964"/>
      <c r="BE554" s="964"/>
      <c r="BF554" s="61"/>
      <c r="BG554" s="61"/>
      <c r="BH554" s="61"/>
      <c r="BI554" s="506"/>
      <c r="BJ554" s="506"/>
      <c r="BK554" s="506"/>
      <c r="BL554" s="506"/>
      <c r="BM554" s="506"/>
      <c r="BN554" s="506"/>
      <c r="BO554" s="506"/>
      <c r="BP554" s="506"/>
    </row>
    <row r="555" spans="4:68" hidden="1">
      <c r="D555" t="s">
        <v>687</v>
      </c>
      <c r="E555" s="186" t="s">
        <v>688</v>
      </c>
      <c r="G555" s="62"/>
      <c r="H555" s="62"/>
      <c r="I555" s="62"/>
      <c r="J555" s="62"/>
      <c r="K555" s="62"/>
      <c r="L555" s="62"/>
      <c r="M555" s="61"/>
      <c r="N555" s="62"/>
      <c r="O555" s="61"/>
      <c r="P555" s="62"/>
      <c r="Q555" s="61"/>
      <c r="R555" s="62"/>
      <c r="S555" s="936"/>
      <c r="T555" s="61"/>
      <c r="V555" s="968"/>
      <c r="W555" s="968"/>
      <c r="X555" s="186"/>
      <c r="Y555" s="61"/>
      <c r="Z555" s="61"/>
      <c r="AA555" s="61"/>
      <c r="AB555" s="964"/>
      <c r="AC555" s="61"/>
      <c r="AE555" s="964"/>
      <c r="AF555" s="964"/>
      <c r="AG555" s="964"/>
      <c r="AH555" s="61"/>
      <c r="AJ555" s="964"/>
      <c r="AK555" s="964"/>
      <c r="AL555" s="964"/>
      <c r="AM555" s="61"/>
      <c r="AO555" s="964"/>
      <c r="AP555" s="964"/>
      <c r="AQ555" s="964"/>
      <c r="AR555" s="61"/>
      <c r="AT555" s="964"/>
      <c r="AU555" s="964"/>
      <c r="AV555" s="964"/>
      <c r="AW555" s="61"/>
      <c r="AY555" s="964"/>
      <c r="AZ555" s="964"/>
      <c r="BA555" s="964"/>
      <c r="BB555" s="61"/>
      <c r="BD555" s="964"/>
      <c r="BE555" s="964"/>
      <c r="BF555" s="61"/>
      <c r="BG555" s="61"/>
      <c r="BH555" s="61"/>
      <c r="BI555" s="506"/>
      <c r="BJ555" s="506"/>
      <c r="BK555" s="506"/>
      <c r="BL555" s="506"/>
      <c r="BM555" s="506"/>
      <c r="BN555" s="506"/>
      <c r="BO555" s="506"/>
      <c r="BP555" s="506"/>
    </row>
    <row r="556" spans="4:68" hidden="1">
      <c r="D556" t="s">
        <v>689</v>
      </c>
      <c r="E556" s="186" t="s">
        <v>690</v>
      </c>
      <c r="G556" s="62"/>
      <c r="H556" s="62"/>
      <c r="I556" s="62"/>
      <c r="J556" s="62"/>
      <c r="K556" s="62"/>
      <c r="L556" s="62"/>
      <c r="M556" s="61"/>
      <c r="N556" s="62"/>
      <c r="O556" s="61"/>
      <c r="P556" s="62"/>
      <c r="Q556" s="61"/>
      <c r="R556" s="62"/>
      <c r="S556" s="936"/>
      <c r="T556" s="61"/>
      <c r="V556" s="968"/>
      <c r="W556" s="968"/>
      <c r="X556" s="186"/>
      <c r="Y556" s="61"/>
      <c r="Z556" s="61"/>
      <c r="AA556" s="61"/>
      <c r="AB556" s="964"/>
      <c r="AC556" s="61"/>
      <c r="AE556" s="964"/>
      <c r="AF556" s="964"/>
      <c r="AG556" s="964"/>
      <c r="AH556" s="61"/>
      <c r="AJ556" s="964"/>
      <c r="AK556" s="964"/>
      <c r="AL556" s="964"/>
      <c r="AM556" s="61"/>
      <c r="AO556" s="964"/>
      <c r="AP556" s="964"/>
      <c r="AQ556" s="964"/>
      <c r="AR556" s="61"/>
      <c r="AT556" s="964"/>
      <c r="AU556" s="964"/>
      <c r="AV556" s="964"/>
      <c r="AW556" s="61"/>
      <c r="AY556" s="964"/>
      <c r="AZ556" s="964"/>
      <c r="BA556" s="964"/>
      <c r="BB556" s="61"/>
      <c r="BD556" s="964"/>
      <c r="BE556" s="964"/>
      <c r="BF556" s="61"/>
      <c r="BG556" s="61"/>
      <c r="BH556" s="61"/>
      <c r="BI556" s="506"/>
      <c r="BJ556" s="506"/>
      <c r="BK556" s="506"/>
      <c r="BL556" s="506"/>
      <c r="BM556" s="506"/>
      <c r="BN556" s="506"/>
      <c r="BO556" s="506"/>
      <c r="BP556" s="506"/>
    </row>
    <row r="557" spans="4:68" hidden="1">
      <c r="D557" t="s">
        <v>691</v>
      </c>
      <c r="E557" s="186" t="s">
        <v>692</v>
      </c>
      <c r="G557" s="62"/>
      <c r="H557" s="62"/>
      <c r="I557" s="62"/>
      <c r="J557" s="62"/>
      <c r="K557" s="62"/>
      <c r="L557" s="62"/>
      <c r="M557" s="61"/>
      <c r="N557" s="62"/>
      <c r="O557" s="61"/>
      <c r="P557" s="62"/>
      <c r="Q557" s="61"/>
      <c r="R557" s="62"/>
      <c r="S557" s="936"/>
      <c r="T557" s="61"/>
      <c r="V557" s="968"/>
      <c r="W557" s="968"/>
      <c r="X557" s="186"/>
      <c r="Y557" s="61"/>
      <c r="Z557" s="61"/>
      <c r="AA557" s="61"/>
      <c r="AB557" s="964"/>
      <c r="AC557" s="61"/>
      <c r="AE557" s="964"/>
      <c r="AF557" s="964"/>
      <c r="AG557" s="964"/>
      <c r="AH557" s="61"/>
      <c r="AJ557" s="964"/>
      <c r="AK557" s="964"/>
      <c r="AL557" s="964"/>
      <c r="AM557" s="61"/>
      <c r="AO557" s="964"/>
      <c r="AP557" s="964"/>
      <c r="AQ557" s="964"/>
      <c r="AR557" s="61"/>
      <c r="AT557" s="964"/>
      <c r="AU557" s="964"/>
      <c r="AV557" s="964"/>
      <c r="AW557" s="61"/>
      <c r="AY557" s="964"/>
      <c r="AZ557" s="964"/>
      <c r="BA557" s="964"/>
      <c r="BB557" s="61"/>
      <c r="BD557" s="964"/>
      <c r="BE557" s="964"/>
      <c r="BF557" s="61"/>
      <c r="BG557" s="61"/>
      <c r="BH557" s="61"/>
      <c r="BI557" s="506"/>
      <c r="BJ557" s="506"/>
      <c r="BK557" s="506"/>
      <c r="BL557" s="506"/>
      <c r="BM557" s="506"/>
      <c r="BN557" s="506"/>
      <c r="BO557" s="506"/>
      <c r="BP557" s="506"/>
    </row>
    <row r="558" spans="4:68" hidden="1">
      <c r="D558" t="s">
        <v>693</v>
      </c>
      <c r="E558" s="186" t="s">
        <v>694</v>
      </c>
      <c r="G558" s="62"/>
      <c r="H558" s="62"/>
      <c r="I558" s="62"/>
      <c r="J558" s="62"/>
      <c r="K558" s="62"/>
      <c r="L558" s="62"/>
      <c r="M558" s="61"/>
      <c r="N558" s="62"/>
      <c r="O558" s="61"/>
      <c r="P558" s="62"/>
      <c r="Q558" s="61"/>
      <c r="R558" s="62"/>
      <c r="S558" s="936"/>
      <c r="T558" s="61"/>
      <c r="V558" s="968"/>
      <c r="W558" s="968"/>
      <c r="X558" s="186"/>
      <c r="Y558" s="61"/>
      <c r="Z558" s="61"/>
      <c r="AA558" s="61"/>
      <c r="AB558" s="964"/>
      <c r="AC558" s="61"/>
      <c r="AE558" s="964"/>
      <c r="AF558" s="964"/>
      <c r="AG558" s="964"/>
      <c r="AH558" s="61"/>
      <c r="AJ558" s="964"/>
      <c r="AK558" s="964"/>
      <c r="AL558" s="964"/>
      <c r="AM558" s="61"/>
      <c r="AO558" s="964"/>
      <c r="AP558" s="964"/>
      <c r="AQ558" s="964"/>
      <c r="AR558" s="61"/>
      <c r="AT558" s="964"/>
      <c r="AU558" s="964"/>
      <c r="AV558" s="964"/>
      <c r="AW558" s="61"/>
      <c r="AY558" s="964"/>
      <c r="AZ558" s="964"/>
      <c r="BA558" s="964"/>
      <c r="BB558" s="61"/>
      <c r="BD558" s="964"/>
      <c r="BE558" s="964"/>
      <c r="BF558" s="61"/>
      <c r="BG558" s="61"/>
      <c r="BH558" s="61"/>
      <c r="BI558" s="506"/>
      <c r="BJ558" s="506"/>
      <c r="BK558" s="506"/>
      <c r="BL558" s="506"/>
      <c r="BM558" s="506"/>
      <c r="BN558" s="506"/>
      <c r="BO558" s="506"/>
      <c r="BP558" s="506"/>
    </row>
    <row r="559" spans="4:68" hidden="1">
      <c r="D559" t="s">
        <v>695</v>
      </c>
      <c r="E559" s="186" t="s">
        <v>696</v>
      </c>
      <c r="G559" s="62"/>
      <c r="H559" s="62"/>
      <c r="I559" s="62"/>
      <c r="J559" s="62"/>
      <c r="K559" s="62"/>
      <c r="L559" s="62"/>
      <c r="M559" s="61"/>
      <c r="N559" s="62"/>
      <c r="O559" s="61"/>
      <c r="P559" s="62"/>
      <c r="Q559" s="61"/>
      <c r="R559" s="62"/>
      <c r="S559" s="936"/>
      <c r="T559" s="61"/>
      <c r="V559" s="968"/>
      <c r="W559" s="968"/>
      <c r="X559" s="186"/>
      <c r="Y559" s="61"/>
      <c r="Z559" s="61"/>
      <c r="AA559" s="61"/>
      <c r="AB559" s="964"/>
      <c r="AC559" s="61"/>
      <c r="AE559" s="964"/>
      <c r="AF559" s="964"/>
      <c r="AG559" s="964"/>
      <c r="AH559" s="61"/>
      <c r="AJ559" s="964"/>
      <c r="AK559" s="964"/>
      <c r="AL559" s="964"/>
      <c r="AM559" s="61"/>
      <c r="AO559" s="964"/>
      <c r="AP559" s="964"/>
      <c r="AQ559" s="964"/>
      <c r="AR559" s="61"/>
      <c r="AT559" s="964"/>
      <c r="AU559" s="964"/>
      <c r="AV559" s="964"/>
      <c r="AW559" s="61"/>
      <c r="AY559" s="964"/>
      <c r="AZ559" s="964"/>
      <c r="BA559" s="964"/>
      <c r="BB559" s="61"/>
      <c r="BD559" s="964"/>
      <c r="BE559" s="964"/>
      <c r="BF559" s="61"/>
      <c r="BG559" s="61"/>
      <c r="BH559" s="61"/>
      <c r="BI559" s="506"/>
      <c r="BJ559" s="506"/>
      <c r="BK559" s="506"/>
      <c r="BL559" s="506"/>
      <c r="BM559" s="506"/>
      <c r="BN559" s="506"/>
      <c r="BO559" s="506"/>
      <c r="BP559" s="506"/>
    </row>
    <row r="560" spans="4:68" hidden="1">
      <c r="D560" t="s">
        <v>697</v>
      </c>
      <c r="E560" s="186" t="s">
        <v>698</v>
      </c>
      <c r="G560" s="62"/>
      <c r="H560" s="62"/>
      <c r="I560" s="62"/>
      <c r="J560" s="62"/>
      <c r="K560" s="62"/>
      <c r="L560" s="62"/>
      <c r="M560" s="61"/>
      <c r="N560" s="62"/>
      <c r="O560" s="61"/>
      <c r="P560" s="62"/>
      <c r="Q560" s="61"/>
      <c r="R560" s="62"/>
      <c r="S560" s="936"/>
      <c r="T560" s="61"/>
      <c r="V560" s="968"/>
      <c r="W560" s="968"/>
      <c r="X560" s="186"/>
      <c r="Y560" s="61"/>
      <c r="Z560" s="61"/>
      <c r="AA560" s="61"/>
      <c r="AB560" s="964"/>
      <c r="AC560" s="61"/>
      <c r="AE560" s="964"/>
      <c r="AF560" s="964"/>
      <c r="AG560" s="964"/>
      <c r="AH560" s="61"/>
      <c r="AJ560" s="964"/>
      <c r="AK560" s="964"/>
      <c r="AL560" s="964"/>
      <c r="AM560" s="61"/>
      <c r="AO560" s="964"/>
      <c r="AP560" s="964"/>
      <c r="AQ560" s="964"/>
      <c r="AR560" s="61"/>
      <c r="AT560" s="964"/>
      <c r="AU560" s="964"/>
      <c r="AV560" s="964"/>
      <c r="AW560" s="61"/>
      <c r="AY560" s="964"/>
      <c r="AZ560" s="964"/>
      <c r="BA560" s="964"/>
      <c r="BB560" s="61"/>
      <c r="BD560" s="964"/>
      <c r="BE560" s="964"/>
      <c r="BF560" s="61"/>
      <c r="BG560" s="61"/>
      <c r="BH560" s="61"/>
      <c r="BI560" s="506"/>
      <c r="BJ560" s="506"/>
      <c r="BK560" s="506"/>
      <c r="BL560" s="506"/>
      <c r="BM560" s="506"/>
      <c r="BN560" s="506"/>
      <c r="BO560" s="506"/>
      <c r="BP560" s="506"/>
    </row>
    <row r="561" spans="4:68" hidden="1">
      <c r="D561" t="s">
        <v>699</v>
      </c>
      <c r="E561" s="186" t="s">
        <v>700</v>
      </c>
      <c r="G561" s="62"/>
      <c r="H561" s="62"/>
      <c r="I561" s="62"/>
      <c r="J561" s="62"/>
      <c r="K561" s="62"/>
      <c r="L561" s="62"/>
      <c r="M561" s="61"/>
      <c r="N561" s="62"/>
      <c r="O561" s="61"/>
      <c r="P561" s="62"/>
      <c r="Q561" s="61"/>
      <c r="R561" s="62"/>
      <c r="S561" s="936"/>
      <c r="T561" s="61"/>
      <c r="V561" s="968"/>
      <c r="W561" s="968"/>
      <c r="X561" s="186"/>
      <c r="Y561" s="61"/>
      <c r="Z561" s="61"/>
      <c r="AA561" s="61"/>
      <c r="AB561" s="964"/>
      <c r="AC561" s="61"/>
      <c r="AE561" s="964"/>
      <c r="AF561" s="964"/>
      <c r="AG561" s="964"/>
      <c r="AH561" s="61"/>
      <c r="AJ561" s="964"/>
      <c r="AK561" s="964"/>
      <c r="AL561" s="964"/>
      <c r="AM561" s="61"/>
      <c r="AO561" s="964"/>
      <c r="AP561" s="964"/>
      <c r="AQ561" s="964"/>
      <c r="AR561" s="61"/>
      <c r="AT561" s="964"/>
      <c r="AU561" s="964"/>
      <c r="AV561" s="964"/>
      <c r="AW561" s="61"/>
      <c r="AY561" s="964"/>
      <c r="AZ561" s="964"/>
      <c r="BA561" s="964"/>
      <c r="BB561" s="61"/>
      <c r="BD561" s="964"/>
      <c r="BE561" s="964"/>
      <c r="BF561" s="61"/>
      <c r="BG561" s="61"/>
      <c r="BH561" s="61"/>
      <c r="BI561" s="506"/>
      <c r="BJ561" s="506"/>
      <c r="BK561" s="506"/>
      <c r="BL561" s="506"/>
      <c r="BM561" s="506"/>
      <c r="BN561" s="506"/>
      <c r="BO561" s="506"/>
      <c r="BP561" s="506"/>
    </row>
    <row r="562" spans="4:68" hidden="1">
      <c r="D562" t="s">
        <v>701</v>
      </c>
      <c r="E562" s="186" t="s">
        <v>702</v>
      </c>
      <c r="G562" s="62"/>
      <c r="H562" s="62"/>
      <c r="I562" s="62"/>
      <c r="J562" s="62"/>
      <c r="K562" s="62"/>
      <c r="L562" s="62"/>
      <c r="M562" s="61"/>
      <c r="N562" s="62"/>
      <c r="O562" s="61"/>
      <c r="P562" s="62"/>
      <c r="Q562" s="61"/>
      <c r="R562" s="62"/>
      <c r="S562" s="936"/>
      <c r="T562" s="61"/>
      <c r="V562" s="968"/>
      <c r="W562" s="968"/>
      <c r="X562" s="186"/>
      <c r="Y562" s="61"/>
      <c r="Z562" s="61"/>
      <c r="AA562" s="61"/>
      <c r="AB562" s="964"/>
      <c r="AC562" s="61"/>
      <c r="AE562" s="964"/>
      <c r="AF562" s="964"/>
      <c r="AG562" s="964"/>
      <c r="AH562" s="61"/>
      <c r="AJ562" s="964"/>
      <c r="AK562" s="964"/>
      <c r="AL562" s="964"/>
      <c r="AM562" s="61"/>
      <c r="AO562" s="964"/>
      <c r="AP562" s="964"/>
      <c r="AQ562" s="964"/>
      <c r="AR562" s="61"/>
      <c r="AT562" s="964"/>
      <c r="AU562" s="964"/>
      <c r="AV562" s="964"/>
      <c r="AW562" s="61"/>
      <c r="AY562" s="964"/>
      <c r="AZ562" s="964"/>
      <c r="BA562" s="964"/>
      <c r="BB562" s="61"/>
      <c r="BD562" s="964"/>
      <c r="BE562" s="964"/>
      <c r="BF562" s="61"/>
      <c r="BG562" s="61"/>
      <c r="BH562" s="61"/>
      <c r="BI562" s="506"/>
      <c r="BJ562" s="506"/>
      <c r="BK562" s="506"/>
      <c r="BL562" s="506"/>
      <c r="BM562" s="506"/>
      <c r="BN562" s="506"/>
      <c r="BO562" s="506"/>
      <c r="BP562" s="506"/>
    </row>
    <row r="563" spans="4:68" hidden="1">
      <c r="D563" t="s">
        <v>703</v>
      </c>
      <c r="E563" s="186" t="s">
        <v>704</v>
      </c>
      <c r="G563" s="62"/>
      <c r="H563" s="62"/>
      <c r="I563" s="62"/>
      <c r="J563" s="62"/>
      <c r="K563" s="62"/>
      <c r="L563" s="62"/>
      <c r="M563" s="61"/>
      <c r="N563" s="62"/>
      <c r="O563" s="61"/>
      <c r="P563" s="62"/>
      <c r="Q563" s="61"/>
      <c r="R563" s="62"/>
      <c r="S563" s="936"/>
      <c r="T563" s="61"/>
      <c r="V563" s="968"/>
      <c r="W563" s="968"/>
      <c r="X563" s="186"/>
      <c r="Y563" s="61"/>
      <c r="Z563" s="61"/>
      <c r="AA563" s="61"/>
      <c r="AB563" s="964"/>
      <c r="AC563" s="61"/>
      <c r="AE563" s="964"/>
      <c r="AF563" s="964"/>
      <c r="AG563" s="964"/>
      <c r="AH563" s="61"/>
      <c r="AJ563" s="964"/>
      <c r="AK563" s="964"/>
      <c r="AL563" s="964"/>
      <c r="AM563" s="61"/>
      <c r="AO563" s="964"/>
      <c r="AP563" s="964"/>
      <c r="AQ563" s="964"/>
      <c r="AR563" s="61"/>
      <c r="AT563" s="964"/>
      <c r="AU563" s="964"/>
      <c r="AV563" s="964"/>
      <c r="AW563" s="61"/>
      <c r="AY563" s="964"/>
      <c r="AZ563" s="964"/>
      <c r="BA563" s="964"/>
      <c r="BB563" s="61"/>
      <c r="BD563" s="964"/>
      <c r="BE563" s="964"/>
      <c r="BF563" s="61"/>
      <c r="BG563" s="61"/>
      <c r="BH563" s="61"/>
      <c r="BI563" s="506"/>
      <c r="BJ563" s="506"/>
      <c r="BK563" s="506"/>
      <c r="BL563" s="506"/>
      <c r="BM563" s="506"/>
      <c r="BN563" s="506"/>
      <c r="BO563" s="506"/>
      <c r="BP563" s="506"/>
    </row>
    <row r="564" spans="4:68" hidden="1">
      <c r="D564" t="s">
        <v>705</v>
      </c>
      <c r="E564" s="186" t="s">
        <v>706</v>
      </c>
      <c r="G564" s="62"/>
      <c r="H564" s="62"/>
      <c r="I564" s="62"/>
      <c r="J564" s="62"/>
      <c r="K564" s="62"/>
      <c r="L564" s="62"/>
      <c r="M564" s="61"/>
      <c r="N564" s="62"/>
      <c r="O564" s="61"/>
      <c r="P564" s="62"/>
      <c r="Q564" s="61"/>
      <c r="R564" s="62"/>
      <c r="S564" s="936"/>
      <c r="T564" s="61"/>
      <c r="V564" s="968"/>
      <c r="W564" s="968"/>
      <c r="X564" s="186"/>
      <c r="Y564" s="61"/>
      <c r="Z564" s="61"/>
      <c r="AA564" s="61"/>
      <c r="AB564" s="964"/>
      <c r="AC564" s="61"/>
      <c r="AE564" s="964"/>
      <c r="AF564" s="964"/>
      <c r="AG564" s="964"/>
      <c r="AH564" s="61"/>
      <c r="AJ564" s="964"/>
      <c r="AK564" s="964"/>
      <c r="AL564" s="964"/>
      <c r="AM564" s="61"/>
      <c r="AO564" s="964"/>
      <c r="AP564" s="964"/>
      <c r="AQ564" s="964"/>
      <c r="AR564" s="61"/>
      <c r="AT564" s="964"/>
      <c r="AU564" s="964"/>
      <c r="AV564" s="964"/>
      <c r="AW564" s="61"/>
      <c r="AY564" s="964"/>
      <c r="AZ564" s="964"/>
      <c r="BA564" s="964"/>
      <c r="BB564" s="61"/>
      <c r="BD564" s="964"/>
      <c r="BE564" s="964"/>
      <c r="BF564" s="61"/>
      <c r="BG564" s="61"/>
      <c r="BH564" s="61"/>
      <c r="BI564" s="506"/>
      <c r="BJ564" s="506"/>
      <c r="BK564" s="506"/>
      <c r="BL564" s="506"/>
      <c r="BM564" s="506"/>
      <c r="BN564" s="506"/>
      <c r="BO564" s="506"/>
      <c r="BP564" s="506"/>
    </row>
    <row r="565" spans="4:68" hidden="1">
      <c r="D565" t="s">
        <v>707</v>
      </c>
      <c r="E565" s="186" t="s">
        <v>708</v>
      </c>
      <c r="G565" s="62"/>
      <c r="H565" s="62"/>
      <c r="I565" s="62"/>
      <c r="J565" s="62"/>
      <c r="K565" s="62"/>
      <c r="L565" s="62"/>
      <c r="M565" s="61"/>
      <c r="N565" s="62"/>
      <c r="O565" s="61"/>
      <c r="P565" s="62"/>
      <c r="Q565" s="61"/>
      <c r="R565" s="62"/>
      <c r="S565" s="936"/>
      <c r="T565" s="61"/>
      <c r="V565" s="968"/>
      <c r="W565" s="968"/>
      <c r="X565" s="186"/>
      <c r="Y565" s="61"/>
      <c r="Z565" s="61"/>
      <c r="AA565" s="61"/>
      <c r="AB565" s="964"/>
      <c r="AC565" s="61"/>
      <c r="AE565" s="964"/>
      <c r="AF565" s="964"/>
      <c r="AG565" s="964"/>
      <c r="AH565" s="61"/>
      <c r="AJ565" s="964"/>
      <c r="AK565" s="964"/>
      <c r="AL565" s="964"/>
      <c r="AM565" s="61"/>
      <c r="AO565" s="964"/>
      <c r="AP565" s="964"/>
      <c r="AQ565" s="964"/>
      <c r="AR565" s="61"/>
      <c r="AT565" s="964"/>
      <c r="AU565" s="964"/>
      <c r="AV565" s="964"/>
      <c r="AW565" s="61"/>
      <c r="AY565" s="964"/>
      <c r="AZ565" s="964"/>
      <c r="BA565" s="964"/>
      <c r="BB565" s="61"/>
      <c r="BD565" s="964"/>
      <c r="BE565" s="964"/>
      <c r="BF565" s="61"/>
      <c r="BG565" s="61"/>
      <c r="BH565" s="61"/>
      <c r="BI565" s="506"/>
      <c r="BJ565" s="506"/>
      <c r="BK565" s="506"/>
      <c r="BL565" s="506"/>
      <c r="BM565" s="506"/>
      <c r="BN565" s="506"/>
      <c r="BO565" s="506"/>
      <c r="BP565" s="506"/>
    </row>
    <row r="566" spans="4:68" hidden="1">
      <c r="D566" t="s">
        <v>709</v>
      </c>
      <c r="E566" s="186" t="s">
        <v>710</v>
      </c>
      <c r="G566" s="62"/>
      <c r="H566" s="62"/>
      <c r="I566" s="62"/>
      <c r="J566" s="62"/>
      <c r="K566" s="62"/>
      <c r="L566" s="62"/>
      <c r="M566" s="61"/>
      <c r="N566" s="62"/>
      <c r="O566" s="61"/>
      <c r="P566" s="62"/>
      <c r="Q566" s="61"/>
      <c r="R566" s="62"/>
      <c r="S566" s="936"/>
      <c r="T566" s="61"/>
      <c r="V566" s="968"/>
      <c r="W566" s="968"/>
      <c r="X566" s="186"/>
      <c r="Y566" s="61"/>
      <c r="Z566" s="61"/>
      <c r="AA566" s="61"/>
      <c r="AB566" s="964"/>
      <c r="AC566" s="61"/>
      <c r="AE566" s="964"/>
      <c r="AF566" s="964"/>
      <c r="AG566" s="964"/>
      <c r="AH566" s="61"/>
      <c r="AJ566" s="964"/>
      <c r="AK566" s="964"/>
      <c r="AL566" s="964"/>
      <c r="AM566" s="61"/>
      <c r="AO566" s="964"/>
      <c r="AP566" s="964"/>
      <c r="AQ566" s="964"/>
      <c r="AR566" s="61"/>
      <c r="AT566" s="964"/>
      <c r="AU566" s="964"/>
      <c r="AV566" s="964"/>
      <c r="AW566" s="61"/>
      <c r="AY566" s="964"/>
      <c r="AZ566" s="964"/>
      <c r="BA566" s="964"/>
      <c r="BB566" s="61"/>
      <c r="BD566" s="964"/>
      <c r="BE566" s="964"/>
      <c r="BF566" s="61"/>
      <c r="BG566" s="61"/>
      <c r="BH566" s="61"/>
      <c r="BI566" s="506"/>
      <c r="BJ566" s="506"/>
      <c r="BK566" s="506"/>
      <c r="BL566" s="506"/>
      <c r="BM566" s="506"/>
      <c r="BN566" s="506"/>
      <c r="BO566" s="506"/>
      <c r="BP566" s="506"/>
    </row>
    <row r="567" spans="4:68" hidden="1">
      <c r="D567" t="s">
        <v>711</v>
      </c>
      <c r="E567" s="186" t="s">
        <v>712</v>
      </c>
      <c r="G567" s="62"/>
      <c r="H567" s="62"/>
      <c r="I567" s="62"/>
      <c r="J567" s="62"/>
      <c r="K567" s="62"/>
      <c r="L567" s="62"/>
      <c r="M567" s="61"/>
      <c r="N567" s="62"/>
      <c r="O567" s="61"/>
      <c r="P567" s="62"/>
      <c r="Q567" s="61"/>
      <c r="R567" s="62"/>
      <c r="S567" s="936"/>
      <c r="T567" s="61"/>
      <c r="V567" s="968"/>
      <c r="W567" s="968"/>
      <c r="X567" s="186"/>
      <c r="Y567" s="61"/>
      <c r="Z567" s="61"/>
      <c r="AA567" s="61"/>
      <c r="AB567" s="964"/>
      <c r="AC567" s="61"/>
      <c r="AE567" s="964"/>
      <c r="AF567" s="964"/>
      <c r="AG567" s="964"/>
      <c r="AH567" s="61"/>
      <c r="AJ567" s="964"/>
      <c r="AK567" s="964"/>
      <c r="AL567" s="964"/>
      <c r="AM567" s="61"/>
      <c r="AO567" s="964"/>
      <c r="AP567" s="964"/>
      <c r="AQ567" s="964"/>
      <c r="AR567" s="61"/>
      <c r="AT567" s="964"/>
      <c r="AU567" s="964"/>
      <c r="AV567" s="964"/>
      <c r="AW567" s="61"/>
      <c r="AY567" s="964"/>
      <c r="AZ567" s="964"/>
      <c r="BA567" s="964"/>
      <c r="BB567" s="61"/>
      <c r="BD567" s="964"/>
      <c r="BE567" s="964"/>
      <c r="BF567" s="61"/>
      <c r="BG567" s="61"/>
      <c r="BH567" s="61"/>
      <c r="BI567" s="506"/>
      <c r="BJ567" s="506"/>
      <c r="BK567" s="506"/>
      <c r="BL567" s="506"/>
      <c r="BM567" s="506"/>
      <c r="BN567" s="506"/>
      <c r="BO567" s="506"/>
      <c r="BP567" s="506"/>
    </row>
    <row r="568" spans="4:68" hidden="1">
      <c r="D568" t="s">
        <v>713</v>
      </c>
      <c r="E568" s="186" t="s">
        <v>714</v>
      </c>
      <c r="G568" s="62"/>
      <c r="H568" s="62"/>
      <c r="I568" s="62"/>
      <c r="J568" s="62"/>
      <c r="K568" s="62"/>
      <c r="L568" s="62"/>
      <c r="M568" s="61"/>
      <c r="N568" s="62"/>
      <c r="O568" s="61"/>
      <c r="P568" s="62"/>
      <c r="Q568" s="61"/>
      <c r="R568" s="62"/>
      <c r="S568" s="936"/>
      <c r="T568" s="61"/>
      <c r="V568" s="968"/>
      <c r="W568" s="968"/>
      <c r="X568" s="186"/>
      <c r="Y568" s="61"/>
      <c r="Z568" s="61"/>
      <c r="AA568" s="61"/>
      <c r="AB568" s="964"/>
      <c r="AC568" s="61"/>
      <c r="AE568" s="964"/>
      <c r="AF568" s="964"/>
      <c r="AG568" s="964"/>
      <c r="AH568" s="61"/>
      <c r="AJ568" s="964"/>
      <c r="AK568" s="964"/>
      <c r="AL568" s="964"/>
      <c r="AM568" s="61"/>
      <c r="AO568" s="964"/>
      <c r="AP568" s="964"/>
      <c r="AQ568" s="964"/>
      <c r="AR568" s="61"/>
      <c r="AT568" s="964"/>
      <c r="AU568" s="964"/>
      <c r="AV568" s="964"/>
      <c r="AW568" s="61"/>
      <c r="AY568" s="964"/>
      <c r="AZ568" s="964"/>
      <c r="BA568" s="964"/>
      <c r="BB568" s="61"/>
      <c r="BD568" s="964"/>
      <c r="BE568" s="964"/>
      <c r="BF568" s="61"/>
      <c r="BG568" s="61"/>
      <c r="BH568" s="61"/>
      <c r="BI568" s="506"/>
      <c r="BJ568" s="506"/>
      <c r="BK568" s="506"/>
      <c r="BL568" s="506"/>
      <c r="BM568" s="506"/>
      <c r="BN568" s="506"/>
      <c r="BO568" s="506"/>
      <c r="BP568" s="506"/>
    </row>
    <row r="569" spans="4:68" hidden="1">
      <c r="D569" t="s">
        <v>715</v>
      </c>
      <c r="E569" s="186" t="s">
        <v>716</v>
      </c>
      <c r="G569" s="62"/>
      <c r="H569" s="62"/>
      <c r="I569" s="62"/>
      <c r="J569" s="62"/>
      <c r="K569" s="62"/>
      <c r="L569" s="62"/>
      <c r="M569" s="61"/>
      <c r="N569" s="62"/>
      <c r="O569" s="61"/>
      <c r="P569" s="62"/>
      <c r="Q569" s="61"/>
      <c r="R569" s="62"/>
      <c r="S569" s="936"/>
      <c r="T569" s="61"/>
      <c r="V569" s="968"/>
      <c r="W569" s="968"/>
      <c r="X569" s="186"/>
      <c r="Y569" s="61"/>
      <c r="Z569" s="61"/>
      <c r="AA569" s="61"/>
      <c r="AB569" s="964"/>
      <c r="AC569" s="61"/>
      <c r="AE569" s="964"/>
      <c r="AF569" s="964"/>
      <c r="AG569" s="964"/>
      <c r="AH569" s="61"/>
      <c r="AJ569" s="964"/>
      <c r="AK569" s="964"/>
      <c r="AL569" s="964"/>
      <c r="AM569" s="61"/>
      <c r="AO569" s="964"/>
      <c r="AP569" s="964"/>
      <c r="AQ569" s="964"/>
      <c r="AR569" s="61"/>
      <c r="AT569" s="964"/>
      <c r="AU569" s="964"/>
      <c r="AV569" s="964"/>
      <c r="AW569" s="61"/>
      <c r="AY569" s="964"/>
      <c r="AZ569" s="964"/>
      <c r="BA569" s="964"/>
      <c r="BB569" s="61"/>
      <c r="BD569" s="964"/>
      <c r="BE569" s="964"/>
      <c r="BF569" s="61"/>
      <c r="BG569" s="61"/>
      <c r="BH569" s="61"/>
      <c r="BI569" s="506"/>
      <c r="BJ569" s="506"/>
      <c r="BK569" s="506"/>
      <c r="BL569" s="506"/>
      <c r="BM569" s="506"/>
      <c r="BN569" s="506"/>
      <c r="BO569" s="506"/>
      <c r="BP569" s="506"/>
    </row>
    <row r="570" spans="4:68" hidden="1">
      <c r="D570" t="s">
        <v>717</v>
      </c>
      <c r="E570" s="186" t="s">
        <v>690</v>
      </c>
      <c r="G570" s="62"/>
      <c r="H570" s="62"/>
      <c r="I570" s="62"/>
      <c r="J570" s="62"/>
      <c r="K570" s="62"/>
      <c r="L570" s="62"/>
      <c r="M570" s="61"/>
      <c r="N570" s="62"/>
      <c r="O570" s="61"/>
      <c r="P570" s="62"/>
      <c r="Q570" s="61"/>
      <c r="R570" s="62"/>
      <c r="S570" s="936"/>
      <c r="T570" s="61"/>
      <c r="V570" s="968"/>
      <c r="W570" s="968"/>
      <c r="X570" s="186"/>
      <c r="Y570" s="61"/>
      <c r="Z570" s="61"/>
      <c r="AA570" s="61"/>
      <c r="AB570" s="964"/>
      <c r="AC570" s="61"/>
      <c r="AE570" s="964"/>
      <c r="AF570" s="964"/>
      <c r="AG570" s="964"/>
      <c r="AH570" s="61"/>
      <c r="AJ570" s="964"/>
      <c r="AK570" s="964"/>
      <c r="AL570" s="964"/>
      <c r="AM570" s="61"/>
      <c r="AO570" s="964"/>
      <c r="AP570" s="964"/>
      <c r="AQ570" s="964"/>
      <c r="AR570" s="61"/>
      <c r="AT570" s="964"/>
      <c r="AU570" s="964"/>
      <c r="AV570" s="964"/>
      <c r="AW570" s="61"/>
      <c r="AY570" s="964"/>
      <c r="AZ570" s="964"/>
      <c r="BA570" s="964"/>
      <c r="BB570" s="61"/>
      <c r="BD570" s="964"/>
      <c r="BE570" s="964"/>
      <c r="BF570" s="61"/>
      <c r="BG570" s="61"/>
      <c r="BH570" s="61"/>
      <c r="BI570" s="506"/>
      <c r="BJ570" s="506"/>
      <c r="BK570" s="506"/>
      <c r="BL570" s="506"/>
      <c r="BM570" s="506"/>
      <c r="BN570" s="506"/>
      <c r="BO570" s="506"/>
      <c r="BP570" s="506"/>
    </row>
    <row r="571" spans="4:68" hidden="1">
      <c r="D571" t="s">
        <v>718</v>
      </c>
      <c r="E571" s="186" t="s">
        <v>698</v>
      </c>
      <c r="G571" s="62"/>
      <c r="H571" s="62"/>
      <c r="I571" s="62"/>
      <c r="J571" s="62"/>
      <c r="K571" s="62"/>
      <c r="L571" s="62"/>
      <c r="M571" s="61"/>
      <c r="N571" s="62"/>
      <c r="O571" s="61"/>
      <c r="P571" s="62"/>
      <c r="Q571" s="61"/>
      <c r="R571" s="62"/>
      <c r="S571" s="936"/>
      <c r="T571" s="61"/>
      <c r="V571" s="968"/>
      <c r="W571" s="968"/>
      <c r="X571" s="186"/>
      <c r="Y571" s="61"/>
      <c r="Z571" s="61"/>
      <c r="AA571" s="61"/>
      <c r="AB571" s="964"/>
      <c r="AC571" s="61"/>
      <c r="AE571" s="964"/>
      <c r="AF571" s="964"/>
      <c r="AG571" s="964"/>
      <c r="AH571" s="61"/>
      <c r="AJ571" s="964"/>
      <c r="AK571" s="964"/>
      <c r="AL571" s="964"/>
      <c r="AM571" s="61"/>
      <c r="AO571" s="964"/>
      <c r="AP571" s="964"/>
      <c r="AQ571" s="964"/>
      <c r="AR571" s="61"/>
      <c r="AT571" s="964"/>
      <c r="AU571" s="964"/>
      <c r="AV571" s="964"/>
      <c r="AW571" s="61"/>
      <c r="AY571" s="964"/>
      <c r="AZ571" s="964"/>
      <c r="BA571" s="964"/>
      <c r="BB571" s="61"/>
      <c r="BD571" s="964"/>
      <c r="BE571" s="964"/>
      <c r="BF571" s="61"/>
      <c r="BG571" s="61"/>
      <c r="BH571" s="61"/>
      <c r="BI571" s="506"/>
      <c r="BJ571" s="506"/>
      <c r="BK571" s="506"/>
      <c r="BL571" s="506"/>
      <c r="BM571" s="506"/>
      <c r="BN571" s="506"/>
      <c r="BO571" s="506"/>
      <c r="BP571" s="506"/>
    </row>
    <row r="572" spans="4:68" hidden="1">
      <c r="D572" t="s">
        <v>719</v>
      </c>
      <c r="E572" s="186" t="s">
        <v>720</v>
      </c>
      <c r="G572" s="62"/>
      <c r="H572" s="62"/>
      <c r="I572" s="62"/>
      <c r="J572" s="62"/>
      <c r="K572" s="62"/>
      <c r="L572" s="62"/>
      <c r="M572" s="61"/>
      <c r="N572" s="62"/>
      <c r="O572" s="61"/>
      <c r="P572" s="62"/>
      <c r="Q572" s="61"/>
      <c r="R572" s="62"/>
      <c r="S572" s="936"/>
      <c r="T572" s="61"/>
      <c r="V572" s="968"/>
      <c r="W572" s="968"/>
      <c r="X572" s="186"/>
      <c r="Y572" s="61"/>
      <c r="Z572" s="61"/>
      <c r="AA572" s="61"/>
      <c r="AB572" s="964"/>
      <c r="AC572" s="61"/>
      <c r="AE572" s="964"/>
      <c r="AF572" s="964"/>
      <c r="AG572" s="964"/>
      <c r="AH572" s="61"/>
      <c r="AJ572" s="964"/>
      <c r="AK572" s="964"/>
      <c r="AL572" s="964"/>
      <c r="AM572" s="61"/>
      <c r="AO572" s="964"/>
      <c r="AP572" s="964"/>
      <c r="AQ572" s="964"/>
      <c r="AR572" s="61"/>
      <c r="AT572" s="964"/>
      <c r="AU572" s="964"/>
      <c r="AV572" s="964"/>
      <c r="AW572" s="61"/>
      <c r="AY572" s="964"/>
      <c r="AZ572" s="964"/>
      <c r="BA572" s="964"/>
      <c r="BB572" s="61"/>
      <c r="BD572" s="964"/>
      <c r="BE572" s="964"/>
      <c r="BF572" s="61"/>
      <c r="BG572" s="61"/>
      <c r="BH572" s="61"/>
      <c r="BI572" s="506"/>
      <c r="BJ572" s="506"/>
      <c r="BK572" s="506"/>
      <c r="BL572" s="506"/>
      <c r="BM572" s="506"/>
      <c r="BN572" s="506"/>
      <c r="BO572" s="506"/>
      <c r="BP572" s="506"/>
    </row>
    <row r="573" spans="4:68" hidden="1">
      <c r="E573" s="186" t="s">
        <v>634</v>
      </c>
      <c r="G573" s="62"/>
      <c r="H573" s="62"/>
      <c r="I573" s="62"/>
      <c r="J573" s="62"/>
      <c r="K573" s="62"/>
      <c r="L573" s="62"/>
      <c r="M573" s="534">
        <f>SUM(M552:M572)</f>
        <v>0</v>
      </c>
      <c r="N573" s="62"/>
      <c r="O573" s="534">
        <f>SUM(O552:O572)</f>
        <v>0</v>
      </c>
      <c r="P573" s="62"/>
      <c r="Q573" s="534">
        <f>SUM(Q552:Q572)</f>
        <v>0</v>
      </c>
      <c r="R573" s="62"/>
      <c r="S573" s="936"/>
      <c r="T573" s="534">
        <f>SUM(T552:T572)</f>
        <v>0</v>
      </c>
      <c r="U573" s="1071"/>
      <c r="V573" s="968"/>
      <c r="W573" s="968"/>
      <c r="X573" s="186"/>
      <c r="Y573" s="534">
        <f>SUM(Y552:Y572)</f>
        <v>0</v>
      </c>
      <c r="Z573" s="61"/>
      <c r="AA573" s="61"/>
      <c r="AB573" s="964"/>
      <c r="AC573" s="534">
        <f>SUM(AC552:AC572)</f>
        <v>0</v>
      </c>
      <c r="AD573" s="1071"/>
      <c r="AE573" s="964"/>
      <c r="AF573" s="964"/>
      <c r="AG573" s="964"/>
      <c r="AH573" s="534">
        <f>SUM(AH552:AH572)</f>
        <v>0</v>
      </c>
      <c r="AI573" s="1071"/>
      <c r="AJ573" s="964"/>
      <c r="AK573" s="964"/>
      <c r="AL573" s="964"/>
      <c r="AM573" s="534">
        <f>SUM(AM552:AM572)</f>
        <v>0</v>
      </c>
      <c r="AN573" s="1071"/>
      <c r="AO573" s="964"/>
      <c r="AP573" s="964"/>
      <c r="AQ573" s="964"/>
      <c r="AR573" s="534">
        <f>SUM(AR552:AR572)</f>
        <v>0</v>
      </c>
      <c r="AS573" s="1071"/>
      <c r="AT573" s="964"/>
      <c r="AU573" s="964"/>
      <c r="AV573" s="964"/>
      <c r="AW573" s="534">
        <f>SUM(AW552:AW572)</f>
        <v>0</v>
      </c>
      <c r="AX573" s="1071"/>
      <c r="AY573" s="964"/>
      <c r="AZ573" s="964"/>
      <c r="BA573" s="964"/>
      <c r="BB573" s="534">
        <f>SUM(BB552:BB572)</f>
        <v>0</v>
      </c>
      <c r="BC573" s="1071"/>
      <c r="BD573" s="964"/>
      <c r="BE573" s="964"/>
      <c r="BF573" s="61"/>
      <c r="BG573" s="61"/>
      <c r="BH573" s="61"/>
      <c r="BI573" s="506"/>
      <c r="BJ573" s="506"/>
      <c r="BK573" s="506"/>
      <c r="BL573" s="506"/>
      <c r="BM573" s="506"/>
      <c r="BN573" s="506"/>
      <c r="BO573" s="506"/>
      <c r="BP573" s="506"/>
    </row>
    <row r="574" spans="4:68" hidden="1">
      <c r="E574" s="186"/>
      <c r="G574" s="62"/>
      <c r="H574" s="62"/>
      <c r="I574" s="62"/>
      <c r="J574" s="62"/>
      <c r="K574" s="62"/>
      <c r="L574" s="62"/>
      <c r="M574" s="61"/>
      <c r="N574" s="62"/>
      <c r="O574" s="61"/>
      <c r="P574" s="62"/>
      <c r="Q574" s="61"/>
      <c r="R574" s="62"/>
      <c r="S574" s="936"/>
      <c r="T574" s="61"/>
      <c r="V574" s="968"/>
      <c r="W574" s="968"/>
      <c r="X574" s="186"/>
      <c r="Y574" s="61"/>
      <c r="Z574" s="61"/>
      <c r="AA574" s="61"/>
      <c r="AB574" s="964"/>
      <c r="AC574" s="61"/>
      <c r="AE574" s="964"/>
      <c r="AF574" s="964"/>
      <c r="AG574" s="964"/>
      <c r="AH574" s="61"/>
      <c r="AJ574" s="964"/>
      <c r="AK574" s="964"/>
      <c r="AL574" s="964"/>
      <c r="AM574" s="61"/>
      <c r="AO574" s="964"/>
      <c r="AP574" s="964"/>
      <c r="AQ574" s="964"/>
      <c r="AR574" s="61"/>
      <c r="AT574" s="964"/>
      <c r="AU574" s="964"/>
      <c r="AV574" s="964"/>
      <c r="AW574" s="61"/>
      <c r="AY574" s="964"/>
      <c r="AZ574" s="964"/>
      <c r="BA574" s="964"/>
      <c r="BB574" s="61"/>
      <c r="BD574" s="964"/>
      <c r="BE574" s="964"/>
      <c r="BF574" s="61"/>
      <c r="BG574" s="61"/>
      <c r="BH574" s="61"/>
      <c r="BI574" s="506"/>
      <c r="BJ574" s="506"/>
      <c r="BK574" s="506"/>
      <c r="BL574" s="506"/>
      <c r="BM574" s="506"/>
      <c r="BN574" s="506"/>
      <c r="BO574" s="506"/>
      <c r="BP574" s="506"/>
    </row>
    <row r="575" spans="4:68" hidden="1">
      <c r="E575" s="254" t="s">
        <v>1158</v>
      </c>
    </row>
    <row r="576" spans="4:68" hidden="1">
      <c r="D576" t="s">
        <v>1144</v>
      </c>
      <c r="E576" t="s">
        <v>1145</v>
      </c>
    </row>
    <row r="577" spans="4:57" hidden="1">
      <c r="D577" t="s">
        <v>1146</v>
      </c>
      <c r="E577" t="s">
        <v>1147</v>
      </c>
    </row>
    <row r="578" spans="4:57" hidden="1">
      <c r="D578" t="s">
        <v>1148</v>
      </c>
      <c r="E578" t="s">
        <v>1149</v>
      </c>
    </row>
    <row r="579" spans="4:57" hidden="1">
      <c r="D579" t="s">
        <v>1150</v>
      </c>
      <c r="E579" t="s">
        <v>1151</v>
      </c>
    </row>
    <row r="580" spans="4:57" hidden="1">
      <c r="D580" t="s">
        <v>1152</v>
      </c>
      <c r="E580" t="s">
        <v>1153</v>
      </c>
    </row>
    <row r="581" spans="4:57" hidden="1">
      <c r="D581" t="s">
        <v>1154</v>
      </c>
      <c r="E581" t="s">
        <v>1155</v>
      </c>
    </row>
    <row r="582" spans="4:57" hidden="1">
      <c r="D582" t="s">
        <v>1156</v>
      </c>
      <c r="E582" t="s">
        <v>1157</v>
      </c>
    </row>
    <row r="583" spans="4:57" hidden="1">
      <c r="E583" s="186" t="s">
        <v>634</v>
      </c>
      <c r="G583" s="62"/>
      <c r="H583" s="62"/>
      <c r="I583" s="62"/>
      <c r="J583" s="62"/>
      <c r="K583" s="62"/>
      <c r="L583" s="62"/>
      <c r="M583" s="534">
        <f>SUM(M576:M582)</f>
        <v>0</v>
      </c>
      <c r="N583" s="62"/>
      <c r="O583" s="534">
        <f>SUM(O576:O582)</f>
        <v>0</v>
      </c>
      <c r="P583" s="62"/>
      <c r="Q583" s="534">
        <f>SUM(Q576:Q582)</f>
        <v>0</v>
      </c>
      <c r="R583" s="62"/>
      <c r="S583" s="936"/>
      <c r="T583" s="534">
        <f>SUM(T576:T582)</f>
        <v>0</v>
      </c>
      <c r="U583" s="1071"/>
      <c r="V583" s="968"/>
      <c r="W583" s="968"/>
      <c r="X583" s="186"/>
      <c r="Y583" s="534">
        <f>SUM(Y576:Y582)</f>
        <v>0</v>
      </c>
      <c r="Z583" s="61"/>
      <c r="AA583" s="61"/>
      <c r="AB583" s="964"/>
      <c r="AC583" s="534">
        <f>SUM(AC576:AC582)</f>
        <v>0</v>
      </c>
      <c r="AD583" s="1071"/>
      <c r="AE583" s="964"/>
      <c r="AF583" s="964"/>
      <c r="AG583" s="964"/>
      <c r="AH583" s="534">
        <f>SUM(AH576:AH582)</f>
        <v>0</v>
      </c>
      <c r="AI583" s="1071"/>
      <c r="AJ583" s="964"/>
      <c r="AK583" s="964"/>
      <c r="AL583" s="964"/>
      <c r="AM583" s="534">
        <f>SUM(AM576:AM582)</f>
        <v>0</v>
      </c>
      <c r="AN583" s="1071"/>
      <c r="AO583" s="964"/>
      <c r="AP583" s="964"/>
      <c r="AQ583" s="964"/>
      <c r="AR583" s="534">
        <f>SUM(AR576:AR582)</f>
        <v>0</v>
      </c>
      <c r="AS583" s="1071"/>
      <c r="AT583" s="964"/>
      <c r="AU583" s="964"/>
      <c r="AV583" s="964"/>
      <c r="AW583" s="534">
        <f>SUM(AW576:AW582)</f>
        <v>0</v>
      </c>
      <c r="AX583" s="1071"/>
      <c r="AY583" s="964"/>
      <c r="AZ583" s="964"/>
      <c r="BA583" s="964"/>
      <c r="BB583" s="534">
        <f>SUM(BB576:BB582)</f>
        <v>0</v>
      </c>
      <c r="BC583" s="1071"/>
      <c r="BD583" s="964"/>
      <c r="BE583" s="964"/>
    </row>
    <row r="584" spans="4:57" hidden="1">
      <c r="E584" s="186"/>
      <c r="G584" s="62"/>
      <c r="H584" s="62"/>
      <c r="I584" s="62"/>
      <c r="J584" s="62"/>
      <c r="K584" s="62"/>
      <c r="L584" s="62"/>
      <c r="M584" s="533"/>
      <c r="N584" s="62"/>
      <c r="O584" s="533"/>
      <c r="P584" s="62"/>
      <c r="Q584" s="533"/>
      <c r="R584" s="62"/>
      <c r="S584" s="936"/>
      <c r="T584" s="533"/>
      <c r="U584" s="1071"/>
      <c r="V584" s="968"/>
      <c r="W584" s="968"/>
      <c r="X584" s="186"/>
      <c r="Y584" s="533"/>
      <c r="Z584" s="61"/>
      <c r="AA584" s="61"/>
      <c r="AB584" s="964"/>
      <c r="AC584" s="533"/>
      <c r="AD584" s="1071"/>
      <c r="AE584" s="964"/>
      <c r="AF584" s="964"/>
      <c r="AG584" s="964"/>
      <c r="AH584" s="533"/>
      <c r="AI584" s="1071"/>
      <c r="AJ584" s="964"/>
      <c r="AK584" s="964"/>
      <c r="AL584" s="964"/>
      <c r="AM584" s="533"/>
      <c r="AN584" s="1071"/>
      <c r="AO584" s="964"/>
      <c r="AP584" s="964"/>
      <c r="AQ584" s="964"/>
      <c r="AR584" s="533"/>
      <c r="AS584" s="1071"/>
      <c r="AT584" s="964"/>
      <c r="AU584" s="964"/>
      <c r="AV584" s="964"/>
      <c r="AW584" s="533"/>
      <c r="AX584" s="1071"/>
      <c r="AY584" s="964"/>
      <c r="AZ584" s="964"/>
      <c r="BA584" s="964"/>
      <c r="BB584" s="533"/>
      <c r="BC584" s="1071"/>
      <c r="BD584" s="964"/>
      <c r="BE584" s="964"/>
    </row>
    <row r="585" spans="4:57" hidden="1">
      <c r="E585" s="254" t="s">
        <v>1092</v>
      </c>
    </row>
    <row r="586" spans="4:57" hidden="1">
      <c r="D586" t="s">
        <v>1160</v>
      </c>
      <c r="E586" t="s">
        <v>1161</v>
      </c>
    </row>
    <row r="587" spans="4:57" hidden="1">
      <c r="D587" t="s">
        <v>1162</v>
      </c>
      <c r="E587" t="s">
        <v>1163</v>
      </c>
    </row>
    <row r="588" spans="4:57" hidden="1">
      <c r="D588" t="s">
        <v>1164</v>
      </c>
      <c r="E588" t="s">
        <v>1165</v>
      </c>
    </row>
    <row r="589" spans="4:57" hidden="1">
      <c r="D589" t="s">
        <v>1166</v>
      </c>
      <c r="E589" t="s">
        <v>1167</v>
      </c>
    </row>
    <row r="590" spans="4:57" hidden="1">
      <c r="D590" t="s">
        <v>1168</v>
      </c>
      <c r="E590" t="s">
        <v>1169</v>
      </c>
    </row>
    <row r="591" spans="4:57" hidden="1">
      <c r="E591" s="186" t="s">
        <v>634</v>
      </c>
      <c r="G591" s="62"/>
      <c r="H591" s="62"/>
      <c r="I591" s="62"/>
      <c r="J591" s="62"/>
      <c r="K591" s="62"/>
      <c r="L591" s="62"/>
      <c r="M591" s="534">
        <f>SUM(M586:M590)</f>
        <v>0</v>
      </c>
      <c r="N591" s="62"/>
      <c r="O591" s="534">
        <f>SUM(O586:O590)</f>
        <v>0</v>
      </c>
      <c r="P591" s="62"/>
      <c r="Q591" s="534">
        <f>SUM(Q586:Q590)</f>
        <v>0</v>
      </c>
      <c r="R591" s="62"/>
      <c r="S591" s="936"/>
      <c r="T591" s="534">
        <f>SUM(T586:T590)</f>
        <v>0</v>
      </c>
      <c r="U591" s="1071"/>
      <c r="V591" s="968"/>
      <c r="W591" s="968"/>
      <c r="X591" s="186"/>
      <c r="Y591" s="534">
        <f>SUM(Y586:Y590)</f>
        <v>0</v>
      </c>
      <c r="Z591" s="61"/>
      <c r="AA591" s="61"/>
      <c r="AB591" s="964"/>
      <c r="AC591" s="534">
        <f>SUM(AC586:AC590)</f>
        <v>0</v>
      </c>
      <c r="AD591" s="1071"/>
      <c r="AE591" s="964"/>
      <c r="AF591" s="964"/>
      <c r="AG591" s="964"/>
      <c r="AH591" s="534">
        <f>SUM(AH586:AH590)</f>
        <v>0</v>
      </c>
      <c r="AI591" s="1071"/>
      <c r="AJ591" s="964"/>
      <c r="AK591" s="964"/>
      <c r="AL591" s="964"/>
      <c r="AM591" s="534">
        <f>SUM(AM586:AM590)</f>
        <v>0</v>
      </c>
      <c r="AN591" s="1071"/>
      <c r="AO591" s="964"/>
      <c r="AP591" s="964"/>
      <c r="AQ591" s="964"/>
      <c r="AR591" s="534">
        <f>SUM(AR586:AR590)</f>
        <v>0</v>
      </c>
      <c r="AS591" s="1071"/>
      <c r="AT591" s="964"/>
      <c r="AU591" s="964"/>
      <c r="AV591" s="964"/>
      <c r="AW591" s="534">
        <f>SUM(AW586:AW590)</f>
        <v>0</v>
      </c>
      <c r="AX591" s="1071"/>
      <c r="AY591" s="964"/>
      <c r="AZ591" s="964"/>
      <c r="BA591" s="964"/>
      <c r="BB591" s="534">
        <f>SUM(BB586:BB590)</f>
        <v>0</v>
      </c>
      <c r="BC591" s="1071"/>
      <c r="BD591" s="964"/>
      <c r="BE591" s="964"/>
    </row>
    <row r="592" spans="4:57" hidden="1"/>
    <row r="593" spans="4:68" hidden="1">
      <c r="E593" s="254" t="s">
        <v>1159</v>
      </c>
    </row>
    <row r="594" spans="4:68" hidden="1">
      <c r="D594" t="s">
        <v>1172</v>
      </c>
      <c r="E594" t="s">
        <v>1170</v>
      </c>
    </row>
    <row r="595" spans="4:68" hidden="1">
      <c r="D595" t="s">
        <v>1173</v>
      </c>
      <c r="E595" s="186" t="s">
        <v>1171</v>
      </c>
      <c r="G595" s="62"/>
      <c r="H595" s="62"/>
      <c r="I595" s="62"/>
      <c r="J595" s="62"/>
      <c r="K595" s="62"/>
      <c r="L595" s="62"/>
      <c r="M595" s="61"/>
      <c r="N595" s="62"/>
      <c r="O595" s="61"/>
      <c r="P595" s="62"/>
      <c r="Q595" s="61"/>
      <c r="R595" s="62"/>
      <c r="S595" s="936"/>
      <c r="T595" s="61"/>
      <c r="V595" s="968"/>
      <c r="W595" s="968"/>
      <c r="X595" s="186"/>
      <c r="Y595" s="61"/>
      <c r="Z595" s="61"/>
      <c r="AA595" s="61"/>
      <c r="AB595" s="964"/>
      <c r="AC595" s="61"/>
      <c r="AE595" s="964"/>
      <c r="AF595" s="964"/>
      <c r="AG595" s="964"/>
      <c r="AH595" s="61"/>
      <c r="AJ595" s="964"/>
      <c r="AK595" s="964"/>
      <c r="AL595" s="964"/>
      <c r="AM595" s="61"/>
      <c r="AO595" s="964"/>
      <c r="AP595" s="964"/>
      <c r="AQ595" s="964"/>
      <c r="AR595" s="61"/>
      <c r="AT595" s="964"/>
      <c r="AU595" s="964"/>
      <c r="AV595" s="964"/>
      <c r="AW595" s="61"/>
      <c r="AY595" s="964"/>
      <c r="AZ595" s="964"/>
      <c r="BA595" s="964"/>
      <c r="BB595" s="61"/>
      <c r="BD595" s="964"/>
      <c r="BE595" s="964"/>
      <c r="BF595" s="61"/>
      <c r="BG595" s="61"/>
      <c r="BH595" s="61"/>
      <c r="BI595" s="506"/>
      <c r="BJ595" s="506"/>
      <c r="BK595" s="506"/>
      <c r="BL595" s="506"/>
      <c r="BM595" s="506"/>
      <c r="BN595" s="506"/>
      <c r="BO595" s="506"/>
      <c r="BP595" s="506"/>
    </row>
    <row r="596" spans="4:68" hidden="1">
      <c r="E596" s="186" t="s">
        <v>634</v>
      </c>
      <c r="G596" s="62"/>
      <c r="H596" s="62"/>
      <c r="I596" s="62"/>
      <c r="J596" s="62"/>
      <c r="K596" s="62"/>
      <c r="L596" s="62"/>
      <c r="M596" s="534">
        <f>SUM(M594:M595)</f>
        <v>0</v>
      </c>
      <c r="N596" s="62"/>
      <c r="O596" s="534">
        <f>SUM(O594:O595)</f>
        <v>0</v>
      </c>
      <c r="P596" s="62"/>
      <c r="Q596" s="534">
        <f>SUM(Q594:Q595)</f>
        <v>0</v>
      </c>
      <c r="R596" s="62"/>
      <c r="S596" s="936"/>
      <c r="T596" s="534">
        <f>SUM(T594:T595)</f>
        <v>0</v>
      </c>
      <c r="U596" s="1071"/>
      <c r="V596" s="968"/>
      <c r="W596" s="968"/>
      <c r="X596" s="186"/>
      <c r="Y596" s="534">
        <f>SUM(Y594:Y595)</f>
        <v>0</v>
      </c>
      <c r="Z596" s="61"/>
      <c r="AA596" s="61"/>
      <c r="AB596" s="964"/>
      <c r="AC596" s="534">
        <f>SUM(AC594:AC595)</f>
        <v>0</v>
      </c>
      <c r="AD596" s="1071"/>
      <c r="AE596" s="964"/>
      <c r="AF596" s="964"/>
      <c r="AG596" s="964"/>
      <c r="AH596" s="534">
        <f>SUM(AH594:AH595)</f>
        <v>0</v>
      </c>
      <c r="AI596" s="1071"/>
      <c r="AJ596" s="964"/>
      <c r="AK596" s="964"/>
      <c r="AL596" s="964"/>
      <c r="AM596" s="534">
        <f>SUM(AM594:AM595)</f>
        <v>0</v>
      </c>
      <c r="AN596" s="1071"/>
      <c r="AO596" s="964"/>
      <c r="AP596" s="964"/>
      <c r="AQ596" s="964"/>
      <c r="AR596" s="534">
        <f>SUM(AR594:AR595)</f>
        <v>0</v>
      </c>
      <c r="AS596" s="1071"/>
      <c r="AT596" s="964"/>
      <c r="AU596" s="964"/>
      <c r="AV596" s="964"/>
      <c r="AW596" s="534">
        <f>SUM(AW594:AW595)</f>
        <v>0</v>
      </c>
      <c r="AX596" s="1071"/>
      <c r="AY596" s="964"/>
      <c r="AZ596" s="964"/>
      <c r="BA596" s="964"/>
      <c r="BB596" s="534">
        <f>SUM(BB594:BB595)</f>
        <v>0</v>
      </c>
      <c r="BC596" s="1071"/>
      <c r="BD596" s="964"/>
      <c r="BE596" s="964"/>
    </row>
    <row r="597" spans="4:68" hidden="1"/>
    <row r="598" spans="4:68" hidden="1">
      <c r="E598" s="808" t="s">
        <v>846</v>
      </c>
      <c r="M598" s="61"/>
      <c r="O598" s="61"/>
      <c r="Q598" s="61"/>
      <c r="T598" s="61"/>
      <c r="Y598" s="61"/>
      <c r="Z598" s="61"/>
      <c r="AA598" s="61"/>
      <c r="AB598" s="964"/>
      <c r="AC598" s="61"/>
      <c r="AE598" s="964"/>
      <c r="AF598" s="964"/>
      <c r="AG598" s="964"/>
      <c r="AH598" s="61"/>
      <c r="AJ598" s="964"/>
      <c r="AK598" s="964"/>
      <c r="AL598" s="964"/>
      <c r="AM598" s="61"/>
      <c r="AO598" s="964"/>
      <c r="AP598" s="964"/>
      <c r="AQ598" s="964"/>
      <c r="AR598" s="61"/>
      <c r="AT598" s="964"/>
      <c r="AU598" s="964"/>
      <c r="AV598" s="964"/>
      <c r="AW598" s="61"/>
      <c r="AY598" s="964"/>
      <c r="AZ598" s="964"/>
      <c r="BA598" s="964"/>
      <c r="BB598" s="61"/>
      <c r="BD598" s="964"/>
      <c r="BE598" s="964"/>
      <c r="BF598" s="61"/>
      <c r="BG598" s="61"/>
      <c r="BH598" s="61"/>
      <c r="BI598" s="506"/>
      <c r="BJ598" s="506"/>
      <c r="BK598" s="506"/>
      <c r="BL598" s="506"/>
      <c r="BM598" s="506"/>
      <c r="BN598" s="506"/>
      <c r="BO598" s="506"/>
      <c r="BP598" s="506"/>
    </row>
    <row r="599" spans="4:68" hidden="1">
      <c r="D599" t="s">
        <v>847</v>
      </c>
      <c r="E599" t="s">
        <v>848</v>
      </c>
      <c r="M599" s="61"/>
      <c r="O599" s="61"/>
      <c r="Q599" s="61"/>
      <c r="T599" s="61"/>
      <c r="Y599" s="61"/>
      <c r="Z599" s="61"/>
      <c r="AA599" s="61"/>
      <c r="AB599" s="964"/>
      <c r="AC599" s="61"/>
      <c r="AE599" s="964"/>
      <c r="AF599" s="964"/>
      <c r="AG599" s="964"/>
      <c r="AH599" s="61"/>
      <c r="AJ599" s="964"/>
      <c r="AK599" s="964"/>
      <c r="AL599" s="964"/>
      <c r="AM599" s="61"/>
      <c r="AO599" s="964"/>
      <c r="AP599" s="964"/>
      <c r="AQ599" s="964"/>
      <c r="AR599" s="61"/>
      <c r="AT599" s="964"/>
      <c r="AU599" s="964"/>
      <c r="AV599" s="964"/>
      <c r="AW599" s="61"/>
      <c r="AY599" s="964"/>
      <c r="AZ599" s="964"/>
      <c r="BA599" s="964"/>
      <c r="BB599" s="61"/>
      <c r="BD599" s="964"/>
      <c r="BE599" s="964"/>
      <c r="BF599" s="61"/>
      <c r="BG599" s="61"/>
      <c r="BH599" s="61"/>
      <c r="BI599" s="506"/>
      <c r="BJ599" s="506"/>
      <c r="BK599" s="506"/>
      <c r="BL599" s="506"/>
      <c r="BM599" s="506"/>
      <c r="BN599" s="506"/>
      <c r="BO599" s="506"/>
      <c r="BP599" s="506"/>
    </row>
    <row r="600" spans="4:68" hidden="1">
      <c r="D600" t="s">
        <v>849</v>
      </c>
      <c r="E600" t="s">
        <v>850</v>
      </c>
      <c r="M600" s="61"/>
      <c r="O600" s="61"/>
      <c r="Q600" s="61"/>
      <c r="T600" s="61"/>
      <c r="Y600" s="61"/>
      <c r="Z600" s="61"/>
      <c r="AA600" s="61"/>
      <c r="AB600" s="964"/>
      <c r="AC600" s="61"/>
      <c r="AE600" s="964"/>
      <c r="AF600" s="964"/>
      <c r="AG600" s="964"/>
      <c r="AH600" s="61"/>
      <c r="AJ600" s="964"/>
      <c r="AK600" s="964"/>
      <c r="AL600" s="964"/>
      <c r="AM600" s="61"/>
      <c r="AO600" s="964"/>
      <c r="AP600" s="964"/>
      <c r="AQ600" s="964"/>
      <c r="AR600" s="61"/>
      <c r="AT600" s="964"/>
      <c r="AU600" s="964"/>
      <c r="AV600" s="964"/>
      <c r="AW600" s="61"/>
      <c r="AY600" s="964"/>
      <c r="AZ600" s="964"/>
      <c r="BA600" s="964"/>
      <c r="BB600" s="61"/>
      <c r="BD600" s="964"/>
      <c r="BE600" s="964"/>
      <c r="BF600" s="61"/>
      <c r="BG600" s="61"/>
      <c r="BH600" s="61"/>
      <c r="BI600" s="506"/>
      <c r="BJ600" s="506"/>
      <c r="BK600" s="506"/>
      <c r="BL600" s="506"/>
      <c r="BM600" s="506"/>
      <c r="BN600" s="506"/>
      <c r="BO600" s="506"/>
      <c r="BP600" s="506"/>
    </row>
    <row r="601" spans="4:68" hidden="1">
      <c r="D601" t="s">
        <v>851</v>
      </c>
      <c r="E601" t="s">
        <v>852</v>
      </c>
      <c r="M601" s="61"/>
      <c r="O601" s="61"/>
      <c r="Q601" s="61"/>
      <c r="T601" s="61"/>
      <c r="Y601" s="61"/>
      <c r="Z601" s="61"/>
      <c r="AA601" s="61"/>
      <c r="AB601" s="964"/>
      <c r="AC601" s="61"/>
      <c r="AE601" s="964"/>
      <c r="AF601" s="964"/>
      <c r="AG601" s="964"/>
      <c r="AH601" s="61"/>
      <c r="AJ601" s="964"/>
      <c r="AK601" s="964"/>
      <c r="AL601" s="964"/>
      <c r="AM601" s="61"/>
      <c r="AO601" s="964"/>
      <c r="AP601" s="964"/>
      <c r="AQ601" s="964"/>
      <c r="AR601" s="61"/>
      <c r="AT601" s="964"/>
      <c r="AU601" s="964"/>
      <c r="AV601" s="964"/>
      <c r="AW601" s="61"/>
      <c r="AY601" s="964"/>
      <c r="AZ601" s="964"/>
      <c r="BA601" s="964"/>
      <c r="BB601" s="61"/>
      <c r="BD601" s="964"/>
      <c r="BE601" s="964"/>
      <c r="BF601" s="61"/>
      <c r="BG601" s="61"/>
      <c r="BH601" s="61"/>
      <c r="BI601" s="506"/>
      <c r="BJ601" s="506"/>
      <c r="BK601" s="506"/>
      <c r="BL601" s="506"/>
      <c r="BM601" s="506"/>
      <c r="BN601" s="506"/>
      <c r="BO601" s="506"/>
      <c r="BP601" s="506"/>
    </row>
    <row r="602" spans="4:68" hidden="1">
      <c r="D602" t="s">
        <v>853</v>
      </c>
      <c r="E602" t="s">
        <v>854</v>
      </c>
      <c r="M602" s="61"/>
      <c r="O602" s="61"/>
      <c r="Q602" s="61"/>
      <c r="T602" s="61"/>
      <c r="Y602" s="61"/>
      <c r="Z602" s="61"/>
      <c r="AA602" s="61"/>
      <c r="AB602" s="964"/>
      <c r="AC602" s="61"/>
      <c r="AE602" s="964"/>
      <c r="AF602" s="964"/>
      <c r="AG602" s="964"/>
      <c r="AH602" s="61"/>
      <c r="AJ602" s="964"/>
      <c r="AK602" s="964"/>
      <c r="AL602" s="964"/>
      <c r="AM602" s="61"/>
      <c r="AO602" s="964"/>
      <c r="AP602" s="964"/>
      <c r="AQ602" s="964"/>
      <c r="AR602" s="61"/>
      <c r="AT602" s="964"/>
      <c r="AU602" s="964"/>
      <c r="AV602" s="964"/>
      <c r="AW602" s="61"/>
      <c r="AY602" s="964"/>
      <c r="AZ602" s="964"/>
      <c r="BA602" s="964"/>
      <c r="BB602" s="61"/>
      <c r="BD602" s="964"/>
      <c r="BE602" s="964"/>
      <c r="BF602" s="61"/>
      <c r="BG602" s="61"/>
      <c r="BH602" s="61"/>
      <c r="BI602" s="506"/>
      <c r="BJ602" s="506"/>
      <c r="BK602" s="506"/>
      <c r="BL602" s="506"/>
      <c r="BM602" s="506"/>
      <c r="BN602" s="506"/>
      <c r="BO602" s="506"/>
      <c r="BP602" s="506"/>
    </row>
    <row r="603" spans="4:68" hidden="1">
      <c r="E603" t="s">
        <v>634</v>
      </c>
      <c r="M603" s="534">
        <f>SUM(M599:M602)</f>
        <v>0</v>
      </c>
      <c r="O603" s="534">
        <f>SUM(O599:O602)</f>
        <v>0</v>
      </c>
      <c r="Q603" s="534">
        <f>SUM(Q599:Q602)</f>
        <v>0</v>
      </c>
      <c r="T603" s="534">
        <f>SUM(T599:T602)</f>
        <v>0</v>
      </c>
      <c r="U603" s="1071"/>
      <c r="Y603" s="534">
        <f>SUM(Y599:Y602)</f>
        <v>0</v>
      </c>
      <c r="Z603" s="61"/>
      <c r="AA603" s="61"/>
      <c r="AB603" s="964"/>
      <c r="AC603" s="534">
        <f>SUM(AC599:AC602)</f>
        <v>0</v>
      </c>
      <c r="AD603" s="1071"/>
      <c r="AE603" s="964"/>
      <c r="AF603" s="964"/>
      <c r="AG603" s="964"/>
      <c r="AH603" s="534">
        <f>SUM(AH599:AH602)</f>
        <v>0</v>
      </c>
      <c r="AI603" s="1071"/>
      <c r="AJ603" s="964"/>
      <c r="AK603" s="964"/>
      <c r="AL603" s="964"/>
      <c r="AM603" s="534">
        <f>SUM(AM599:AM602)</f>
        <v>0</v>
      </c>
      <c r="AN603" s="1071"/>
      <c r="AO603" s="964"/>
      <c r="AP603" s="964"/>
      <c r="AQ603" s="964"/>
      <c r="AR603" s="534">
        <f>SUM(AR599:AR602)</f>
        <v>0</v>
      </c>
      <c r="AS603" s="1071"/>
      <c r="AT603" s="964"/>
      <c r="AU603" s="964"/>
      <c r="AV603" s="964"/>
      <c r="AW603" s="534">
        <f>SUM(AW599:AW602)</f>
        <v>0</v>
      </c>
      <c r="AX603" s="1071"/>
      <c r="AY603" s="964"/>
      <c r="AZ603" s="964"/>
      <c r="BA603" s="964"/>
      <c r="BB603" s="534">
        <f>SUM(BB599:BB602)</f>
        <v>0</v>
      </c>
      <c r="BC603" s="1071"/>
      <c r="BD603" s="964"/>
      <c r="BE603" s="964"/>
      <c r="BF603" s="61"/>
      <c r="BG603" s="61"/>
      <c r="BH603" s="61"/>
      <c r="BI603" s="506"/>
      <c r="BJ603" s="506"/>
      <c r="BK603" s="506"/>
      <c r="BL603" s="506"/>
      <c r="BM603" s="506"/>
      <c r="BN603" s="506"/>
      <c r="BO603" s="506"/>
      <c r="BP603" s="506"/>
    </row>
    <row r="604" spans="4:68" hidden="1">
      <c r="M604" s="61"/>
      <c r="O604" s="61"/>
      <c r="Q604" s="61"/>
      <c r="T604" s="61"/>
      <c r="Y604" s="61"/>
      <c r="Z604" s="61"/>
      <c r="AA604" s="61"/>
      <c r="AB604" s="964"/>
      <c r="AC604" s="61"/>
      <c r="AE604" s="964"/>
      <c r="AF604" s="964"/>
      <c r="AG604" s="964"/>
      <c r="AH604" s="61"/>
      <c r="AJ604" s="964"/>
      <c r="AK604" s="964"/>
      <c r="AL604" s="964"/>
      <c r="AM604" s="61"/>
      <c r="AO604" s="964"/>
      <c r="AP604" s="964"/>
      <c r="AQ604" s="964"/>
      <c r="AR604" s="61"/>
      <c r="AT604" s="964"/>
      <c r="AU604" s="964"/>
      <c r="AV604" s="964"/>
      <c r="AW604" s="61"/>
      <c r="AY604" s="964"/>
      <c r="AZ604" s="964"/>
      <c r="BA604" s="964"/>
      <c r="BB604" s="61"/>
      <c r="BD604" s="964"/>
      <c r="BE604" s="964"/>
      <c r="BF604" s="61"/>
      <c r="BG604" s="61"/>
      <c r="BH604" s="61"/>
      <c r="BI604" s="506"/>
      <c r="BJ604" s="506"/>
      <c r="BK604" s="506"/>
      <c r="BL604" s="506"/>
      <c r="BM604" s="506"/>
      <c r="BN604" s="506"/>
      <c r="BO604" s="506"/>
      <c r="BP604" s="506"/>
    </row>
    <row r="605" spans="4:68" hidden="1">
      <c r="E605" s="808" t="s">
        <v>855</v>
      </c>
      <c r="M605" s="61"/>
      <c r="O605" s="61"/>
      <c r="Q605" s="61"/>
      <c r="T605" s="61"/>
      <c r="Y605" s="61"/>
      <c r="Z605" s="61"/>
      <c r="AA605" s="61"/>
      <c r="AB605" s="964"/>
      <c r="AC605" s="61"/>
      <c r="AE605" s="964"/>
      <c r="AF605" s="964"/>
      <c r="AG605" s="964"/>
      <c r="AH605" s="61"/>
      <c r="AJ605" s="964"/>
      <c r="AK605" s="964"/>
      <c r="AL605" s="964"/>
      <c r="AM605" s="61"/>
      <c r="AO605" s="964"/>
      <c r="AP605" s="964"/>
      <c r="AQ605" s="964"/>
      <c r="AR605" s="61"/>
      <c r="AT605" s="964"/>
      <c r="AU605" s="964"/>
      <c r="AV605" s="964"/>
      <c r="AW605" s="61"/>
      <c r="AY605" s="964"/>
      <c r="AZ605" s="964"/>
      <c r="BA605" s="964"/>
      <c r="BB605" s="61"/>
      <c r="BD605" s="964"/>
      <c r="BE605" s="964"/>
      <c r="BF605" s="61"/>
      <c r="BG605" s="61"/>
      <c r="BH605" s="61"/>
      <c r="BI605" s="506"/>
      <c r="BJ605" s="506"/>
      <c r="BK605" s="506"/>
      <c r="BL605" s="506"/>
      <c r="BM605" s="506"/>
      <c r="BN605" s="506"/>
      <c r="BO605" s="506"/>
      <c r="BP605" s="506"/>
    </row>
    <row r="606" spans="4:68" hidden="1">
      <c r="D606" t="s">
        <v>856</v>
      </c>
      <c r="E606" t="s">
        <v>857</v>
      </c>
      <c r="M606" s="61"/>
      <c r="O606" s="61"/>
      <c r="Q606" s="61"/>
      <c r="T606" s="61"/>
      <c r="Y606" s="61"/>
      <c r="Z606" s="61"/>
      <c r="AA606" s="61"/>
      <c r="AB606" s="964"/>
      <c r="AC606" s="61"/>
      <c r="AE606" s="964"/>
      <c r="AF606" s="964"/>
      <c r="AG606" s="964"/>
      <c r="AH606" s="61"/>
      <c r="AJ606" s="964"/>
      <c r="AK606" s="964"/>
      <c r="AL606" s="964"/>
      <c r="AM606" s="61"/>
      <c r="AO606" s="964"/>
      <c r="AP606" s="964"/>
      <c r="AQ606" s="964"/>
      <c r="AR606" s="61"/>
      <c r="AT606" s="964"/>
      <c r="AU606" s="964"/>
      <c r="AV606" s="964"/>
      <c r="AW606" s="61"/>
      <c r="AY606" s="964"/>
      <c r="AZ606" s="964"/>
      <c r="BA606" s="964"/>
      <c r="BB606" s="61"/>
      <c r="BD606" s="964"/>
      <c r="BE606" s="964"/>
      <c r="BF606" s="61"/>
      <c r="BG606" s="61"/>
      <c r="BH606" s="61"/>
      <c r="BI606" s="506"/>
      <c r="BJ606" s="506"/>
      <c r="BK606" s="506"/>
      <c r="BL606" s="506"/>
      <c r="BM606" s="506"/>
      <c r="BN606" s="506"/>
      <c r="BO606" s="506"/>
      <c r="BP606" s="506"/>
    </row>
    <row r="607" spans="4:68" hidden="1">
      <c r="E607" t="s">
        <v>634</v>
      </c>
      <c r="M607" s="534">
        <f>SUM(M606:M606)</f>
        <v>0</v>
      </c>
      <c r="O607" s="534">
        <f>SUM(O606:O606)</f>
        <v>0</v>
      </c>
      <c r="Q607" s="534">
        <f>SUM(Q606:Q606)</f>
        <v>0</v>
      </c>
      <c r="T607" s="534">
        <f>SUM(T606:T606)</f>
        <v>0</v>
      </c>
      <c r="U607" s="1071"/>
      <c r="Y607" s="534">
        <f>SUM(Y606:Y606)</f>
        <v>0</v>
      </c>
      <c r="Z607" s="61"/>
      <c r="AA607" s="61"/>
      <c r="AB607" s="964"/>
      <c r="AC607" s="534">
        <f>SUM(AC606:AC606)</f>
        <v>0</v>
      </c>
      <c r="AD607" s="1071"/>
      <c r="AE607" s="964"/>
      <c r="AF607" s="964"/>
      <c r="AG607" s="964"/>
      <c r="AH607" s="534">
        <f>SUM(AH606:AH606)</f>
        <v>0</v>
      </c>
      <c r="AI607" s="1071"/>
      <c r="AJ607" s="964"/>
      <c r="AK607" s="964"/>
      <c r="AL607" s="964"/>
      <c r="AM607" s="534">
        <f>SUM(AM606:AM606)</f>
        <v>0</v>
      </c>
      <c r="AN607" s="1071"/>
      <c r="AO607" s="964"/>
      <c r="AP607" s="964"/>
      <c r="AQ607" s="964"/>
      <c r="AR607" s="534">
        <f>SUM(AR606:AR606)</f>
        <v>0</v>
      </c>
      <c r="AS607" s="1071"/>
      <c r="AT607" s="964"/>
      <c r="AU607" s="964"/>
      <c r="AV607" s="964"/>
      <c r="AW607" s="534">
        <f>SUM(AW606:AW606)</f>
        <v>0</v>
      </c>
      <c r="AX607" s="1071"/>
      <c r="AY607" s="964"/>
      <c r="AZ607" s="964"/>
      <c r="BA607" s="964"/>
      <c r="BB607" s="534">
        <f>SUM(BB606:BB606)</f>
        <v>0</v>
      </c>
      <c r="BC607" s="1071"/>
      <c r="BD607" s="964"/>
      <c r="BE607" s="964"/>
      <c r="BF607" s="61"/>
      <c r="BG607" s="61"/>
      <c r="BH607" s="61"/>
      <c r="BI607" s="506"/>
      <c r="BJ607" s="506"/>
      <c r="BK607" s="506"/>
      <c r="BL607" s="506"/>
      <c r="BM607" s="506"/>
      <c r="BN607" s="506"/>
      <c r="BO607" s="506"/>
      <c r="BP607" s="506"/>
    </row>
    <row r="608" spans="4:68" hidden="1">
      <c r="M608" s="533"/>
      <c r="O608" s="533"/>
      <c r="Q608" s="533"/>
      <c r="T608" s="533"/>
      <c r="U608" s="1071"/>
      <c r="Y608" s="533"/>
      <c r="Z608" s="61"/>
      <c r="AA608" s="61"/>
      <c r="AB608" s="964"/>
      <c r="AC608" s="533"/>
      <c r="AD608" s="1071"/>
      <c r="AE608" s="964"/>
      <c r="AF608" s="964"/>
      <c r="AG608" s="964"/>
      <c r="AH608" s="533"/>
      <c r="AI608" s="1071"/>
      <c r="AJ608" s="964"/>
      <c r="AK608" s="964"/>
      <c r="AL608" s="964"/>
      <c r="AM608" s="533"/>
      <c r="AN608" s="1071"/>
      <c r="AO608" s="964"/>
      <c r="AP608" s="964"/>
      <c r="AQ608" s="964"/>
      <c r="AR608" s="533"/>
      <c r="AS608" s="1071"/>
      <c r="AT608" s="964"/>
      <c r="AU608" s="964"/>
      <c r="AV608" s="964"/>
      <c r="AW608" s="533"/>
      <c r="AX608" s="1071"/>
      <c r="AY608" s="964"/>
      <c r="AZ608" s="964"/>
      <c r="BA608" s="964"/>
      <c r="BB608" s="533"/>
      <c r="BC608" s="1071"/>
      <c r="BD608" s="964"/>
      <c r="BE608" s="964"/>
      <c r="BF608" s="61"/>
      <c r="BG608" s="61"/>
      <c r="BH608" s="61"/>
      <c r="BI608" s="506"/>
      <c r="BJ608" s="506"/>
      <c r="BK608" s="506"/>
      <c r="BL608" s="506"/>
      <c r="BM608" s="506"/>
      <c r="BN608" s="506"/>
      <c r="BO608" s="506"/>
      <c r="BP608" s="506"/>
    </row>
    <row r="609" spans="4:68" hidden="1">
      <c r="E609" s="808" t="s">
        <v>858</v>
      </c>
      <c r="M609" s="61"/>
      <c r="O609" s="61"/>
      <c r="Q609" s="61"/>
      <c r="T609" s="61"/>
      <c r="Y609" s="61"/>
      <c r="Z609" s="61"/>
      <c r="AA609" s="61"/>
      <c r="AB609" s="964"/>
      <c r="AC609" s="61"/>
      <c r="AE609" s="964"/>
      <c r="AF609" s="964"/>
      <c r="AG609" s="964"/>
      <c r="AH609" s="61"/>
      <c r="AJ609" s="964"/>
      <c r="AK609" s="964"/>
      <c r="AL609" s="964"/>
      <c r="AM609" s="61"/>
      <c r="AO609" s="964"/>
      <c r="AP609" s="964"/>
      <c r="AQ609" s="964"/>
      <c r="AR609" s="61"/>
      <c r="AT609" s="964"/>
      <c r="AU609" s="964"/>
      <c r="AV609" s="964"/>
      <c r="AW609" s="61"/>
      <c r="AY609" s="964"/>
      <c r="AZ609" s="964"/>
      <c r="BA609" s="964"/>
      <c r="BB609" s="61"/>
      <c r="BD609" s="964"/>
      <c r="BE609" s="964"/>
      <c r="BF609" s="61"/>
      <c r="BG609" s="61"/>
      <c r="BH609" s="61"/>
      <c r="BI609" s="506"/>
      <c r="BJ609" s="506"/>
      <c r="BK609" s="506"/>
      <c r="BL609" s="506"/>
      <c r="BM609" s="506"/>
      <c r="BN609" s="506"/>
      <c r="BO609" s="506"/>
      <c r="BP609" s="506"/>
    </row>
    <row r="610" spans="4:68" hidden="1">
      <c r="D610" t="s">
        <v>859</v>
      </c>
      <c r="E610" t="s">
        <v>860</v>
      </c>
      <c r="M610" s="61"/>
      <c r="O610" s="61"/>
      <c r="Q610" s="61"/>
      <c r="T610" s="61"/>
      <c r="Y610" s="61"/>
      <c r="Z610" s="61"/>
      <c r="AA610" s="61"/>
      <c r="AB610" s="964"/>
      <c r="AC610" s="61"/>
      <c r="AE610" s="964"/>
      <c r="AF610" s="964"/>
      <c r="AG610" s="964"/>
      <c r="AH610" s="61"/>
      <c r="AJ610" s="964"/>
      <c r="AK610" s="964"/>
      <c r="AL610" s="964"/>
      <c r="AM610" s="61"/>
      <c r="AO610" s="964"/>
      <c r="AP610" s="964"/>
      <c r="AQ610" s="964"/>
      <c r="AR610" s="61"/>
      <c r="AT610" s="964"/>
      <c r="AU610" s="964"/>
      <c r="AV610" s="964"/>
      <c r="AW610" s="61"/>
      <c r="AY610" s="964"/>
      <c r="AZ610" s="964"/>
      <c r="BA610" s="964"/>
      <c r="BB610" s="61"/>
      <c r="BD610" s="964"/>
      <c r="BE610" s="964"/>
      <c r="BF610" s="61"/>
      <c r="BG610" s="61"/>
      <c r="BH610" s="61"/>
      <c r="BI610" s="506"/>
      <c r="BJ610" s="506"/>
      <c r="BK610" s="506"/>
      <c r="BL610" s="506"/>
      <c r="BM610" s="506"/>
      <c r="BN610" s="506"/>
      <c r="BO610" s="506"/>
      <c r="BP610" s="506"/>
    </row>
    <row r="611" spans="4:68" hidden="1">
      <c r="E611" t="s">
        <v>634</v>
      </c>
      <c r="M611" s="534">
        <f>SUM(M610:M610)</f>
        <v>0</v>
      </c>
      <c r="O611" s="534">
        <f>SUM(O610:O610)</f>
        <v>0</v>
      </c>
      <c r="Q611" s="534">
        <f>SUM(Q610:Q610)</f>
        <v>0</v>
      </c>
      <c r="T611" s="534">
        <f>SUM(T610:T610)</f>
        <v>0</v>
      </c>
      <c r="U611" s="1071"/>
      <c r="Y611" s="534">
        <f>SUM(Y610:Y610)</f>
        <v>0</v>
      </c>
      <c r="Z611" s="61"/>
      <c r="AA611" s="61"/>
      <c r="AB611" s="964"/>
      <c r="AC611" s="534">
        <f>SUM(AC610:AC610)</f>
        <v>0</v>
      </c>
      <c r="AD611" s="1071"/>
      <c r="AE611" s="964"/>
      <c r="AF611" s="964"/>
      <c r="AG611" s="964"/>
      <c r="AH611" s="534">
        <f>SUM(AH610:AH610)</f>
        <v>0</v>
      </c>
      <c r="AI611" s="1071"/>
      <c r="AJ611" s="964"/>
      <c r="AK611" s="964"/>
      <c r="AL611" s="964"/>
      <c r="AM611" s="534">
        <f>SUM(AM610:AM610)</f>
        <v>0</v>
      </c>
      <c r="AN611" s="1071"/>
      <c r="AO611" s="964"/>
      <c r="AP611" s="964"/>
      <c r="AQ611" s="964"/>
      <c r="AR611" s="534">
        <f>SUM(AR610:AR610)</f>
        <v>0</v>
      </c>
      <c r="AS611" s="1071"/>
      <c r="AT611" s="964"/>
      <c r="AU611" s="964"/>
      <c r="AV611" s="964"/>
      <c r="AW611" s="534">
        <f>SUM(AW610:AW610)</f>
        <v>0</v>
      </c>
      <c r="AX611" s="1071"/>
      <c r="AY611" s="964"/>
      <c r="AZ611" s="964"/>
      <c r="BA611" s="964"/>
      <c r="BB611" s="534">
        <f>SUM(BB610:BB610)</f>
        <v>0</v>
      </c>
      <c r="BC611" s="1071"/>
      <c r="BD611" s="964"/>
      <c r="BE611" s="964"/>
      <c r="BF611" s="61"/>
      <c r="BG611" s="61"/>
      <c r="BH611" s="61"/>
      <c r="BI611" s="506"/>
      <c r="BJ611" s="506"/>
      <c r="BK611" s="506"/>
      <c r="BL611" s="506"/>
      <c r="BM611" s="506"/>
      <c r="BN611" s="506"/>
      <c r="BO611" s="506"/>
      <c r="BP611" s="506"/>
    </row>
    <row r="612" spans="4:68" hidden="1"/>
    <row r="613" spans="4:68">
      <c r="E613" s="254" t="s">
        <v>1174</v>
      </c>
      <c r="G613" s="62"/>
      <c r="H613" s="62"/>
      <c r="I613" s="62"/>
      <c r="J613" s="62"/>
      <c r="K613" s="62"/>
      <c r="L613" s="62"/>
      <c r="M613" s="61"/>
      <c r="N613" s="62"/>
      <c r="O613" s="61"/>
      <c r="P613" s="62"/>
      <c r="Q613" s="61"/>
      <c r="R613" s="62"/>
      <c r="S613" s="936"/>
      <c r="T613" s="61"/>
      <c r="V613" s="968"/>
      <c r="W613" s="968"/>
      <c r="X613" s="186"/>
      <c r="Y613" s="61"/>
      <c r="Z613" s="61"/>
      <c r="AA613" s="61"/>
      <c r="AB613" s="964"/>
      <c r="AC613" s="61"/>
      <c r="AE613" s="964"/>
      <c r="AF613" s="964"/>
      <c r="AG613" s="964"/>
      <c r="AH613" s="61"/>
      <c r="AJ613" s="964"/>
      <c r="AK613" s="964"/>
      <c r="AL613" s="964"/>
      <c r="AM613" s="61"/>
      <c r="AO613" s="964"/>
      <c r="AP613" s="964"/>
      <c r="AQ613" s="964"/>
      <c r="AR613" s="61"/>
      <c r="AT613" s="964"/>
      <c r="AU613" s="964"/>
      <c r="AV613" s="964"/>
      <c r="AW613" s="61"/>
      <c r="AY613" s="964"/>
      <c r="AZ613" s="964"/>
      <c r="BA613" s="964"/>
      <c r="BB613" s="61"/>
      <c r="BD613" s="964"/>
      <c r="BE613" s="964"/>
      <c r="BF613" s="61"/>
      <c r="BG613" s="61"/>
      <c r="BH613" s="61"/>
      <c r="BI613" s="506"/>
      <c r="BJ613" s="506"/>
      <c r="BK613" s="506"/>
      <c r="BL613" s="506"/>
      <c r="BM613" s="506"/>
      <c r="BN613" s="506"/>
      <c r="BO613" s="506"/>
      <c r="BP613" s="506"/>
    </row>
    <row r="614" spans="4:68" hidden="1">
      <c r="D614" t="s">
        <v>781</v>
      </c>
      <c r="E614" t="s">
        <v>782</v>
      </c>
      <c r="M614" s="61"/>
      <c r="O614" s="61"/>
      <c r="Q614" s="61"/>
      <c r="T614" s="61"/>
      <c r="Y614" s="61"/>
      <c r="Z614" s="61"/>
      <c r="AA614" s="61"/>
      <c r="AB614" s="964"/>
      <c r="AC614" s="61"/>
      <c r="AE614" s="964"/>
      <c r="AF614" s="964"/>
      <c r="AG614" s="964"/>
      <c r="AH614" s="61"/>
      <c r="AJ614" s="964"/>
      <c r="AK614" s="964"/>
      <c r="AL614" s="964"/>
      <c r="AM614" s="61"/>
      <c r="AO614" s="964"/>
      <c r="AP614" s="964"/>
      <c r="AQ614" s="964"/>
      <c r="AR614" s="61"/>
      <c r="AT614" s="964"/>
      <c r="AU614" s="964"/>
      <c r="AV614" s="964"/>
      <c r="AW614" s="61"/>
      <c r="AY614" s="964"/>
      <c r="AZ614" s="964"/>
      <c r="BA614" s="964"/>
      <c r="BB614" s="61"/>
      <c r="BD614" s="964"/>
      <c r="BE614" s="964"/>
      <c r="BF614" s="61"/>
      <c r="BG614" s="61"/>
      <c r="BH614" s="61"/>
      <c r="BI614" s="506"/>
      <c r="BJ614" s="506"/>
      <c r="BK614" s="506"/>
      <c r="BL614" s="506"/>
      <c r="BM614" s="506"/>
      <c r="BN614" s="506"/>
      <c r="BO614" s="506"/>
      <c r="BP614" s="506"/>
    </row>
    <row r="615" spans="4:68" hidden="1">
      <c r="D615" t="s">
        <v>783</v>
      </c>
      <c r="E615" t="s">
        <v>784</v>
      </c>
      <c r="M615" s="61"/>
      <c r="O615" s="61"/>
      <c r="Q615" s="61"/>
      <c r="T615" s="61"/>
      <c r="Y615" s="61"/>
      <c r="Z615" s="61"/>
      <c r="AA615" s="61"/>
      <c r="AB615" s="964"/>
      <c r="AC615" s="61"/>
      <c r="AE615" s="964"/>
      <c r="AF615" s="964"/>
      <c r="AG615" s="964"/>
      <c r="AH615" s="61"/>
      <c r="AJ615" s="964"/>
      <c r="AK615" s="964"/>
      <c r="AL615" s="964"/>
      <c r="AM615" s="61"/>
      <c r="AO615" s="964"/>
      <c r="AP615" s="964"/>
      <c r="AQ615" s="964"/>
      <c r="AR615" s="61"/>
      <c r="AT615" s="964"/>
      <c r="AU615" s="964"/>
      <c r="AV615" s="964"/>
      <c r="AW615" s="61"/>
      <c r="AY615" s="964"/>
      <c r="AZ615" s="964"/>
      <c r="BA615" s="964"/>
      <c r="BB615" s="61"/>
      <c r="BD615" s="964"/>
      <c r="BE615" s="964"/>
      <c r="BF615" s="61"/>
      <c r="BG615" s="61"/>
      <c r="BH615" s="61"/>
      <c r="BI615" s="506"/>
      <c r="BJ615" s="506"/>
      <c r="BK615" s="506"/>
      <c r="BL615" s="506"/>
      <c r="BM615" s="506"/>
      <c r="BN615" s="506"/>
      <c r="BO615" s="506"/>
      <c r="BP615" s="506"/>
    </row>
    <row r="616" spans="4:68" hidden="1">
      <c r="D616" t="s">
        <v>785</v>
      </c>
      <c r="E616" t="s">
        <v>786</v>
      </c>
      <c r="M616" s="61"/>
      <c r="O616" s="61"/>
      <c r="Q616" s="61"/>
      <c r="T616" s="61"/>
      <c r="Y616" s="61"/>
      <c r="Z616" s="61"/>
      <c r="AA616" s="61"/>
      <c r="AB616" s="964"/>
      <c r="AC616" s="61"/>
      <c r="AE616" s="964"/>
      <c r="AF616" s="964"/>
      <c r="AG616" s="964"/>
      <c r="AH616" s="61"/>
      <c r="AJ616" s="964"/>
      <c r="AK616" s="964"/>
      <c r="AL616" s="964"/>
      <c r="AM616" s="61"/>
      <c r="AO616" s="964"/>
      <c r="AP616" s="964"/>
      <c r="AQ616" s="964"/>
      <c r="AR616" s="61"/>
      <c r="AT616" s="964"/>
      <c r="AU616" s="964"/>
      <c r="AV616" s="964"/>
      <c r="AW616" s="61"/>
      <c r="AY616" s="964"/>
      <c r="AZ616" s="964"/>
      <c r="BA616" s="964"/>
      <c r="BB616" s="61"/>
      <c r="BD616" s="964"/>
      <c r="BE616" s="964"/>
      <c r="BF616" s="61"/>
      <c r="BG616" s="61"/>
      <c r="BH616" s="61"/>
      <c r="BI616" s="506"/>
      <c r="BJ616" s="506"/>
      <c r="BK616" s="506"/>
      <c r="BL616" s="506"/>
      <c r="BM616" s="506"/>
      <c r="BN616" s="506"/>
      <c r="BO616" s="506"/>
      <c r="BP616" s="506"/>
    </row>
    <row r="617" spans="4:68" hidden="1">
      <c r="D617" t="s">
        <v>787</v>
      </c>
      <c r="E617" t="s">
        <v>788</v>
      </c>
      <c r="M617" s="61"/>
      <c r="O617" s="61"/>
      <c r="Q617" s="61"/>
      <c r="T617" s="61"/>
      <c r="Y617" s="61"/>
      <c r="Z617" s="61"/>
      <c r="AA617" s="61"/>
      <c r="AB617" s="964"/>
      <c r="AC617" s="61"/>
      <c r="AE617" s="964"/>
      <c r="AF617" s="964"/>
      <c r="AG617" s="964"/>
      <c r="AH617" s="61"/>
      <c r="AJ617" s="964"/>
      <c r="AK617" s="964"/>
      <c r="AL617" s="964"/>
      <c r="AM617" s="61"/>
      <c r="AO617" s="964"/>
      <c r="AP617" s="964"/>
      <c r="AQ617" s="964"/>
      <c r="AR617" s="61"/>
      <c r="AT617" s="964"/>
      <c r="AU617" s="964"/>
      <c r="AV617" s="964"/>
      <c r="AW617" s="61"/>
      <c r="AY617" s="964"/>
      <c r="AZ617" s="964"/>
      <c r="BA617" s="964"/>
      <c r="BB617" s="61"/>
      <c r="BD617" s="964"/>
      <c r="BE617" s="964"/>
      <c r="BF617" s="61"/>
      <c r="BG617" s="61"/>
      <c r="BH617" s="61"/>
      <c r="BI617" s="506"/>
      <c r="BJ617" s="506"/>
      <c r="BK617" s="506"/>
      <c r="BL617" s="506"/>
      <c r="BM617" s="506"/>
      <c r="BN617" s="506"/>
      <c r="BO617" s="506"/>
      <c r="BP617" s="506"/>
    </row>
    <row r="618" spans="4:68" hidden="1">
      <c r="D618" t="s">
        <v>789</v>
      </c>
      <c r="E618" t="s">
        <v>790</v>
      </c>
      <c r="M618" s="61"/>
      <c r="O618" s="61"/>
      <c r="Q618" s="61"/>
      <c r="T618" s="61"/>
      <c r="Y618" s="61"/>
      <c r="Z618" s="61"/>
      <c r="AA618" s="61"/>
      <c r="AB618" s="964"/>
      <c r="AC618" s="61"/>
      <c r="AE618" s="964"/>
      <c r="AF618" s="964"/>
      <c r="AG618" s="964"/>
      <c r="AH618" s="61"/>
      <c r="AJ618" s="964"/>
      <c r="AK618" s="964"/>
      <c r="AL618" s="964"/>
      <c r="AM618" s="61"/>
      <c r="AO618" s="964"/>
      <c r="AP618" s="964"/>
      <c r="AQ618" s="964"/>
      <c r="AR618" s="61"/>
      <c r="AT618" s="964"/>
      <c r="AU618" s="964"/>
      <c r="AV618" s="964"/>
      <c r="AW618" s="61"/>
      <c r="AY618" s="964"/>
      <c r="AZ618" s="964"/>
      <c r="BA618" s="964"/>
      <c r="BB618" s="61"/>
      <c r="BD618" s="964"/>
      <c r="BE618" s="964"/>
      <c r="BF618" s="61"/>
      <c r="BG618" s="61"/>
      <c r="BH618" s="61"/>
      <c r="BI618" s="506"/>
      <c r="BJ618" s="506"/>
      <c r="BK618" s="506"/>
      <c r="BL618" s="506"/>
      <c r="BM618" s="506"/>
      <c r="BN618" s="506"/>
      <c r="BO618" s="506"/>
      <c r="BP618" s="506"/>
    </row>
    <row r="619" spans="4:68" hidden="1">
      <c r="D619" t="s">
        <v>791</v>
      </c>
      <c r="E619" t="s">
        <v>792</v>
      </c>
      <c r="M619" s="61"/>
      <c r="O619" s="61"/>
      <c r="Q619" s="61"/>
      <c r="T619" s="61"/>
      <c r="Y619" s="61"/>
      <c r="Z619" s="61"/>
      <c r="AA619" s="61"/>
      <c r="AB619" s="964"/>
      <c r="AC619" s="61"/>
      <c r="AE619" s="964"/>
      <c r="AF619" s="964"/>
      <c r="AG619" s="964"/>
      <c r="AH619" s="61"/>
      <c r="AJ619" s="964"/>
      <c r="AK619" s="964"/>
      <c r="AL619" s="964"/>
      <c r="AM619" s="61"/>
      <c r="AO619" s="964"/>
      <c r="AP619" s="964"/>
      <c r="AQ619" s="964"/>
      <c r="AR619" s="61"/>
      <c r="AT619" s="964"/>
      <c r="AU619" s="964"/>
      <c r="AV619" s="964"/>
      <c r="AW619" s="61"/>
      <c r="AY619" s="964"/>
      <c r="AZ619" s="964"/>
      <c r="BA619" s="964"/>
      <c r="BB619" s="61"/>
      <c r="BD619" s="964"/>
      <c r="BE619" s="964"/>
      <c r="BF619" s="61"/>
      <c r="BG619" s="61"/>
      <c r="BH619" s="61"/>
      <c r="BI619" s="506"/>
      <c r="BJ619" s="506"/>
      <c r="BK619" s="506"/>
      <c r="BL619" s="506"/>
      <c r="BM619" s="506"/>
      <c r="BN619" s="506"/>
      <c r="BO619" s="506"/>
      <c r="BP619" s="506"/>
    </row>
    <row r="620" spans="4:68">
      <c r="D620" t="s">
        <v>1451</v>
      </c>
      <c r="E620" t="s">
        <v>1452</v>
      </c>
      <c r="M620" s="61"/>
      <c r="O620" s="61"/>
      <c r="Q620" s="61"/>
      <c r="T620" s="61"/>
      <c r="Y620" s="61">
        <v>13132</v>
      </c>
      <c r="Z620" s="61"/>
      <c r="AA620" s="61"/>
      <c r="AB620" s="964"/>
      <c r="AC620" s="61">
        <v>12056</v>
      </c>
      <c r="AE620" s="964"/>
      <c r="AF620" s="964"/>
      <c r="AG620" s="964"/>
      <c r="AH620" s="61"/>
      <c r="AJ620" s="964"/>
      <c r="AK620" s="964"/>
      <c r="AL620" s="964"/>
      <c r="AM620" s="61"/>
      <c r="AO620" s="964"/>
      <c r="AP620" s="964"/>
      <c r="AQ620" s="964"/>
      <c r="AR620" s="61"/>
      <c r="AT620" s="964"/>
      <c r="AU620" s="964"/>
      <c r="AV620" s="964"/>
      <c r="AW620" s="61"/>
      <c r="AY620" s="964"/>
      <c r="AZ620" s="964"/>
      <c r="BA620" s="964"/>
      <c r="BB620" s="61"/>
      <c r="BD620" s="964"/>
      <c r="BE620" s="964"/>
      <c r="BF620" s="61"/>
      <c r="BG620" s="61"/>
      <c r="BH620" s="61"/>
      <c r="BI620" s="506"/>
      <c r="BJ620" s="506"/>
      <c r="BK620" s="506"/>
      <c r="BL620" s="506"/>
      <c r="BM620" s="506"/>
      <c r="BN620" s="506"/>
      <c r="BO620" s="506"/>
      <c r="BP620" s="506"/>
    </row>
    <row r="621" spans="4:68" hidden="1">
      <c r="D621" t="s">
        <v>793</v>
      </c>
      <c r="E621" t="s">
        <v>794</v>
      </c>
      <c r="M621" s="61"/>
      <c r="O621" s="61"/>
      <c r="Q621" s="61"/>
      <c r="T621" s="61"/>
      <c r="Y621" s="61"/>
      <c r="Z621" s="61"/>
      <c r="AA621" s="61"/>
      <c r="AB621" s="964"/>
      <c r="AC621" s="61"/>
      <c r="AE621" s="964"/>
      <c r="AF621" s="964"/>
      <c r="AG621" s="964"/>
      <c r="AH621" s="61"/>
      <c r="AJ621" s="964"/>
      <c r="AK621" s="964"/>
      <c r="AL621" s="964"/>
      <c r="AM621" s="61"/>
      <c r="AO621" s="964"/>
      <c r="AP621" s="964"/>
      <c r="AQ621" s="964"/>
      <c r="AR621" s="61"/>
      <c r="AT621" s="964"/>
      <c r="AU621" s="964"/>
      <c r="AV621" s="964"/>
      <c r="AW621" s="61"/>
      <c r="AY621" s="964"/>
      <c r="AZ621" s="964"/>
      <c r="BA621" s="964"/>
      <c r="BB621" s="61"/>
      <c r="BD621" s="964"/>
      <c r="BE621" s="964"/>
      <c r="BF621" s="61"/>
      <c r="BG621" s="61"/>
      <c r="BH621" s="61"/>
      <c r="BI621" s="506"/>
      <c r="BJ621" s="506"/>
      <c r="BK621" s="506"/>
      <c r="BL621" s="506"/>
      <c r="BM621" s="506"/>
      <c r="BN621" s="506"/>
      <c r="BO621" s="506"/>
      <c r="BP621" s="506"/>
    </row>
    <row r="622" spans="4:68" hidden="1">
      <c r="D622" t="s">
        <v>795</v>
      </c>
      <c r="E622" t="s">
        <v>796</v>
      </c>
      <c r="M622" s="61"/>
      <c r="O622" s="61"/>
      <c r="Q622" s="61"/>
      <c r="T622" s="61"/>
      <c r="Y622" s="61"/>
      <c r="Z622" s="61"/>
      <c r="AA622" s="61"/>
      <c r="AB622" s="964"/>
      <c r="AC622" s="61"/>
      <c r="AE622" s="964"/>
      <c r="AF622" s="964"/>
      <c r="AG622" s="964"/>
      <c r="AH622" s="61"/>
      <c r="AJ622" s="964"/>
      <c r="AK622" s="964"/>
      <c r="AL622" s="964"/>
      <c r="AM622" s="61"/>
      <c r="AO622" s="964"/>
      <c r="AP622" s="964"/>
      <c r="AQ622" s="964"/>
      <c r="AR622" s="61"/>
      <c r="AT622" s="964"/>
      <c r="AU622" s="964"/>
      <c r="AV622" s="964"/>
      <c r="AW622" s="61"/>
      <c r="AY622" s="964"/>
      <c r="AZ622" s="964"/>
      <c r="BA622" s="964"/>
      <c r="BB622" s="61"/>
      <c r="BD622" s="964"/>
      <c r="BE622" s="964"/>
      <c r="BF622" s="61"/>
      <c r="BG622" s="61"/>
      <c r="BH622" s="61"/>
      <c r="BI622" s="506"/>
      <c r="BJ622" s="506"/>
      <c r="BK622" s="506"/>
      <c r="BL622" s="506"/>
      <c r="BM622" s="506"/>
      <c r="BN622" s="506"/>
      <c r="BO622" s="506"/>
      <c r="BP622" s="506"/>
    </row>
    <row r="623" spans="4:68" hidden="1">
      <c r="D623" t="s">
        <v>797</v>
      </c>
      <c r="E623" t="s">
        <v>798</v>
      </c>
      <c r="M623" s="61"/>
      <c r="O623" s="61"/>
      <c r="Q623" s="61"/>
      <c r="T623" s="61"/>
      <c r="Y623" s="61"/>
      <c r="Z623" s="61"/>
      <c r="AA623" s="61"/>
      <c r="AB623" s="964"/>
      <c r="AC623" s="61"/>
      <c r="AE623" s="964"/>
      <c r="AF623" s="964"/>
      <c r="AG623" s="964"/>
      <c r="AH623" s="61"/>
      <c r="AJ623" s="964"/>
      <c r="AK623" s="964"/>
      <c r="AL623" s="964"/>
      <c r="AM623" s="61"/>
      <c r="AO623" s="964"/>
      <c r="AP623" s="964"/>
      <c r="AQ623" s="964"/>
      <c r="AR623" s="61"/>
      <c r="AT623" s="964"/>
      <c r="AU623" s="964"/>
      <c r="AV623" s="964"/>
      <c r="AW623" s="61"/>
      <c r="AY623" s="964"/>
      <c r="AZ623" s="964"/>
      <c r="BA623" s="964"/>
      <c r="BB623" s="61"/>
      <c r="BD623" s="964"/>
      <c r="BE623" s="964"/>
      <c r="BF623" s="61"/>
      <c r="BG623" s="61"/>
      <c r="BH623" s="61"/>
      <c r="BI623" s="506"/>
      <c r="BJ623" s="506"/>
      <c r="BK623" s="506"/>
      <c r="BL623" s="506"/>
      <c r="BM623" s="506"/>
      <c r="BN623" s="506"/>
      <c r="BO623" s="506"/>
      <c r="BP623" s="506"/>
    </row>
    <row r="624" spans="4:68" hidden="1">
      <c r="D624" t="s">
        <v>799</v>
      </c>
      <c r="E624" t="s">
        <v>800</v>
      </c>
      <c r="M624" s="61"/>
      <c r="O624" s="61"/>
      <c r="Q624" s="61"/>
      <c r="T624" s="61"/>
      <c r="Y624" s="61"/>
      <c r="Z624" s="61"/>
      <c r="AA624" s="61"/>
      <c r="AB624" s="964"/>
      <c r="AC624" s="61"/>
      <c r="AE624" s="964"/>
      <c r="AF624" s="964"/>
      <c r="AG624" s="964"/>
      <c r="AH624" s="61"/>
      <c r="AJ624" s="964"/>
      <c r="AK624" s="964"/>
      <c r="AL624" s="964"/>
      <c r="AM624" s="61"/>
      <c r="AO624" s="964"/>
      <c r="AP624" s="964"/>
      <c r="AQ624" s="964"/>
      <c r="AR624" s="61"/>
      <c r="AT624" s="964"/>
      <c r="AU624" s="964"/>
      <c r="AV624" s="964"/>
      <c r="AW624" s="61"/>
      <c r="AY624" s="964"/>
      <c r="AZ624" s="964"/>
      <c r="BA624" s="964"/>
      <c r="BB624" s="61"/>
      <c r="BD624" s="964"/>
      <c r="BE624" s="964"/>
      <c r="BF624" s="61"/>
      <c r="BG624" s="61"/>
      <c r="BH624" s="61"/>
      <c r="BI624" s="506"/>
      <c r="BJ624" s="506"/>
      <c r="BK624" s="506"/>
      <c r="BL624" s="506"/>
      <c r="BM624" s="506"/>
      <c r="BN624" s="506"/>
      <c r="BO624" s="506"/>
      <c r="BP624" s="506"/>
    </row>
    <row r="625" spans="4:68" hidden="1">
      <c r="D625" t="s">
        <v>801</v>
      </c>
      <c r="E625" t="s">
        <v>802</v>
      </c>
      <c r="M625" s="61"/>
      <c r="O625" s="61"/>
      <c r="Q625" s="61"/>
      <c r="T625" s="61"/>
      <c r="Y625" s="61"/>
      <c r="Z625" s="61"/>
      <c r="AA625" s="61"/>
      <c r="AB625" s="964"/>
      <c r="AC625" s="61"/>
      <c r="AE625" s="964"/>
      <c r="AF625" s="964"/>
      <c r="AG625" s="964"/>
      <c r="AH625" s="61"/>
      <c r="AJ625" s="964"/>
      <c r="AK625" s="964"/>
      <c r="AL625" s="964"/>
      <c r="AM625" s="61"/>
      <c r="AO625" s="964"/>
      <c r="AP625" s="964"/>
      <c r="AQ625" s="964"/>
      <c r="AR625" s="61"/>
      <c r="AT625" s="964"/>
      <c r="AU625" s="964"/>
      <c r="AV625" s="964"/>
      <c r="AW625" s="61"/>
      <c r="AY625" s="964"/>
      <c r="AZ625" s="964"/>
      <c r="BA625" s="964"/>
      <c r="BB625" s="61"/>
      <c r="BD625" s="964"/>
      <c r="BE625" s="964"/>
      <c r="BF625" s="61"/>
      <c r="BG625" s="61"/>
      <c r="BH625" s="61"/>
      <c r="BI625" s="506"/>
      <c r="BJ625" s="506"/>
      <c r="BK625" s="506"/>
      <c r="BL625" s="506"/>
      <c r="BM625" s="506"/>
      <c r="BN625" s="506"/>
      <c r="BO625" s="506"/>
      <c r="BP625" s="506"/>
    </row>
    <row r="626" spans="4:68" hidden="1">
      <c r="D626" t="s">
        <v>803</v>
      </c>
      <c r="E626" t="s">
        <v>549</v>
      </c>
      <c r="M626" s="61"/>
      <c r="O626" s="61"/>
      <c r="Q626" s="61"/>
      <c r="T626" s="61"/>
      <c r="Y626" s="61"/>
      <c r="Z626" s="61"/>
      <c r="AA626" s="61"/>
      <c r="AB626" s="964"/>
      <c r="AC626" s="61"/>
      <c r="AE626" s="964"/>
      <c r="AF626" s="964"/>
      <c r="AG626" s="964"/>
      <c r="AH626" s="61"/>
      <c r="AJ626" s="964"/>
      <c r="AK626" s="964"/>
      <c r="AL626" s="964"/>
      <c r="AM626" s="61"/>
      <c r="AO626" s="964"/>
      <c r="AP626" s="964"/>
      <c r="AQ626" s="964"/>
      <c r="AR626" s="61"/>
      <c r="AT626" s="964"/>
      <c r="AU626" s="964"/>
      <c r="AV626" s="964"/>
      <c r="AW626" s="61"/>
      <c r="AY626" s="964"/>
      <c r="AZ626" s="964"/>
      <c r="BA626" s="964"/>
      <c r="BB626" s="61"/>
      <c r="BD626" s="964"/>
      <c r="BE626" s="964"/>
      <c r="BF626" s="61"/>
      <c r="BG626" s="61"/>
      <c r="BH626" s="61"/>
      <c r="BI626" s="506"/>
      <c r="BJ626" s="506"/>
      <c r="BK626" s="506"/>
      <c r="BL626" s="506"/>
      <c r="BM626" s="506"/>
      <c r="BN626" s="506"/>
      <c r="BO626" s="506"/>
      <c r="BP626" s="506"/>
    </row>
    <row r="627" spans="4:68" hidden="1">
      <c r="D627" t="s">
        <v>804</v>
      </c>
      <c r="E627" t="s">
        <v>550</v>
      </c>
      <c r="M627" s="61"/>
      <c r="O627" s="61"/>
      <c r="Q627" s="61"/>
      <c r="T627" s="61"/>
      <c r="Y627" s="61"/>
      <c r="Z627" s="61"/>
      <c r="AA627" s="61"/>
      <c r="AB627" s="964"/>
      <c r="AC627" s="61"/>
      <c r="AE627" s="964"/>
      <c r="AF627" s="964"/>
      <c r="AG627" s="964"/>
      <c r="AH627" s="61"/>
      <c r="AJ627" s="964"/>
      <c r="AK627" s="964"/>
      <c r="AL627" s="964"/>
      <c r="AM627" s="61"/>
      <c r="AO627" s="964"/>
      <c r="AP627" s="964"/>
      <c r="AQ627" s="964"/>
      <c r="AR627" s="61"/>
      <c r="AT627" s="964"/>
      <c r="AU627" s="964"/>
      <c r="AV627" s="964"/>
      <c r="AW627" s="61"/>
      <c r="AY627" s="964"/>
      <c r="AZ627" s="964"/>
      <c r="BA627" s="964"/>
      <c r="BB627" s="61"/>
      <c r="BD627" s="964"/>
      <c r="BE627" s="964"/>
      <c r="BF627" s="61"/>
      <c r="BG627" s="61"/>
      <c r="BH627" s="61"/>
      <c r="BI627" s="506"/>
      <c r="BJ627" s="506"/>
      <c r="BK627" s="506"/>
      <c r="BL627" s="506"/>
      <c r="BM627" s="506"/>
      <c r="BN627" s="506"/>
      <c r="BO627" s="506"/>
      <c r="BP627" s="506"/>
    </row>
    <row r="628" spans="4:68" hidden="1">
      <c r="D628" t="s">
        <v>805</v>
      </c>
      <c r="E628" t="s">
        <v>551</v>
      </c>
      <c r="M628" s="61"/>
      <c r="O628" s="61"/>
      <c r="Q628" s="61"/>
      <c r="T628" s="61"/>
      <c r="Y628" s="61"/>
      <c r="Z628" s="61"/>
      <c r="AA628" s="61"/>
      <c r="AB628" s="964"/>
      <c r="AC628" s="61"/>
      <c r="AE628" s="964"/>
      <c r="AF628" s="964"/>
      <c r="AG628" s="964"/>
      <c r="AH628" s="61"/>
      <c r="AJ628" s="964"/>
      <c r="AK628" s="964"/>
      <c r="AL628" s="964"/>
      <c r="AM628" s="61"/>
      <c r="AO628" s="964"/>
      <c r="AP628" s="964"/>
      <c r="AQ628" s="964"/>
      <c r="AR628" s="61"/>
      <c r="AT628" s="964"/>
      <c r="AU628" s="964"/>
      <c r="AV628" s="964"/>
      <c r="AW628" s="61"/>
      <c r="AY628" s="964"/>
      <c r="AZ628" s="964"/>
      <c r="BA628" s="964"/>
      <c r="BB628" s="61"/>
      <c r="BD628" s="964"/>
      <c r="BE628" s="964"/>
      <c r="BF628" s="61"/>
      <c r="BG628" s="61"/>
      <c r="BH628" s="61"/>
      <c r="BI628" s="506"/>
      <c r="BJ628" s="506"/>
      <c r="BK628" s="506"/>
      <c r="BL628" s="506"/>
      <c r="BM628" s="506"/>
      <c r="BN628" s="506"/>
      <c r="BO628" s="506"/>
      <c r="BP628" s="506"/>
    </row>
    <row r="629" spans="4:68" hidden="1">
      <c r="D629" t="s">
        <v>806</v>
      </c>
      <c r="E629" t="s">
        <v>807</v>
      </c>
      <c r="M629" s="61"/>
      <c r="O629" s="61"/>
      <c r="Q629" s="61"/>
      <c r="T629" s="61"/>
      <c r="Y629" s="61"/>
      <c r="Z629" s="61"/>
      <c r="AA629" s="61"/>
      <c r="AB629" s="964"/>
      <c r="AC629" s="61"/>
      <c r="AE629" s="964"/>
      <c r="AF629" s="964"/>
      <c r="AG629" s="964"/>
      <c r="AH629" s="61"/>
      <c r="AJ629" s="964"/>
      <c r="AK629" s="964"/>
      <c r="AL629" s="964"/>
      <c r="AM629" s="61"/>
      <c r="AO629" s="964"/>
      <c r="AP629" s="964"/>
      <c r="AQ629" s="964"/>
      <c r="AR629" s="61"/>
      <c r="AT629" s="964"/>
      <c r="AU629" s="964"/>
      <c r="AV629" s="964"/>
      <c r="AW629" s="61"/>
      <c r="AY629" s="964"/>
      <c r="AZ629" s="964"/>
      <c r="BA629" s="964"/>
      <c r="BB629" s="61"/>
      <c r="BD629" s="964"/>
      <c r="BE629" s="964"/>
      <c r="BF629" s="61"/>
      <c r="BG629" s="61"/>
      <c r="BH629" s="61"/>
      <c r="BI629" s="506"/>
      <c r="BJ629" s="506"/>
      <c r="BK629" s="506"/>
      <c r="BL629" s="506"/>
      <c r="BM629" s="506"/>
      <c r="BN629" s="506"/>
      <c r="BO629" s="506"/>
      <c r="BP629" s="506"/>
    </row>
    <row r="630" spans="4:68" hidden="1">
      <c r="D630" t="s">
        <v>808</v>
      </c>
      <c r="E630" t="s">
        <v>809</v>
      </c>
      <c r="M630" s="61"/>
      <c r="O630" s="61"/>
      <c r="Q630" s="61"/>
      <c r="T630" s="61"/>
      <c r="Y630" s="61"/>
      <c r="Z630" s="61"/>
      <c r="AA630" s="61"/>
      <c r="AB630" s="964"/>
      <c r="AC630" s="61"/>
      <c r="AE630" s="964"/>
      <c r="AF630" s="964"/>
      <c r="AG630" s="964"/>
      <c r="AH630" s="61"/>
      <c r="AJ630" s="964"/>
      <c r="AK630" s="964"/>
      <c r="AL630" s="964"/>
      <c r="AM630" s="61"/>
      <c r="AO630" s="964"/>
      <c r="AP630" s="964"/>
      <c r="AQ630" s="964"/>
      <c r="AR630" s="61"/>
      <c r="AT630" s="964"/>
      <c r="AU630" s="964"/>
      <c r="AV630" s="964"/>
      <c r="AW630" s="61"/>
      <c r="AY630" s="964"/>
      <c r="AZ630" s="964"/>
      <c r="BA630" s="964"/>
      <c r="BB630" s="61"/>
      <c r="BD630" s="964"/>
      <c r="BE630" s="964"/>
      <c r="BF630" s="61"/>
      <c r="BG630" s="61"/>
      <c r="BH630" s="61"/>
      <c r="BI630" s="506"/>
      <c r="BJ630" s="506"/>
      <c r="BK630" s="506"/>
      <c r="BL630" s="506"/>
      <c r="BM630" s="506"/>
      <c r="BN630" s="506"/>
      <c r="BO630" s="506"/>
      <c r="BP630" s="506"/>
    </row>
    <row r="631" spans="4:68" hidden="1">
      <c r="D631" t="s">
        <v>1493</v>
      </c>
      <c r="E631" t="s">
        <v>1494</v>
      </c>
      <c r="M631" s="61"/>
      <c r="O631" s="61"/>
      <c r="Q631" s="61"/>
      <c r="T631" s="61"/>
      <c r="Y631" s="61"/>
      <c r="Z631" s="61"/>
      <c r="AA631" s="61"/>
      <c r="AB631" s="964"/>
      <c r="AC631" s="61"/>
      <c r="AE631" s="964"/>
      <c r="AF631" s="964"/>
      <c r="AG631" s="964"/>
      <c r="AH631" s="61"/>
      <c r="AJ631" s="964"/>
      <c r="AK631" s="964"/>
      <c r="AL631" s="964"/>
      <c r="AM631" s="61"/>
      <c r="AO631" s="964"/>
      <c r="AP631" s="964"/>
      <c r="AQ631" s="964"/>
      <c r="AR631" s="61"/>
      <c r="AT631" s="964"/>
      <c r="AU631" s="964"/>
      <c r="AV631" s="964"/>
      <c r="AW631" s="61"/>
      <c r="AY631" s="964"/>
      <c r="AZ631" s="964"/>
      <c r="BA631" s="964"/>
      <c r="BB631" s="61"/>
      <c r="BD631" s="964"/>
      <c r="BE631" s="964"/>
      <c r="BF631" s="61"/>
      <c r="BG631" s="61"/>
      <c r="BH631" s="61"/>
      <c r="BI631" s="506"/>
      <c r="BJ631" s="506"/>
      <c r="BK631" s="506"/>
      <c r="BL631" s="506"/>
      <c r="BM631" s="506"/>
      <c r="BN631" s="506"/>
      <c r="BO631" s="506"/>
      <c r="BP631" s="506"/>
    </row>
    <row r="632" spans="4:68">
      <c r="D632" t="s">
        <v>810</v>
      </c>
      <c r="E632" t="s">
        <v>811</v>
      </c>
      <c r="M632" s="61"/>
      <c r="O632" s="61"/>
      <c r="Q632" s="61"/>
      <c r="T632" s="61"/>
      <c r="Y632" s="61"/>
      <c r="Z632" s="61"/>
      <c r="AA632" s="61"/>
      <c r="AB632" s="964"/>
      <c r="AC632" s="61">
        <v>19726</v>
      </c>
      <c r="AE632" s="964"/>
      <c r="AF632" s="964"/>
      <c r="AG632" s="964"/>
      <c r="AH632" s="61"/>
      <c r="AJ632" s="964"/>
      <c r="AK632" s="964"/>
      <c r="AL632" s="964"/>
      <c r="AM632" s="61"/>
      <c r="AO632" s="964"/>
      <c r="AP632" s="964"/>
      <c r="AQ632" s="964"/>
      <c r="AR632" s="61"/>
      <c r="AT632" s="964"/>
      <c r="AU632" s="964"/>
      <c r="AV632" s="964"/>
      <c r="AW632" s="61"/>
      <c r="AY632" s="964"/>
      <c r="AZ632" s="964"/>
      <c r="BA632" s="964"/>
      <c r="BB632" s="61"/>
      <c r="BD632" s="964"/>
      <c r="BE632" s="964"/>
      <c r="BF632" s="61"/>
      <c r="BG632" s="61"/>
      <c r="BH632" s="61"/>
      <c r="BI632" s="506"/>
      <c r="BJ632" s="506"/>
      <c r="BK632" s="506"/>
      <c r="BL632" s="506"/>
      <c r="BM632" s="506"/>
      <c r="BN632" s="506"/>
      <c r="BO632" s="506"/>
      <c r="BP632" s="506"/>
    </row>
    <row r="633" spans="4:68">
      <c r="D633" t="s">
        <v>812</v>
      </c>
      <c r="E633" t="s">
        <v>813</v>
      </c>
      <c r="M633" s="61"/>
      <c r="O633" s="61"/>
      <c r="Q633" s="61"/>
      <c r="T633" s="61"/>
      <c r="Y633" s="61"/>
      <c r="Z633" s="61"/>
      <c r="AA633" s="61"/>
      <c r="AB633" s="964"/>
      <c r="AC633" s="61">
        <v>44298</v>
      </c>
      <c r="AE633" s="964"/>
      <c r="AF633" s="964"/>
      <c r="AG633" s="964"/>
      <c r="AH633" s="61"/>
      <c r="AJ633" s="964"/>
      <c r="AK633" s="964"/>
      <c r="AL633" s="964"/>
      <c r="AM633" s="61"/>
      <c r="AO633" s="964"/>
      <c r="AP633" s="964"/>
      <c r="AQ633" s="964"/>
      <c r="AR633" s="61"/>
      <c r="AT633" s="964"/>
      <c r="AU633" s="964"/>
      <c r="AV633" s="964"/>
      <c r="AW633" s="61"/>
      <c r="AY633" s="964"/>
      <c r="AZ633" s="964"/>
      <c r="BA633" s="964"/>
      <c r="BB633" s="61"/>
      <c r="BD633" s="964"/>
      <c r="BE633" s="964"/>
      <c r="BF633" s="61"/>
      <c r="BG633" s="61"/>
      <c r="BH633" s="61"/>
      <c r="BI633" s="506"/>
      <c r="BJ633" s="506"/>
      <c r="BK633" s="506"/>
      <c r="BL633" s="506"/>
      <c r="BM633" s="506"/>
      <c r="BN633" s="506"/>
      <c r="BO633" s="506"/>
      <c r="BP633" s="506"/>
    </row>
    <row r="634" spans="4:68" hidden="1">
      <c r="D634" t="s">
        <v>814</v>
      </c>
      <c r="E634" t="s">
        <v>815</v>
      </c>
      <c r="M634" s="61"/>
      <c r="O634" s="61"/>
      <c r="Q634" s="61"/>
      <c r="T634" s="61"/>
      <c r="Y634" s="61"/>
      <c r="Z634" s="61"/>
      <c r="AA634" s="61"/>
      <c r="AB634" s="964"/>
      <c r="AC634" s="61"/>
      <c r="AE634" s="964"/>
      <c r="AF634" s="964"/>
      <c r="AG634" s="964"/>
      <c r="AH634" s="61"/>
      <c r="AJ634" s="964"/>
      <c r="AK634" s="964"/>
      <c r="AL634" s="964"/>
      <c r="AM634" s="61"/>
      <c r="AO634" s="964"/>
      <c r="AP634" s="964"/>
      <c r="AQ634" s="964"/>
      <c r="AR634" s="61"/>
      <c r="AT634" s="964"/>
      <c r="AU634" s="964"/>
      <c r="AV634" s="964"/>
      <c r="AW634" s="61"/>
      <c r="AY634" s="964"/>
      <c r="AZ634" s="964"/>
      <c r="BA634" s="964"/>
      <c r="BB634" s="61"/>
      <c r="BD634" s="964"/>
      <c r="BE634" s="964"/>
      <c r="BF634" s="61"/>
      <c r="BG634" s="61"/>
      <c r="BH634" s="61"/>
      <c r="BI634" s="506"/>
      <c r="BJ634" s="506"/>
      <c r="BK634" s="506"/>
      <c r="BL634" s="506"/>
      <c r="BM634" s="506"/>
      <c r="BN634" s="506"/>
      <c r="BO634" s="506"/>
      <c r="BP634" s="506"/>
    </row>
    <row r="635" spans="4:68" hidden="1">
      <c r="D635" t="s">
        <v>816</v>
      </c>
      <c r="E635" t="s">
        <v>817</v>
      </c>
      <c r="M635" s="61"/>
      <c r="O635" s="61"/>
      <c r="Q635" s="61"/>
      <c r="T635" s="61"/>
      <c r="Y635" s="61"/>
      <c r="Z635" s="61"/>
      <c r="AA635" s="61"/>
      <c r="AB635" s="964"/>
      <c r="AC635" s="61"/>
      <c r="AE635" s="964"/>
      <c r="AF635" s="964"/>
      <c r="AG635" s="964"/>
      <c r="AH635" s="61"/>
      <c r="AJ635" s="964"/>
      <c r="AK635" s="964"/>
      <c r="AL635" s="964"/>
      <c r="AM635" s="61"/>
      <c r="AO635" s="964"/>
      <c r="AP635" s="964"/>
      <c r="AQ635" s="964"/>
      <c r="AR635" s="61"/>
      <c r="AT635" s="964"/>
      <c r="AU635" s="964"/>
      <c r="AV635" s="964"/>
      <c r="AW635" s="61"/>
      <c r="AY635" s="964"/>
      <c r="AZ635" s="964"/>
      <c r="BA635" s="964"/>
      <c r="BB635" s="61"/>
      <c r="BD635" s="964"/>
      <c r="BE635" s="964"/>
      <c r="BF635" s="61"/>
      <c r="BG635" s="61"/>
      <c r="BH635" s="61"/>
      <c r="BI635" s="506"/>
      <c r="BJ635" s="506"/>
      <c r="BK635" s="506"/>
      <c r="BL635" s="506"/>
      <c r="BM635" s="506"/>
      <c r="BN635" s="506"/>
      <c r="BO635" s="506"/>
      <c r="BP635" s="506"/>
    </row>
    <row r="636" spans="4:68" hidden="1">
      <c r="D636" t="s">
        <v>818</v>
      </c>
      <c r="E636" t="s">
        <v>819</v>
      </c>
      <c r="M636" s="61"/>
      <c r="O636" s="61"/>
      <c r="Q636" s="61"/>
      <c r="T636" s="61"/>
      <c r="Y636" s="61"/>
      <c r="Z636" s="61"/>
      <c r="AA636" s="61"/>
      <c r="AB636" s="964"/>
      <c r="AC636" s="61"/>
      <c r="AE636" s="964"/>
      <c r="AF636" s="964"/>
      <c r="AG636" s="964"/>
      <c r="AH636" s="61"/>
      <c r="AJ636" s="964"/>
      <c r="AK636" s="964"/>
      <c r="AL636" s="964"/>
      <c r="AM636" s="61"/>
      <c r="AO636" s="964"/>
      <c r="AP636" s="964"/>
      <c r="AQ636" s="964"/>
      <c r="AR636" s="61"/>
      <c r="AT636" s="964"/>
      <c r="AU636" s="964"/>
      <c r="AV636" s="964"/>
      <c r="AW636" s="61"/>
      <c r="AY636" s="964"/>
      <c r="AZ636" s="964"/>
      <c r="BA636" s="964"/>
      <c r="BB636" s="61"/>
      <c r="BD636" s="964"/>
      <c r="BE636" s="964"/>
      <c r="BF636" s="61"/>
      <c r="BG636" s="61"/>
      <c r="BH636" s="61"/>
      <c r="BI636" s="506"/>
      <c r="BJ636" s="506"/>
      <c r="BK636" s="506"/>
      <c r="BL636" s="506"/>
      <c r="BM636" s="506"/>
      <c r="BN636" s="506"/>
      <c r="BO636" s="506"/>
      <c r="BP636" s="506"/>
    </row>
    <row r="637" spans="4:68" hidden="1">
      <c r="D637" t="s">
        <v>820</v>
      </c>
      <c r="E637" t="s">
        <v>821</v>
      </c>
      <c r="M637" s="61"/>
      <c r="O637" s="61"/>
      <c r="Q637" s="61"/>
      <c r="T637" s="61"/>
      <c r="Y637" s="61"/>
      <c r="Z637" s="61"/>
      <c r="AA637" s="61"/>
      <c r="AB637" s="964"/>
      <c r="AC637" s="61"/>
      <c r="AE637" s="964"/>
      <c r="AF637" s="964"/>
      <c r="AG637" s="964"/>
      <c r="AH637" s="61"/>
      <c r="AJ637" s="964"/>
      <c r="AK637" s="964"/>
      <c r="AL637" s="964"/>
      <c r="AM637" s="61"/>
      <c r="AO637" s="964"/>
      <c r="AP637" s="964"/>
      <c r="AQ637" s="964"/>
      <c r="AR637" s="61"/>
      <c r="AT637" s="964"/>
      <c r="AU637" s="964"/>
      <c r="AV637" s="964"/>
      <c r="AW637" s="61"/>
      <c r="AY637" s="964"/>
      <c r="AZ637" s="964"/>
      <c r="BA637" s="964"/>
      <c r="BB637" s="61"/>
      <c r="BD637" s="964"/>
      <c r="BE637" s="964"/>
      <c r="BF637" s="61"/>
      <c r="BG637" s="61"/>
      <c r="BH637" s="61"/>
      <c r="BI637" s="506"/>
      <c r="BJ637" s="506"/>
      <c r="BK637" s="506"/>
      <c r="BL637" s="506"/>
      <c r="BM637" s="506"/>
      <c r="BN637" s="506"/>
      <c r="BO637" s="506"/>
      <c r="BP637" s="506"/>
    </row>
    <row r="638" spans="4:68" hidden="1">
      <c r="D638" t="s">
        <v>822</v>
      </c>
      <c r="E638" t="s">
        <v>823</v>
      </c>
      <c r="M638" s="61"/>
      <c r="O638" s="61"/>
      <c r="Q638" s="61"/>
      <c r="T638" s="61"/>
      <c r="Y638" s="61"/>
      <c r="Z638" s="61"/>
      <c r="AA638" s="61"/>
      <c r="AB638" s="964"/>
      <c r="AC638" s="61"/>
      <c r="AE638" s="964"/>
      <c r="AF638" s="964"/>
      <c r="AG638" s="964"/>
      <c r="AH638" s="61"/>
      <c r="AJ638" s="964"/>
      <c r="AK638" s="964"/>
      <c r="AL638" s="964"/>
      <c r="AM638" s="61"/>
      <c r="AO638" s="964"/>
      <c r="AP638" s="964"/>
      <c r="AQ638" s="964"/>
      <c r="AR638" s="61"/>
      <c r="AT638" s="964"/>
      <c r="AU638" s="964"/>
      <c r="AV638" s="964"/>
      <c r="AW638" s="61"/>
      <c r="AY638" s="964"/>
      <c r="AZ638" s="964"/>
      <c r="BA638" s="964"/>
      <c r="BB638" s="61"/>
      <c r="BD638" s="964"/>
      <c r="BE638" s="964"/>
      <c r="BF638" s="61"/>
      <c r="BG638" s="61"/>
      <c r="BH638" s="61"/>
      <c r="BI638" s="506"/>
      <c r="BJ638" s="506"/>
      <c r="BK638" s="506"/>
      <c r="BL638" s="506"/>
      <c r="BM638" s="506"/>
      <c r="BN638" s="506"/>
      <c r="BO638" s="506"/>
      <c r="BP638" s="506"/>
    </row>
    <row r="639" spans="4:68" hidden="1">
      <c r="D639" t="s">
        <v>824</v>
      </c>
      <c r="E639" t="s">
        <v>825</v>
      </c>
      <c r="M639" s="61"/>
      <c r="O639" s="61"/>
      <c r="Q639" s="61"/>
      <c r="T639" s="61"/>
      <c r="Y639" s="61"/>
      <c r="Z639" s="61"/>
      <c r="AA639" s="61"/>
      <c r="AB639" s="964"/>
      <c r="AC639" s="61"/>
      <c r="AE639" s="964"/>
      <c r="AF639" s="964"/>
      <c r="AG639" s="964"/>
      <c r="AH639" s="61"/>
      <c r="AJ639" s="964"/>
      <c r="AK639" s="964"/>
      <c r="AL639" s="964"/>
      <c r="AM639" s="61"/>
      <c r="AO639" s="964"/>
      <c r="AP639" s="964"/>
      <c r="AQ639" s="964"/>
      <c r="AR639" s="61"/>
      <c r="AT639" s="964"/>
      <c r="AU639" s="964"/>
      <c r="AV639" s="964"/>
      <c r="AW639" s="61"/>
      <c r="AY639" s="964"/>
      <c r="AZ639" s="964"/>
      <c r="BA639" s="964"/>
      <c r="BB639" s="61"/>
      <c r="BD639" s="964"/>
      <c r="BE639" s="964"/>
      <c r="BF639" s="61"/>
      <c r="BG639" s="61"/>
      <c r="BH639" s="61"/>
      <c r="BI639" s="506"/>
      <c r="BJ639" s="506"/>
      <c r="BK639" s="506"/>
      <c r="BL639" s="506"/>
      <c r="BM639" s="506"/>
      <c r="BN639" s="506"/>
      <c r="BO639" s="506"/>
      <c r="BP639" s="506"/>
    </row>
    <row r="640" spans="4:68" hidden="1">
      <c r="D640" t="s">
        <v>826</v>
      </c>
      <c r="E640" t="s">
        <v>827</v>
      </c>
      <c r="M640" s="61"/>
      <c r="O640" s="61"/>
      <c r="Q640" s="61"/>
      <c r="T640" s="61"/>
      <c r="Y640" s="61"/>
      <c r="Z640" s="61"/>
      <c r="AA640" s="61"/>
      <c r="AB640" s="964"/>
      <c r="AC640" s="61"/>
      <c r="AE640" s="964"/>
      <c r="AF640" s="964"/>
      <c r="AG640" s="964"/>
      <c r="AH640" s="61"/>
      <c r="AJ640" s="964"/>
      <c r="AK640" s="964"/>
      <c r="AL640" s="964"/>
      <c r="AM640" s="61"/>
      <c r="AO640" s="964"/>
      <c r="AP640" s="964"/>
      <c r="AQ640" s="964"/>
      <c r="AR640" s="61"/>
      <c r="AT640" s="964"/>
      <c r="AU640" s="964"/>
      <c r="AV640" s="964"/>
      <c r="AW640" s="61"/>
      <c r="AY640" s="964"/>
      <c r="AZ640" s="964"/>
      <c r="BA640" s="964"/>
      <c r="BB640" s="61"/>
      <c r="BD640" s="964"/>
      <c r="BE640" s="964"/>
      <c r="BF640" s="61"/>
      <c r="BG640" s="61"/>
      <c r="BH640" s="61"/>
      <c r="BI640" s="506"/>
      <c r="BJ640" s="506"/>
      <c r="BK640" s="506"/>
      <c r="BL640" s="506"/>
      <c r="BM640" s="506"/>
      <c r="BN640" s="506"/>
      <c r="BO640" s="506"/>
      <c r="BP640" s="506"/>
    </row>
    <row r="641" spans="4:68" hidden="1">
      <c r="D641" t="s">
        <v>828</v>
      </c>
      <c r="E641" t="s">
        <v>829</v>
      </c>
      <c r="M641" s="61"/>
      <c r="O641" s="61"/>
      <c r="Q641" s="61"/>
      <c r="T641" s="61"/>
      <c r="Y641" s="61"/>
      <c r="Z641" s="61"/>
      <c r="AA641" s="61"/>
      <c r="AB641" s="964"/>
      <c r="AC641" s="61"/>
      <c r="AE641" s="964"/>
      <c r="AF641" s="964"/>
      <c r="AG641" s="964"/>
      <c r="AH641" s="61"/>
      <c r="AJ641" s="964"/>
      <c r="AK641" s="964"/>
      <c r="AL641" s="964"/>
      <c r="AM641" s="61"/>
      <c r="AO641" s="964"/>
      <c r="AP641" s="964"/>
      <c r="AQ641" s="964"/>
      <c r="AR641" s="61"/>
      <c r="AT641" s="964"/>
      <c r="AU641" s="964"/>
      <c r="AV641" s="964"/>
      <c r="AW641" s="61"/>
      <c r="AY641" s="964"/>
      <c r="AZ641" s="964"/>
      <c r="BA641" s="964"/>
      <c r="BB641" s="61"/>
      <c r="BD641" s="964"/>
      <c r="BE641" s="964"/>
      <c r="BF641" s="61"/>
      <c r="BG641" s="61"/>
      <c r="BH641" s="61"/>
      <c r="BI641" s="506"/>
      <c r="BJ641" s="506"/>
      <c r="BK641" s="506"/>
      <c r="BL641" s="506"/>
      <c r="BM641" s="506"/>
      <c r="BN641" s="506"/>
      <c r="BO641" s="506"/>
      <c r="BP641" s="506"/>
    </row>
    <row r="642" spans="4:68" hidden="1">
      <c r="D642" t="s">
        <v>830</v>
      </c>
      <c r="E642" t="s">
        <v>831</v>
      </c>
      <c r="M642" s="61"/>
      <c r="O642" s="61"/>
      <c r="Q642" s="61"/>
      <c r="T642" s="61"/>
      <c r="Y642" s="61"/>
      <c r="Z642" s="61"/>
      <c r="AA642" s="61"/>
      <c r="AB642" s="964"/>
      <c r="AC642" s="61"/>
      <c r="AE642" s="964"/>
      <c r="AF642" s="964"/>
      <c r="AG642" s="964"/>
      <c r="AH642" s="61"/>
      <c r="AJ642" s="964"/>
      <c r="AK642" s="964"/>
      <c r="AL642" s="964"/>
      <c r="AM642" s="61"/>
      <c r="AO642" s="964"/>
      <c r="AP642" s="964"/>
      <c r="AQ642" s="964"/>
      <c r="AR642" s="61"/>
      <c r="AT642" s="964"/>
      <c r="AU642" s="964"/>
      <c r="AV642" s="964"/>
      <c r="AW642" s="61"/>
      <c r="AY642" s="964"/>
      <c r="AZ642" s="964"/>
      <c r="BA642" s="964"/>
      <c r="BB642" s="61"/>
      <c r="BD642" s="964"/>
      <c r="BE642" s="964"/>
      <c r="BF642" s="61"/>
      <c r="BG642" s="61"/>
      <c r="BH642" s="61"/>
      <c r="BI642" s="506"/>
      <c r="BJ642" s="506"/>
      <c r="BK642" s="506"/>
      <c r="BL642" s="506"/>
      <c r="BM642" s="506"/>
      <c r="BN642" s="506"/>
      <c r="BO642" s="506"/>
      <c r="BP642" s="506"/>
    </row>
    <row r="643" spans="4:68">
      <c r="D643" t="s">
        <v>832</v>
      </c>
      <c r="E643" t="s">
        <v>833</v>
      </c>
      <c r="M643" s="61"/>
      <c r="O643" s="61"/>
      <c r="Q643" s="61"/>
      <c r="T643" s="61"/>
      <c r="Y643" s="61"/>
      <c r="Z643" s="61"/>
      <c r="AA643" s="61"/>
      <c r="AB643" s="964"/>
      <c r="AC643" s="61">
        <v>84662</v>
      </c>
      <c r="AE643" s="964"/>
      <c r="AF643" s="964"/>
      <c r="AG643" s="964"/>
      <c r="AH643" s="61"/>
      <c r="AJ643" s="964"/>
      <c r="AK643" s="964"/>
      <c r="AL643" s="964"/>
      <c r="AM643" s="61"/>
      <c r="AO643" s="964"/>
      <c r="AP643" s="964"/>
      <c r="AQ643" s="964"/>
      <c r="AR643" s="61"/>
      <c r="AT643" s="964"/>
      <c r="AU643" s="964"/>
      <c r="AV643" s="964"/>
      <c r="AW643" s="61"/>
      <c r="AY643" s="964"/>
      <c r="AZ643" s="964"/>
      <c r="BA643" s="964"/>
      <c r="BB643" s="61"/>
      <c r="BD643" s="964"/>
      <c r="BE643" s="964"/>
      <c r="BF643" s="61"/>
      <c r="BG643" s="61"/>
      <c r="BH643" s="61"/>
      <c r="BI643" s="506"/>
      <c r="BJ643" s="506"/>
      <c r="BK643" s="506"/>
      <c r="BL643" s="506"/>
      <c r="BM643" s="506"/>
      <c r="BN643" s="506"/>
      <c r="BO643" s="506"/>
      <c r="BP643" s="506"/>
    </row>
    <row r="644" spans="4:68" hidden="1">
      <c r="D644" t="s">
        <v>834</v>
      </c>
      <c r="E644" t="s">
        <v>835</v>
      </c>
      <c r="M644" s="61"/>
      <c r="O644" s="61"/>
      <c r="Q644" s="61"/>
      <c r="T644" s="61"/>
      <c r="Y644" s="61"/>
      <c r="Z644" s="61"/>
      <c r="AA644" s="61"/>
      <c r="AB644" s="964"/>
      <c r="AC644" s="61"/>
      <c r="AE644" s="964"/>
      <c r="AF644" s="964"/>
      <c r="AG644" s="964"/>
      <c r="AH644" s="61"/>
      <c r="AJ644" s="964"/>
      <c r="AK644" s="964"/>
      <c r="AL644" s="964"/>
      <c r="AM644" s="61"/>
      <c r="AO644" s="964"/>
      <c r="AP644" s="964"/>
      <c r="AQ644" s="964"/>
      <c r="AR644" s="61"/>
      <c r="AT644" s="964"/>
      <c r="AU644" s="964"/>
      <c r="AV644" s="964"/>
      <c r="AW644" s="61"/>
      <c r="AY644" s="964"/>
      <c r="AZ644" s="964"/>
      <c r="BA644" s="964"/>
      <c r="BB644" s="61"/>
      <c r="BD644" s="964"/>
      <c r="BE644" s="964"/>
      <c r="BF644" s="61"/>
      <c r="BG644" s="61"/>
      <c r="BH644" s="61"/>
      <c r="BI644" s="506"/>
      <c r="BJ644" s="506"/>
      <c r="BK644" s="506"/>
      <c r="BL644" s="506"/>
      <c r="BM644" s="506"/>
      <c r="BN644" s="506"/>
      <c r="BO644" s="506"/>
      <c r="BP644" s="506"/>
    </row>
    <row r="645" spans="4:68" hidden="1">
      <c r="D645" t="s">
        <v>836</v>
      </c>
      <c r="E645" t="s">
        <v>837</v>
      </c>
      <c r="M645" s="61"/>
      <c r="O645" s="61"/>
      <c r="Q645" s="61"/>
      <c r="T645" s="61"/>
      <c r="Y645" s="61"/>
      <c r="Z645" s="61"/>
      <c r="AA645" s="61"/>
      <c r="AB645" s="964"/>
      <c r="AC645" s="61"/>
      <c r="AE645" s="964"/>
      <c r="AF645" s="964"/>
      <c r="AG645" s="964"/>
      <c r="AH645" s="61"/>
      <c r="AJ645" s="964"/>
      <c r="AK645" s="964"/>
      <c r="AL645" s="964"/>
      <c r="AM645" s="61"/>
      <c r="AO645" s="964"/>
      <c r="AP645" s="964"/>
      <c r="AQ645" s="964"/>
      <c r="AR645" s="61"/>
      <c r="AT645" s="964"/>
      <c r="AU645" s="964"/>
      <c r="AV645" s="964"/>
      <c r="AW645" s="61"/>
      <c r="AY645" s="964"/>
      <c r="AZ645" s="964"/>
      <c r="BA645" s="964"/>
      <c r="BB645" s="61"/>
      <c r="BD645" s="964"/>
      <c r="BE645" s="964"/>
      <c r="BF645" s="61"/>
      <c r="BG645" s="61"/>
      <c r="BH645" s="61"/>
      <c r="BI645" s="506"/>
      <c r="BJ645" s="506"/>
      <c r="BK645" s="506"/>
      <c r="BL645" s="506"/>
      <c r="BM645" s="506"/>
      <c r="BN645" s="506"/>
      <c r="BO645" s="506"/>
      <c r="BP645" s="506"/>
    </row>
    <row r="646" spans="4:68" hidden="1">
      <c r="D646" t="s">
        <v>838</v>
      </c>
      <c r="E646" t="s">
        <v>839</v>
      </c>
      <c r="M646" s="61"/>
      <c r="O646" s="61"/>
      <c r="Q646" s="61"/>
      <c r="T646" s="61"/>
      <c r="Y646" s="61"/>
      <c r="Z646" s="61"/>
      <c r="AA646" s="61"/>
      <c r="AB646" s="964"/>
      <c r="AC646" s="61"/>
      <c r="AE646" s="964"/>
      <c r="AF646" s="964"/>
      <c r="AG646" s="964"/>
      <c r="AH646" s="61"/>
      <c r="AJ646" s="964"/>
      <c r="AK646" s="964"/>
      <c r="AL646" s="964"/>
      <c r="AM646" s="61"/>
      <c r="AO646" s="964"/>
      <c r="AP646" s="964"/>
      <c r="AQ646" s="964"/>
      <c r="AR646" s="61"/>
      <c r="AT646" s="964"/>
      <c r="AU646" s="964"/>
      <c r="AV646" s="964"/>
      <c r="AW646" s="61"/>
      <c r="AY646" s="964"/>
      <c r="AZ646" s="964"/>
      <c r="BA646" s="964"/>
      <c r="BB646" s="61"/>
      <c r="BD646" s="964"/>
      <c r="BE646" s="964"/>
      <c r="BF646" s="61"/>
      <c r="BG646" s="61"/>
      <c r="BH646" s="61"/>
      <c r="BI646" s="506"/>
      <c r="BJ646" s="506"/>
      <c r="BK646" s="506"/>
      <c r="BL646" s="506"/>
      <c r="BM646" s="506"/>
      <c r="BN646" s="506"/>
      <c r="BO646" s="506"/>
      <c r="BP646" s="506"/>
    </row>
    <row r="647" spans="4:68" hidden="1">
      <c r="D647" t="s">
        <v>840</v>
      </c>
      <c r="E647" t="s">
        <v>841</v>
      </c>
      <c r="M647" s="61"/>
      <c r="O647" s="61"/>
      <c r="Q647" s="61"/>
      <c r="T647" s="61"/>
      <c r="Y647" s="61"/>
      <c r="Z647" s="61"/>
      <c r="AA647" s="61"/>
      <c r="AB647" s="964"/>
      <c r="AC647" s="61"/>
      <c r="AE647" s="964"/>
      <c r="AF647" s="964"/>
      <c r="AG647" s="964"/>
      <c r="AH647" s="61"/>
      <c r="AJ647" s="964"/>
      <c r="AK647" s="964"/>
      <c r="AL647" s="964"/>
      <c r="AM647" s="61"/>
      <c r="AO647" s="964"/>
      <c r="AP647" s="964"/>
      <c r="AQ647" s="964"/>
      <c r="AR647" s="61"/>
      <c r="AT647" s="964"/>
      <c r="AU647" s="964"/>
      <c r="AV647" s="964"/>
      <c r="AW647" s="61"/>
      <c r="AY647" s="964"/>
      <c r="AZ647" s="964"/>
      <c r="BA647" s="964"/>
      <c r="BB647" s="61"/>
      <c r="BD647" s="964"/>
      <c r="BE647" s="964"/>
      <c r="BF647" s="61"/>
      <c r="BG647" s="61"/>
      <c r="BH647" s="61"/>
      <c r="BI647" s="506"/>
      <c r="BJ647" s="506"/>
      <c r="BK647" s="506"/>
      <c r="BL647" s="506"/>
      <c r="BM647" s="506"/>
      <c r="BN647" s="506"/>
      <c r="BO647" s="506"/>
      <c r="BP647" s="506"/>
    </row>
    <row r="648" spans="4:68" hidden="1">
      <c r="D648" t="s">
        <v>842</v>
      </c>
      <c r="E648" t="s">
        <v>843</v>
      </c>
      <c r="M648" s="61"/>
      <c r="O648" s="61"/>
      <c r="Q648" s="61"/>
      <c r="T648" s="61"/>
      <c r="Y648" s="61"/>
      <c r="Z648" s="61"/>
      <c r="AA648" s="61"/>
      <c r="AB648" s="964"/>
      <c r="AC648" s="61"/>
      <c r="AE648" s="964"/>
      <c r="AF648" s="964"/>
      <c r="AG648" s="964"/>
      <c r="AH648" s="61"/>
      <c r="AJ648" s="964"/>
      <c r="AK648" s="964"/>
      <c r="AL648" s="964"/>
      <c r="AM648" s="61"/>
      <c r="AO648" s="964"/>
      <c r="AP648" s="964"/>
      <c r="AQ648" s="964"/>
      <c r="AR648" s="61"/>
      <c r="AT648" s="964"/>
      <c r="AU648" s="964"/>
      <c r="AV648" s="964"/>
      <c r="AW648" s="61"/>
      <c r="AY648" s="964"/>
      <c r="AZ648" s="964"/>
      <c r="BA648" s="964"/>
      <c r="BB648" s="61"/>
      <c r="BD648" s="964"/>
      <c r="BE648" s="964"/>
      <c r="BF648" s="61"/>
      <c r="BG648" s="61"/>
      <c r="BH648" s="61"/>
      <c r="BI648" s="506"/>
      <c r="BJ648" s="506"/>
      <c r="BK648" s="506"/>
      <c r="BL648" s="506"/>
      <c r="BM648" s="506"/>
      <c r="BN648" s="506"/>
      <c r="BO648" s="506"/>
      <c r="BP648" s="506"/>
    </row>
    <row r="649" spans="4:68" hidden="1">
      <c r="D649" t="s">
        <v>844</v>
      </c>
      <c r="E649" t="s">
        <v>845</v>
      </c>
      <c r="M649" s="61"/>
      <c r="O649" s="61"/>
      <c r="Q649" s="61"/>
      <c r="T649" s="61"/>
      <c r="Y649" s="61"/>
      <c r="Z649" s="61"/>
      <c r="AA649" s="61"/>
      <c r="AB649" s="964"/>
      <c r="AC649" s="61"/>
      <c r="AE649" s="964"/>
      <c r="AF649" s="964"/>
      <c r="AG649" s="964"/>
      <c r="AH649" s="61"/>
      <c r="AJ649" s="964"/>
      <c r="AK649" s="964"/>
      <c r="AL649" s="964"/>
      <c r="AM649" s="61"/>
      <c r="AO649" s="964"/>
      <c r="AP649" s="964"/>
      <c r="AQ649" s="964"/>
      <c r="AR649" s="61"/>
      <c r="AT649" s="964"/>
      <c r="AU649" s="964"/>
      <c r="AV649" s="964"/>
      <c r="AW649" s="61"/>
      <c r="AY649" s="964"/>
      <c r="AZ649" s="964"/>
      <c r="BA649" s="964"/>
      <c r="BB649" s="61"/>
      <c r="BD649" s="964"/>
      <c r="BE649" s="964"/>
      <c r="BF649" s="61"/>
      <c r="BG649" s="61"/>
      <c r="BH649" s="61"/>
      <c r="BI649" s="506"/>
      <c r="BJ649" s="506"/>
      <c r="BK649" s="506"/>
      <c r="BL649" s="506"/>
      <c r="BM649" s="506"/>
      <c r="BN649" s="506"/>
      <c r="BO649" s="506"/>
      <c r="BP649" s="506"/>
    </row>
    <row r="650" spans="4:68">
      <c r="E650" t="s">
        <v>634</v>
      </c>
      <c r="M650" s="534">
        <f>SUM(M614:M649)</f>
        <v>0</v>
      </c>
      <c r="O650" s="534">
        <f>SUM(O614:O649)</f>
        <v>0</v>
      </c>
      <c r="Q650" s="534">
        <f>SUM(Q614:Q649)</f>
        <v>0</v>
      </c>
      <c r="T650" s="534">
        <f>SUM(T614:T649)</f>
        <v>0</v>
      </c>
      <c r="U650" s="1071"/>
      <c r="Y650" s="534">
        <f>SUM(Y614:Y649)</f>
        <v>13132</v>
      </c>
      <c r="Z650" s="61"/>
      <c r="AA650" s="61"/>
      <c r="AB650" s="964"/>
      <c r="AC650" s="534">
        <f>SUM(AC614:AC649)</f>
        <v>160742</v>
      </c>
      <c r="AD650" s="1071"/>
      <c r="AE650" s="964"/>
      <c r="AF650" s="964"/>
      <c r="AG650" s="964"/>
      <c r="AH650" s="534">
        <f>SUM(AH614:AH649)</f>
        <v>0</v>
      </c>
      <c r="AI650" s="1071"/>
      <c r="AJ650" s="964"/>
      <c r="AK650" s="964"/>
      <c r="AL650" s="964"/>
      <c r="AM650" s="534">
        <f>SUM(AM614:AM649)</f>
        <v>0</v>
      </c>
      <c r="AN650" s="1071"/>
      <c r="AO650" s="964"/>
      <c r="AP650" s="964"/>
      <c r="AQ650" s="964"/>
      <c r="AR650" s="534">
        <f>SUM(AR614:AR649)</f>
        <v>0</v>
      </c>
      <c r="AS650" s="1071"/>
      <c r="AT650" s="964"/>
      <c r="AU650" s="964"/>
      <c r="AV650" s="964"/>
      <c r="AW650" s="534">
        <f>SUM(AW614:AW649)</f>
        <v>0</v>
      </c>
      <c r="AX650" s="1071"/>
      <c r="AY650" s="964"/>
      <c r="AZ650" s="964"/>
      <c r="BA650" s="964"/>
      <c r="BB650" s="534">
        <f>SUM(BB614:BB649)</f>
        <v>0</v>
      </c>
      <c r="BC650" s="1071"/>
      <c r="BD650" s="964"/>
      <c r="BE650" s="964"/>
      <c r="BF650" s="61"/>
      <c r="BG650" s="61"/>
      <c r="BH650" s="61"/>
      <c r="BI650" s="506"/>
      <c r="BJ650" s="506"/>
      <c r="BK650" s="506"/>
      <c r="BL650" s="506"/>
      <c r="BM650" s="506"/>
      <c r="BN650" s="506"/>
      <c r="BO650" s="506"/>
      <c r="BP650" s="506"/>
    </row>
    <row r="651" spans="4:68" ht="15" customHeight="1" thickBot="1"/>
    <row r="652" spans="4:68" ht="15" thickBot="1">
      <c r="D652" s="480" t="s">
        <v>271</v>
      </c>
      <c r="E652" s="535"/>
      <c r="F652" s="535"/>
      <c r="G652" s="537"/>
      <c r="H652" s="537"/>
      <c r="I652" s="537"/>
      <c r="J652" s="537"/>
      <c r="K652" s="537"/>
      <c r="L652" s="537"/>
      <c r="M652" s="536">
        <f>+M463+M611+M607+M603+M650+M511+M491+M501+M547+M525+M573+M481+M451+M445+M415+M596+M591+M583+M536</f>
        <v>0</v>
      </c>
      <c r="N652" s="537"/>
      <c r="O652" s="536">
        <f>+O463+O611+O607+O603+O650+O511+O491+O501+O547+O525+O573+O481+O451+O445+O415+O596+O591+O583+O536</f>
        <v>0</v>
      </c>
      <c r="P652" s="537"/>
      <c r="Q652" s="536">
        <f>+Q463+Q611+Q607+Q603+Q650+Q511+Q491+Q501+Q547+Q525+Q573+Q481+Q451+Q445+Q415+Q596+Q591+Q583+Q536</f>
        <v>0</v>
      </c>
      <c r="R652" s="537"/>
      <c r="S652" s="949"/>
      <c r="T652" s="536">
        <f>+T463+T611+T607+T603+T650+T511+T491+T501+T547+T525+T573+T481+T451+T445+T415+T596+T591+T583+T536</f>
        <v>5000</v>
      </c>
      <c r="U652" s="1072"/>
      <c r="V652" s="949"/>
      <c r="W652" s="949"/>
      <c r="X652" s="478"/>
      <c r="Y652" s="536">
        <f>+Y437+Y432+Y607+Y603+Y650+Y427+Y421+Y501+Y547+Y525+Y573+Y481+Y451+Y445+Y415+Y596+Y591+Y583+Y536</f>
        <v>1725983</v>
      </c>
      <c r="Z652" s="478"/>
      <c r="AA652" s="478"/>
      <c r="AB652" s="949"/>
      <c r="AC652" s="536">
        <f>+AC463+AC611+AC607+AC603+AC650+AC511+AC491+AC501+AC547+AC525+AC573+AC481+AC451+AC445+AC415+AC596+AC591+AC583+AC536</f>
        <v>2375216</v>
      </c>
      <c r="AD652" s="1072"/>
      <c r="AE652" s="997"/>
      <c r="AF652" s="949"/>
      <c r="AG652" s="949"/>
      <c r="AH652" s="536">
        <f>+AH463+AH611+AH607+AH603+AH650+AH511+AH491+AH501+AH547+AH525+AH573+AH481+AH451+AH445+AH415+AH596+AH591+AH583+AH536</f>
        <v>2634833.04</v>
      </c>
      <c r="AI652" s="1072"/>
      <c r="AJ652" s="997"/>
      <c r="AK652" s="997"/>
      <c r="AL652" s="949"/>
      <c r="AM652" s="536">
        <f>+AM463+AM611+AM607+AM603+AM650+AM511+AM491+AM501+AM547+AM525+AM573+AM481+AM451+AM445+AM415+AM596+AM591+AM583+AM536</f>
        <v>2805980.2111999998</v>
      </c>
      <c r="AN652" s="1072"/>
      <c r="AO652" s="997"/>
      <c r="AP652" s="997"/>
      <c r="AQ652" s="949"/>
      <c r="AR652" s="536">
        <f>+AR463+AR611+AR607+AR603+AR650+AR511+AR491+AR501+AR547+AR525+AR573+AR481+AR451+AR445+AR415+AR596+AR591+AR583+AR536</f>
        <v>2928583.8275359999</v>
      </c>
      <c r="AS652" s="1072"/>
      <c r="AT652" s="997"/>
      <c r="AU652" s="997"/>
      <c r="AV652" s="949"/>
      <c r="AW652" s="536">
        <f>+AW463+AW611+AW607+AW603+AW650+AW511+AW491+AW501+AW547+AW525+AW573+AW481+AW451+AW445+AW415+AW596+AW591+AW583+AW536</f>
        <v>3055496.5023620804</v>
      </c>
      <c r="AX652" s="1072"/>
      <c r="AY652" s="997"/>
      <c r="AZ652" s="997"/>
      <c r="BA652" s="949"/>
      <c r="BB652" s="536">
        <f>+BB463+BB611+BB607+BB603+BB650+BB511+BB491+BB501+BB547+BB525+BB573+BB481+BB451+BB445+BB415+BB596+BB591+BB583+BB536</f>
        <v>3240024.0474329423</v>
      </c>
      <c r="BC652" s="1072"/>
      <c r="BD652" s="949"/>
      <c r="BE652" s="997"/>
    </row>
  </sheetData>
  <sortState xmlns:xlrd2="http://schemas.microsoft.com/office/spreadsheetml/2017/richdata2" ref="D260:F278">
    <sortCondition ref="F260:F278"/>
    <sortCondition ref="D260:D278"/>
  </sortState>
  <mergeCells count="92">
    <mergeCell ref="BA172:BB173"/>
    <mergeCell ref="AQ172:AR173"/>
    <mergeCell ref="D84:D85"/>
    <mergeCell ref="AZ62:AZ63"/>
    <mergeCell ref="AB84:AC85"/>
    <mergeCell ref="AB126:AE126"/>
    <mergeCell ref="L62:M63"/>
    <mergeCell ref="AB172:AC173"/>
    <mergeCell ref="S84:T85"/>
    <mergeCell ref="G84:L85"/>
    <mergeCell ref="F224:K225"/>
    <mergeCell ref="AU62:AU63"/>
    <mergeCell ref="AP62:AP63"/>
    <mergeCell ref="AK62:AK63"/>
    <mergeCell ref="D210:K211"/>
    <mergeCell ref="D172:D173"/>
    <mergeCell ref="AG172:AH173"/>
    <mergeCell ref="AL172:AM173"/>
    <mergeCell ref="E84:E85"/>
    <mergeCell ref="F84:F85"/>
    <mergeCell ref="E172:F173"/>
    <mergeCell ref="S172:T173"/>
    <mergeCell ref="X172:Y173"/>
    <mergeCell ref="AG84:AH85"/>
    <mergeCell ref="AL84:AM85"/>
    <mergeCell ref="X84:Y85"/>
    <mergeCell ref="N2:O3"/>
    <mergeCell ref="P2:Q3"/>
    <mergeCell ref="N62:O63"/>
    <mergeCell ref="AA62:AA63"/>
    <mergeCell ref="AK24:AK25"/>
    <mergeCell ref="AF62:AF63"/>
    <mergeCell ref="S2:V3"/>
    <mergeCell ref="X2:Z3"/>
    <mergeCell ref="AB2:AE3"/>
    <mergeCell ref="P62:Q63"/>
    <mergeCell ref="D2:J3"/>
    <mergeCell ref="P1:Q1"/>
    <mergeCell ref="AV62:AY63"/>
    <mergeCell ref="BA62:BD63"/>
    <mergeCell ref="L24:M25"/>
    <mergeCell ref="N24:O25"/>
    <mergeCell ref="P24:Q25"/>
    <mergeCell ref="S24:V25"/>
    <mergeCell ref="X24:Z25"/>
    <mergeCell ref="AA24:AA25"/>
    <mergeCell ref="AB24:AE25"/>
    <mergeCell ref="AF24:AF25"/>
    <mergeCell ref="L2:M3"/>
    <mergeCell ref="AA2:AA3"/>
    <mergeCell ref="AF2:AF3"/>
    <mergeCell ref="AK2:AK3"/>
    <mergeCell ref="BI1:BP1"/>
    <mergeCell ref="BI62:BP62"/>
    <mergeCell ref="BF2:BG3"/>
    <mergeCell ref="BI2:BP3"/>
    <mergeCell ref="AP2:AP3"/>
    <mergeCell ref="AU2:AU3"/>
    <mergeCell ref="AZ2:AZ3"/>
    <mergeCell ref="AV2:AY3"/>
    <mergeCell ref="BE62:BE63"/>
    <mergeCell ref="AQ62:AT63"/>
    <mergeCell ref="BE2:BE3"/>
    <mergeCell ref="AQ2:AT3"/>
    <mergeCell ref="AL2:AO3"/>
    <mergeCell ref="BA2:BD3"/>
    <mergeCell ref="AG2:AJ3"/>
    <mergeCell ref="BA126:BD126"/>
    <mergeCell ref="AV126:AY126"/>
    <mergeCell ref="AG24:AJ25"/>
    <mergeCell ref="AL24:AO25"/>
    <mergeCell ref="AV84:AW85"/>
    <mergeCell ref="BA84:BB85"/>
    <mergeCell ref="AQ126:AT126"/>
    <mergeCell ref="AG126:AJ126"/>
    <mergeCell ref="AQ84:AR85"/>
    <mergeCell ref="BI185:BP185"/>
    <mergeCell ref="AU24:AU25"/>
    <mergeCell ref="S62:V63"/>
    <mergeCell ref="X62:Z63"/>
    <mergeCell ref="AB62:AE63"/>
    <mergeCell ref="AG62:AJ63"/>
    <mergeCell ref="AL62:AO63"/>
    <mergeCell ref="AV24:AY25"/>
    <mergeCell ref="AZ24:AZ25"/>
    <mergeCell ref="BA24:BD25"/>
    <mergeCell ref="BE24:BE25"/>
    <mergeCell ref="AP24:AP25"/>
    <mergeCell ref="AQ24:AT25"/>
    <mergeCell ref="AL126:AO126"/>
    <mergeCell ref="BI165:BP165"/>
    <mergeCell ref="AV172:AW173"/>
  </mergeCells>
  <dataValidations count="1">
    <dataValidation type="list" allowBlank="1" showInputMessage="1" showErrorMessage="1" promptTitle="Please Pull Down a Selection" prompt="Please Pull Down the value for each administrator.  This drives the formula." sqref="F87:F89" xr:uid="{00000000-0002-0000-0000-000000000000}">
      <formula1>$BI$87:$BI$90</formula1>
    </dataValidation>
  </dataValidations>
  <pageMargins left="0.25" right="0.25" top="0.75" bottom="0.75" header="0.3" footer="0.3"/>
  <pageSetup paperSize="3" fitToHeight="0" orientation="landscape" r:id="rId1"/>
  <headerFooter>
    <oddHeader>&amp;C&amp;"-,Bold"&amp;14BUDGET PROJECTION WORKSHEET</oddHeader>
    <oddFooter>&amp;CPage &amp;P of &amp;N&amp;RFile name: &amp;F
Tab name: &amp;A</oddFooter>
  </headerFooter>
  <rowBreaks count="2" manualBreakCount="2">
    <brk id="194" min="3" max="35" man="1"/>
    <brk id="290" min="3" max="35" man="1"/>
  </row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dimension ref="A1:K57"/>
  <sheetViews>
    <sheetView showGridLines="0" zoomScaleNormal="100" workbookViewId="0">
      <selection activeCell="C4" sqref="C4"/>
    </sheetView>
  </sheetViews>
  <sheetFormatPr defaultRowHeight="13.2"/>
  <cols>
    <col min="1" max="1" width="6" style="30" customWidth="1"/>
    <col min="2" max="5" width="8.77734375" style="2"/>
    <col min="6" max="6" width="17.21875" style="2" customWidth="1"/>
    <col min="7" max="7" width="2.77734375" style="30" customWidth="1"/>
    <col min="8" max="9" width="8.77734375" style="2"/>
    <col min="10" max="10" width="6.5546875" style="2" customWidth="1"/>
    <col min="11" max="11" width="10.21875" style="2" customWidth="1"/>
    <col min="12" max="256" width="8.77734375" style="2"/>
    <col min="257" max="257" width="6" style="2" customWidth="1"/>
    <col min="258" max="261" width="8.77734375" style="2"/>
    <col min="262" max="262" width="17.21875" style="2" customWidth="1"/>
    <col min="263" max="263" width="2.77734375" style="2" customWidth="1"/>
    <col min="264" max="265" width="8.77734375" style="2"/>
    <col min="266" max="266" width="6.5546875" style="2" customWidth="1"/>
    <col min="267" max="267" width="10.21875" style="2" customWidth="1"/>
    <col min="268" max="512" width="8.77734375" style="2"/>
    <col min="513" max="513" width="6" style="2" customWidth="1"/>
    <col min="514" max="517" width="8.77734375" style="2"/>
    <col min="518" max="518" width="17.21875" style="2" customWidth="1"/>
    <col min="519" max="519" width="2.77734375" style="2" customWidth="1"/>
    <col min="520" max="521" width="8.77734375" style="2"/>
    <col min="522" max="522" width="6.5546875" style="2" customWidth="1"/>
    <col min="523" max="523" width="10.21875" style="2" customWidth="1"/>
    <col min="524" max="768" width="8.77734375" style="2"/>
    <col min="769" max="769" width="6" style="2" customWidth="1"/>
    <col min="770" max="773" width="8.77734375" style="2"/>
    <col min="774" max="774" width="17.21875" style="2" customWidth="1"/>
    <col min="775" max="775" width="2.77734375" style="2" customWidth="1"/>
    <col min="776" max="777" width="8.77734375" style="2"/>
    <col min="778" max="778" width="6.5546875" style="2" customWidth="1"/>
    <col min="779" max="779" width="10.21875" style="2" customWidth="1"/>
    <col min="780" max="1024" width="8.77734375" style="2"/>
    <col min="1025" max="1025" width="6" style="2" customWidth="1"/>
    <col min="1026" max="1029" width="8.77734375" style="2"/>
    <col min="1030" max="1030" width="17.21875" style="2" customWidth="1"/>
    <col min="1031" max="1031" width="2.77734375" style="2" customWidth="1"/>
    <col min="1032" max="1033" width="8.77734375" style="2"/>
    <col min="1034" max="1034" width="6.5546875" style="2" customWidth="1"/>
    <col min="1035" max="1035" width="10.21875" style="2" customWidth="1"/>
    <col min="1036" max="1280" width="8.77734375" style="2"/>
    <col min="1281" max="1281" width="6" style="2" customWidth="1"/>
    <col min="1282" max="1285" width="8.77734375" style="2"/>
    <col min="1286" max="1286" width="17.21875" style="2" customWidth="1"/>
    <col min="1287" max="1287" width="2.77734375" style="2" customWidth="1"/>
    <col min="1288" max="1289" width="8.77734375" style="2"/>
    <col min="1290" max="1290" width="6.5546875" style="2" customWidth="1"/>
    <col min="1291" max="1291" width="10.21875" style="2" customWidth="1"/>
    <col min="1292" max="1536" width="8.77734375" style="2"/>
    <col min="1537" max="1537" width="6" style="2" customWidth="1"/>
    <col min="1538" max="1541" width="8.77734375" style="2"/>
    <col min="1542" max="1542" width="17.21875" style="2" customWidth="1"/>
    <col min="1543" max="1543" width="2.77734375" style="2" customWidth="1"/>
    <col min="1544" max="1545" width="8.77734375" style="2"/>
    <col min="1546" max="1546" width="6.5546875" style="2" customWidth="1"/>
    <col min="1547" max="1547" width="10.21875" style="2" customWidth="1"/>
    <col min="1548" max="1792" width="8.77734375" style="2"/>
    <col min="1793" max="1793" width="6" style="2" customWidth="1"/>
    <col min="1794" max="1797" width="8.77734375" style="2"/>
    <col min="1798" max="1798" width="17.21875" style="2" customWidth="1"/>
    <col min="1799" max="1799" width="2.77734375" style="2" customWidth="1"/>
    <col min="1800" max="1801" width="8.77734375" style="2"/>
    <col min="1802" max="1802" width="6.5546875" style="2" customWidth="1"/>
    <col min="1803" max="1803" width="10.21875" style="2" customWidth="1"/>
    <col min="1804" max="2048" width="8.77734375" style="2"/>
    <col min="2049" max="2049" width="6" style="2" customWidth="1"/>
    <col min="2050" max="2053" width="8.77734375" style="2"/>
    <col min="2054" max="2054" width="17.21875" style="2" customWidth="1"/>
    <col min="2055" max="2055" width="2.77734375" style="2" customWidth="1"/>
    <col min="2056" max="2057" width="8.77734375" style="2"/>
    <col min="2058" max="2058" width="6.5546875" style="2" customWidth="1"/>
    <col min="2059" max="2059" width="10.21875" style="2" customWidth="1"/>
    <col min="2060" max="2304" width="8.77734375" style="2"/>
    <col min="2305" max="2305" width="6" style="2" customWidth="1"/>
    <col min="2306" max="2309" width="8.77734375" style="2"/>
    <col min="2310" max="2310" width="17.21875" style="2" customWidth="1"/>
    <col min="2311" max="2311" width="2.77734375" style="2" customWidth="1"/>
    <col min="2312" max="2313" width="8.77734375" style="2"/>
    <col min="2314" max="2314" width="6.5546875" style="2" customWidth="1"/>
    <col min="2315" max="2315" width="10.21875" style="2" customWidth="1"/>
    <col min="2316" max="2560" width="8.77734375" style="2"/>
    <col min="2561" max="2561" width="6" style="2" customWidth="1"/>
    <col min="2562" max="2565" width="8.77734375" style="2"/>
    <col min="2566" max="2566" width="17.21875" style="2" customWidth="1"/>
    <col min="2567" max="2567" width="2.77734375" style="2" customWidth="1"/>
    <col min="2568" max="2569" width="8.77734375" style="2"/>
    <col min="2570" max="2570" width="6.5546875" style="2" customWidth="1"/>
    <col min="2571" max="2571" width="10.21875" style="2" customWidth="1"/>
    <col min="2572" max="2816" width="8.77734375" style="2"/>
    <col min="2817" max="2817" width="6" style="2" customWidth="1"/>
    <col min="2818" max="2821" width="8.77734375" style="2"/>
    <col min="2822" max="2822" width="17.21875" style="2" customWidth="1"/>
    <col min="2823" max="2823" width="2.77734375" style="2" customWidth="1"/>
    <col min="2824" max="2825" width="8.77734375" style="2"/>
    <col min="2826" max="2826" width="6.5546875" style="2" customWidth="1"/>
    <col min="2827" max="2827" width="10.21875" style="2" customWidth="1"/>
    <col min="2828" max="3072" width="8.77734375" style="2"/>
    <col min="3073" max="3073" width="6" style="2" customWidth="1"/>
    <col min="3074" max="3077" width="8.77734375" style="2"/>
    <col min="3078" max="3078" width="17.21875" style="2" customWidth="1"/>
    <col min="3079" max="3079" width="2.77734375" style="2" customWidth="1"/>
    <col min="3080" max="3081" width="8.77734375" style="2"/>
    <col min="3082" max="3082" width="6.5546875" style="2" customWidth="1"/>
    <col min="3083" max="3083" width="10.21875" style="2" customWidth="1"/>
    <col min="3084" max="3328" width="8.77734375" style="2"/>
    <col min="3329" max="3329" width="6" style="2" customWidth="1"/>
    <col min="3330" max="3333" width="8.77734375" style="2"/>
    <col min="3334" max="3334" width="17.21875" style="2" customWidth="1"/>
    <col min="3335" max="3335" width="2.77734375" style="2" customWidth="1"/>
    <col min="3336" max="3337" width="8.77734375" style="2"/>
    <col min="3338" max="3338" width="6.5546875" style="2" customWidth="1"/>
    <col min="3339" max="3339" width="10.21875" style="2" customWidth="1"/>
    <col min="3340" max="3584" width="8.77734375" style="2"/>
    <col min="3585" max="3585" width="6" style="2" customWidth="1"/>
    <col min="3586" max="3589" width="8.77734375" style="2"/>
    <col min="3590" max="3590" width="17.21875" style="2" customWidth="1"/>
    <col min="3591" max="3591" width="2.77734375" style="2" customWidth="1"/>
    <col min="3592" max="3593" width="8.77734375" style="2"/>
    <col min="3594" max="3594" width="6.5546875" style="2" customWidth="1"/>
    <col min="3595" max="3595" width="10.21875" style="2" customWidth="1"/>
    <col min="3596" max="3840" width="8.77734375" style="2"/>
    <col min="3841" max="3841" width="6" style="2" customWidth="1"/>
    <col min="3842" max="3845" width="8.77734375" style="2"/>
    <col min="3846" max="3846" width="17.21875" style="2" customWidth="1"/>
    <col min="3847" max="3847" width="2.77734375" style="2" customWidth="1"/>
    <col min="3848" max="3849" width="8.77734375" style="2"/>
    <col min="3850" max="3850" width="6.5546875" style="2" customWidth="1"/>
    <col min="3851" max="3851" width="10.21875" style="2" customWidth="1"/>
    <col min="3852" max="4096" width="8.77734375" style="2"/>
    <col min="4097" max="4097" width="6" style="2" customWidth="1"/>
    <col min="4098" max="4101" width="8.77734375" style="2"/>
    <col min="4102" max="4102" width="17.21875" style="2" customWidth="1"/>
    <col min="4103" max="4103" width="2.77734375" style="2" customWidth="1"/>
    <col min="4104" max="4105" width="8.77734375" style="2"/>
    <col min="4106" max="4106" width="6.5546875" style="2" customWidth="1"/>
    <col min="4107" max="4107" width="10.21875" style="2" customWidth="1"/>
    <col min="4108" max="4352" width="8.77734375" style="2"/>
    <col min="4353" max="4353" width="6" style="2" customWidth="1"/>
    <col min="4354" max="4357" width="8.77734375" style="2"/>
    <col min="4358" max="4358" width="17.21875" style="2" customWidth="1"/>
    <col min="4359" max="4359" width="2.77734375" style="2" customWidth="1"/>
    <col min="4360" max="4361" width="8.77734375" style="2"/>
    <col min="4362" max="4362" width="6.5546875" style="2" customWidth="1"/>
    <col min="4363" max="4363" width="10.21875" style="2" customWidth="1"/>
    <col min="4364" max="4608" width="8.77734375" style="2"/>
    <col min="4609" max="4609" width="6" style="2" customWidth="1"/>
    <col min="4610" max="4613" width="8.77734375" style="2"/>
    <col min="4614" max="4614" width="17.21875" style="2" customWidth="1"/>
    <col min="4615" max="4615" width="2.77734375" style="2" customWidth="1"/>
    <col min="4616" max="4617" width="8.77734375" style="2"/>
    <col min="4618" max="4618" width="6.5546875" style="2" customWidth="1"/>
    <col min="4619" max="4619" width="10.21875" style="2" customWidth="1"/>
    <col min="4620" max="4864" width="8.77734375" style="2"/>
    <col min="4865" max="4865" width="6" style="2" customWidth="1"/>
    <col min="4866" max="4869" width="8.77734375" style="2"/>
    <col min="4870" max="4870" width="17.21875" style="2" customWidth="1"/>
    <col min="4871" max="4871" width="2.77734375" style="2" customWidth="1"/>
    <col min="4872" max="4873" width="8.77734375" style="2"/>
    <col min="4874" max="4874" width="6.5546875" style="2" customWidth="1"/>
    <col min="4875" max="4875" width="10.21875" style="2" customWidth="1"/>
    <col min="4876" max="5120" width="8.77734375" style="2"/>
    <col min="5121" max="5121" width="6" style="2" customWidth="1"/>
    <col min="5122" max="5125" width="8.77734375" style="2"/>
    <col min="5126" max="5126" width="17.21875" style="2" customWidth="1"/>
    <col min="5127" max="5127" width="2.77734375" style="2" customWidth="1"/>
    <col min="5128" max="5129" width="8.77734375" style="2"/>
    <col min="5130" max="5130" width="6.5546875" style="2" customWidth="1"/>
    <col min="5131" max="5131" width="10.21875" style="2" customWidth="1"/>
    <col min="5132" max="5376" width="8.77734375" style="2"/>
    <col min="5377" max="5377" width="6" style="2" customWidth="1"/>
    <col min="5378" max="5381" width="8.77734375" style="2"/>
    <col min="5382" max="5382" width="17.21875" style="2" customWidth="1"/>
    <col min="5383" max="5383" width="2.77734375" style="2" customWidth="1"/>
    <col min="5384" max="5385" width="8.77734375" style="2"/>
    <col min="5386" max="5386" width="6.5546875" style="2" customWidth="1"/>
    <col min="5387" max="5387" width="10.21875" style="2" customWidth="1"/>
    <col min="5388" max="5632" width="8.77734375" style="2"/>
    <col min="5633" max="5633" width="6" style="2" customWidth="1"/>
    <col min="5634" max="5637" width="8.77734375" style="2"/>
    <col min="5638" max="5638" width="17.21875" style="2" customWidth="1"/>
    <col min="5639" max="5639" width="2.77734375" style="2" customWidth="1"/>
    <col min="5640" max="5641" width="8.77734375" style="2"/>
    <col min="5642" max="5642" width="6.5546875" style="2" customWidth="1"/>
    <col min="5643" max="5643" width="10.21875" style="2" customWidth="1"/>
    <col min="5644" max="5888" width="8.77734375" style="2"/>
    <col min="5889" max="5889" width="6" style="2" customWidth="1"/>
    <col min="5890" max="5893" width="8.77734375" style="2"/>
    <col min="5894" max="5894" width="17.21875" style="2" customWidth="1"/>
    <col min="5895" max="5895" width="2.77734375" style="2" customWidth="1"/>
    <col min="5896" max="5897" width="8.77734375" style="2"/>
    <col min="5898" max="5898" width="6.5546875" style="2" customWidth="1"/>
    <col min="5899" max="5899" width="10.21875" style="2" customWidth="1"/>
    <col min="5900" max="6144" width="8.77734375" style="2"/>
    <col min="6145" max="6145" width="6" style="2" customWidth="1"/>
    <col min="6146" max="6149" width="8.77734375" style="2"/>
    <col min="6150" max="6150" width="17.21875" style="2" customWidth="1"/>
    <col min="6151" max="6151" width="2.77734375" style="2" customWidth="1"/>
    <col min="6152" max="6153" width="8.77734375" style="2"/>
    <col min="6154" max="6154" width="6.5546875" style="2" customWidth="1"/>
    <col min="6155" max="6155" width="10.21875" style="2" customWidth="1"/>
    <col min="6156" max="6400" width="8.77734375" style="2"/>
    <col min="6401" max="6401" width="6" style="2" customWidth="1"/>
    <col min="6402" max="6405" width="8.77734375" style="2"/>
    <col min="6406" max="6406" width="17.21875" style="2" customWidth="1"/>
    <col min="6407" max="6407" width="2.77734375" style="2" customWidth="1"/>
    <col min="6408" max="6409" width="8.77734375" style="2"/>
    <col min="6410" max="6410" width="6.5546875" style="2" customWidth="1"/>
    <col min="6411" max="6411" width="10.21875" style="2" customWidth="1"/>
    <col min="6412" max="6656" width="8.77734375" style="2"/>
    <col min="6657" max="6657" width="6" style="2" customWidth="1"/>
    <col min="6658" max="6661" width="8.77734375" style="2"/>
    <col min="6662" max="6662" width="17.21875" style="2" customWidth="1"/>
    <col min="6663" max="6663" width="2.77734375" style="2" customWidth="1"/>
    <col min="6664" max="6665" width="8.77734375" style="2"/>
    <col min="6666" max="6666" width="6.5546875" style="2" customWidth="1"/>
    <col min="6667" max="6667" width="10.21875" style="2" customWidth="1"/>
    <col min="6668" max="6912" width="8.77734375" style="2"/>
    <col min="6913" max="6913" width="6" style="2" customWidth="1"/>
    <col min="6914" max="6917" width="8.77734375" style="2"/>
    <col min="6918" max="6918" width="17.21875" style="2" customWidth="1"/>
    <col min="6919" max="6919" width="2.77734375" style="2" customWidth="1"/>
    <col min="6920" max="6921" width="8.77734375" style="2"/>
    <col min="6922" max="6922" width="6.5546875" style="2" customWidth="1"/>
    <col min="6923" max="6923" width="10.21875" style="2" customWidth="1"/>
    <col min="6924" max="7168" width="8.77734375" style="2"/>
    <col min="7169" max="7169" width="6" style="2" customWidth="1"/>
    <col min="7170" max="7173" width="8.77734375" style="2"/>
    <col min="7174" max="7174" width="17.21875" style="2" customWidth="1"/>
    <col min="7175" max="7175" width="2.77734375" style="2" customWidth="1"/>
    <col min="7176" max="7177" width="8.77734375" style="2"/>
    <col min="7178" max="7178" width="6.5546875" style="2" customWidth="1"/>
    <col min="7179" max="7179" width="10.21875" style="2" customWidth="1"/>
    <col min="7180" max="7424" width="8.77734375" style="2"/>
    <col min="7425" max="7425" width="6" style="2" customWidth="1"/>
    <col min="7426" max="7429" width="8.77734375" style="2"/>
    <col min="7430" max="7430" width="17.21875" style="2" customWidth="1"/>
    <col min="7431" max="7431" width="2.77734375" style="2" customWidth="1"/>
    <col min="7432" max="7433" width="8.77734375" style="2"/>
    <col min="7434" max="7434" width="6.5546875" style="2" customWidth="1"/>
    <col min="7435" max="7435" width="10.21875" style="2" customWidth="1"/>
    <col min="7436" max="7680" width="8.77734375" style="2"/>
    <col min="7681" max="7681" width="6" style="2" customWidth="1"/>
    <col min="7682" max="7685" width="8.77734375" style="2"/>
    <col min="7686" max="7686" width="17.21875" style="2" customWidth="1"/>
    <col min="7687" max="7687" width="2.77734375" style="2" customWidth="1"/>
    <col min="7688" max="7689" width="8.77734375" style="2"/>
    <col min="7690" max="7690" width="6.5546875" style="2" customWidth="1"/>
    <col min="7691" max="7691" width="10.21875" style="2" customWidth="1"/>
    <col min="7692" max="7936" width="8.77734375" style="2"/>
    <col min="7937" max="7937" width="6" style="2" customWidth="1"/>
    <col min="7938" max="7941" width="8.77734375" style="2"/>
    <col min="7942" max="7942" width="17.21875" style="2" customWidth="1"/>
    <col min="7943" max="7943" width="2.77734375" style="2" customWidth="1"/>
    <col min="7944" max="7945" width="8.77734375" style="2"/>
    <col min="7946" max="7946" width="6.5546875" style="2" customWidth="1"/>
    <col min="7947" max="7947" width="10.21875" style="2" customWidth="1"/>
    <col min="7948" max="8192" width="8.77734375" style="2"/>
    <col min="8193" max="8193" width="6" style="2" customWidth="1"/>
    <col min="8194" max="8197" width="8.77734375" style="2"/>
    <col min="8198" max="8198" width="17.21875" style="2" customWidth="1"/>
    <col min="8199" max="8199" width="2.77734375" style="2" customWidth="1"/>
    <col min="8200" max="8201" width="8.77734375" style="2"/>
    <col min="8202" max="8202" width="6.5546875" style="2" customWidth="1"/>
    <col min="8203" max="8203" width="10.21875" style="2" customWidth="1"/>
    <col min="8204" max="8448" width="8.77734375" style="2"/>
    <col min="8449" max="8449" width="6" style="2" customWidth="1"/>
    <col min="8450" max="8453" width="8.77734375" style="2"/>
    <col min="8454" max="8454" width="17.21875" style="2" customWidth="1"/>
    <col min="8455" max="8455" width="2.77734375" style="2" customWidth="1"/>
    <col min="8456" max="8457" width="8.77734375" style="2"/>
    <col min="8458" max="8458" width="6.5546875" style="2" customWidth="1"/>
    <col min="8459" max="8459" width="10.21875" style="2" customWidth="1"/>
    <col min="8460" max="8704" width="8.77734375" style="2"/>
    <col min="8705" max="8705" width="6" style="2" customWidth="1"/>
    <col min="8706" max="8709" width="8.77734375" style="2"/>
    <col min="8710" max="8710" width="17.21875" style="2" customWidth="1"/>
    <col min="8711" max="8711" width="2.77734375" style="2" customWidth="1"/>
    <col min="8712" max="8713" width="8.77734375" style="2"/>
    <col min="8714" max="8714" width="6.5546875" style="2" customWidth="1"/>
    <col min="8715" max="8715" width="10.21875" style="2" customWidth="1"/>
    <col min="8716" max="8960" width="8.77734375" style="2"/>
    <col min="8961" max="8961" width="6" style="2" customWidth="1"/>
    <col min="8962" max="8965" width="8.77734375" style="2"/>
    <col min="8966" max="8966" width="17.21875" style="2" customWidth="1"/>
    <col min="8967" max="8967" width="2.77734375" style="2" customWidth="1"/>
    <col min="8968" max="8969" width="8.77734375" style="2"/>
    <col min="8970" max="8970" width="6.5546875" style="2" customWidth="1"/>
    <col min="8971" max="8971" width="10.21875" style="2" customWidth="1"/>
    <col min="8972" max="9216" width="8.77734375" style="2"/>
    <col min="9217" max="9217" width="6" style="2" customWidth="1"/>
    <col min="9218" max="9221" width="8.77734375" style="2"/>
    <col min="9222" max="9222" width="17.21875" style="2" customWidth="1"/>
    <col min="9223" max="9223" width="2.77734375" style="2" customWidth="1"/>
    <col min="9224" max="9225" width="8.77734375" style="2"/>
    <col min="9226" max="9226" width="6.5546875" style="2" customWidth="1"/>
    <col min="9227" max="9227" width="10.21875" style="2" customWidth="1"/>
    <col min="9228" max="9472" width="8.77734375" style="2"/>
    <col min="9473" max="9473" width="6" style="2" customWidth="1"/>
    <col min="9474" max="9477" width="8.77734375" style="2"/>
    <col min="9478" max="9478" width="17.21875" style="2" customWidth="1"/>
    <col min="9479" max="9479" width="2.77734375" style="2" customWidth="1"/>
    <col min="9480" max="9481" width="8.77734375" style="2"/>
    <col min="9482" max="9482" width="6.5546875" style="2" customWidth="1"/>
    <col min="9483" max="9483" width="10.21875" style="2" customWidth="1"/>
    <col min="9484" max="9728" width="8.77734375" style="2"/>
    <col min="9729" max="9729" width="6" style="2" customWidth="1"/>
    <col min="9730" max="9733" width="8.77734375" style="2"/>
    <col min="9734" max="9734" width="17.21875" style="2" customWidth="1"/>
    <col min="9735" max="9735" width="2.77734375" style="2" customWidth="1"/>
    <col min="9736" max="9737" width="8.77734375" style="2"/>
    <col min="9738" max="9738" width="6.5546875" style="2" customWidth="1"/>
    <col min="9739" max="9739" width="10.21875" style="2" customWidth="1"/>
    <col min="9740" max="9984" width="8.77734375" style="2"/>
    <col min="9985" max="9985" width="6" style="2" customWidth="1"/>
    <col min="9986" max="9989" width="8.77734375" style="2"/>
    <col min="9990" max="9990" width="17.21875" style="2" customWidth="1"/>
    <col min="9991" max="9991" width="2.77734375" style="2" customWidth="1"/>
    <col min="9992" max="9993" width="8.77734375" style="2"/>
    <col min="9994" max="9994" width="6.5546875" style="2" customWidth="1"/>
    <col min="9995" max="9995" width="10.21875" style="2" customWidth="1"/>
    <col min="9996" max="10240" width="8.77734375" style="2"/>
    <col min="10241" max="10241" width="6" style="2" customWidth="1"/>
    <col min="10242" max="10245" width="8.77734375" style="2"/>
    <col min="10246" max="10246" width="17.21875" style="2" customWidth="1"/>
    <col min="10247" max="10247" width="2.77734375" style="2" customWidth="1"/>
    <col min="10248" max="10249" width="8.77734375" style="2"/>
    <col min="10250" max="10250" width="6.5546875" style="2" customWidth="1"/>
    <col min="10251" max="10251" width="10.21875" style="2" customWidth="1"/>
    <col min="10252" max="10496" width="8.77734375" style="2"/>
    <col min="10497" max="10497" width="6" style="2" customWidth="1"/>
    <col min="10498" max="10501" width="8.77734375" style="2"/>
    <col min="10502" max="10502" width="17.21875" style="2" customWidth="1"/>
    <col min="10503" max="10503" width="2.77734375" style="2" customWidth="1"/>
    <col min="10504" max="10505" width="8.77734375" style="2"/>
    <col min="10506" max="10506" width="6.5546875" style="2" customWidth="1"/>
    <col min="10507" max="10507" width="10.21875" style="2" customWidth="1"/>
    <col min="10508" max="10752" width="8.77734375" style="2"/>
    <col min="10753" max="10753" width="6" style="2" customWidth="1"/>
    <col min="10754" max="10757" width="8.77734375" style="2"/>
    <col min="10758" max="10758" width="17.21875" style="2" customWidth="1"/>
    <col min="10759" max="10759" width="2.77734375" style="2" customWidth="1"/>
    <col min="10760" max="10761" width="8.77734375" style="2"/>
    <col min="10762" max="10762" width="6.5546875" style="2" customWidth="1"/>
    <col min="10763" max="10763" width="10.21875" style="2" customWidth="1"/>
    <col min="10764" max="11008" width="8.77734375" style="2"/>
    <col min="11009" max="11009" width="6" style="2" customWidth="1"/>
    <col min="11010" max="11013" width="8.77734375" style="2"/>
    <col min="11014" max="11014" width="17.21875" style="2" customWidth="1"/>
    <col min="11015" max="11015" width="2.77734375" style="2" customWidth="1"/>
    <col min="11016" max="11017" width="8.77734375" style="2"/>
    <col min="11018" max="11018" width="6.5546875" style="2" customWidth="1"/>
    <col min="11019" max="11019" width="10.21875" style="2" customWidth="1"/>
    <col min="11020" max="11264" width="8.77734375" style="2"/>
    <col min="11265" max="11265" width="6" style="2" customWidth="1"/>
    <col min="11266" max="11269" width="8.77734375" style="2"/>
    <col min="11270" max="11270" width="17.21875" style="2" customWidth="1"/>
    <col min="11271" max="11271" width="2.77734375" style="2" customWidth="1"/>
    <col min="11272" max="11273" width="8.77734375" style="2"/>
    <col min="11274" max="11274" width="6.5546875" style="2" customWidth="1"/>
    <col min="11275" max="11275" width="10.21875" style="2" customWidth="1"/>
    <col min="11276" max="11520" width="8.77734375" style="2"/>
    <col min="11521" max="11521" width="6" style="2" customWidth="1"/>
    <col min="11522" max="11525" width="8.77734375" style="2"/>
    <col min="11526" max="11526" width="17.21875" style="2" customWidth="1"/>
    <col min="11527" max="11527" width="2.77734375" style="2" customWidth="1"/>
    <col min="11528" max="11529" width="8.77734375" style="2"/>
    <col min="11530" max="11530" width="6.5546875" style="2" customWidth="1"/>
    <col min="11531" max="11531" width="10.21875" style="2" customWidth="1"/>
    <col min="11532" max="11776" width="8.77734375" style="2"/>
    <col min="11777" max="11777" width="6" style="2" customWidth="1"/>
    <col min="11778" max="11781" width="8.77734375" style="2"/>
    <col min="11782" max="11782" width="17.21875" style="2" customWidth="1"/>
    <col min="11783" max="11783" width="2.77734375" style="2" customWidth="1"/>
    <col min="11784" max="11785" width="8.77734375" style="2"/>
    <col min="11786" max="11786" width="6.5546875" style="2" customWidth="1"/>
    <col min="11787" max="11787" width="10.21875" style="2" customWidth="1"/>
    <col min="11788" max="12032" width="8.77734375" style="2"/>
    <col min="12033" max="12033" width="6" style="2" customWidth="1"/>
    <col min="12034" max="12037" width="8.77734375" style="2"/>
    <col min="12038" max="12038" width="17.21875" style="2" customWidth="1"/>
    <col min="12039" max="12039" width="2.77734375" style="2" customWidth="1"/>
    <col min="12040" max="12041" width="8.77734375" style="2"/>
    <col min="12042" max="12042" width="6.5546875" style="2" customWidth="1"/>
    <col min="12043" max="12043" width="10.21875" style="2" customWidth="1"/>
    <col min="12044" max="12288" width="8.77734375" style="2"/>
    <col min="12289" max="12289" width="6" style="2" customWidth="1"/>
    <col min="12290" max="12293" width="8.77734375" style="2"/>
    <col min="12294" max="12294" width="17.21875" style="2" customWidth="1"/>
    <col min="12295" max="12295" width="2.77734375" style="2" customWidth="1"/>
    <col min="12296" max="12297" width="8.77734375" style="2"/>
    <col min="12298" max="12298" width="6.5546875" style="2" customWidth="1"/>
    <col min="12299" max="12299" width="10.21875" style="2" customWidth="1"/>
    <col min="12300" max="12544" width="8.77734375" style="2"/>
    <col min="12545" max="12545" width="6" style="2" customWidth="1"/>
    <col min="12546" max="12549" width="8.77734375" style="2"/>
    <col min="12550" max="12550" width="17.21875" style="2" customWidth="1"/>
    <col min="12551" max="12551" width="2.77734375" style="2" customWidth="1"/>
    <col min="12552" max="12553" width="8.77734375" style="2"/>
    <col min="12554" max="12554" width="6.5546875" style="2" customWidth="1"/>
    <col min="12555" max="12555" width="10.21875" style="2" customWidth="1"/>
    <col min="12556" max="12800" width="8.77734375" style="2"/>
    <col min="12801" max="12801" width="6" style="2" customWidth="1"/>
    <col min="12802" max="12805" width="8.77734375" style="2"/>
    <col min="12806" max="12806" width="17.21875" style="2" customWidth="1"/>
    <col min="12807" max="12807" width="2.77734375" style="2" customWidth="1"/>
    <col min="12808" max="12809" width="8.77734375" style="2"/>
    <col min="12810" max="12810" width="6.5546875" style="2" customWidth="1"/>
    <col min="12811" max="12811" width="10.21875" style="2" customWidth="1"/>
    <col min="12812" max="13056" width="8.77734375" style="2"/>
    <col min="13057" max="13057" width="6" style="2" customWidth="1"/>
    <col min="13058" max="13061" width="8.77734375" style="2"/>
    <col min="13062" max="13062" width="17.21875" style="2" customWidth="1"/>
    <col min="13063" max="13063" width="2.77734375" style="2" customWidth="1"/>
    <col min="13064" max="13065" width="8.77734375" style="2"/>
    <col min="13066" max="13066" width="6.5546875" style="2" customWidth="1"/>
    <col min="13067" max="13067" width="10.21875" style="2" customWidth="1"/>
    <col min="13068" max="13312" width="8.77734375" style="2"/>
    <col min="13313" max="13313" width="6" style="2" customWidth="1"/>
    <col min="13314" max="13317" width="8.77734375" style="2"/>
    <col min="13318" max="13318" width="17.21875" style="2" customWidth="1"/>
    <col min="13319" max="13319" width="2.77734375" style="2" customWidth="1"/>
    <col min="13320" max="13321" width="8.77734375" style="2"/>
    <col min="13322" max="13322" width="6.5546875" style="2" customWidth="1"/>
    <col min="13323" max="13323" width="10.21875" style="2" customWidth="1"/>
    <col min="13324" max="13568" width="8.77734375" style="2"/>
    <col min="13569" max="13569" width="6" style="2" customWidth="1"/>
    <col min="13570" max="13573" width="8.77734375" style="2"/>
    <col min="13574" max="13574" width="17.21875" style="2" customWidth="1"/>
    <col min="13575" max="13575" width="2.77734375" style="2" customWidth="1"/>
    <col min="13576" max="13577" width="8.77734375" style="2"/>
    <col min="13578" max="13578" width="6.5546875" style="2" customWidth="1"/>
    <col min="13579" max="13579" width="10.21875" style="2" customWidth="1"/>
    <col min="13580" max="13824" width="8.77734375" style="2"/>
    <col min="13825" max="13825" width="6" style="2" customWidth="1"/>
    <col min="13826" max="13829" width="8.77734375" style="2"/>
    <col min="13830" max="13830" width="17.21875" style="2" customWidth="1"/>
    <col min="13831" max="13831" width="2.77734375" style="2" customWidth="1"/>
    <col min="13832" max="13833" width="8.77734375" style="2"/>
    <col min="13834" max="13834" width="6.5546875" style="2" customWidth="1"/>
    <col min="13835" max="13835" width="10.21875" style="2" customWidth="1"/>
    <col min="13836" max="14080" width="8.77734375" style="2"/>
    <col min="14081" max="14081" width="6" style="2" customWidth="1"/>
    <col min="14082" max="14085" width="8.77734375" style="2"/>
    <col min="14086" max="14086" width="17.21875" style="2" customWidth="1"/>
    <col min="14087" max="14087" width="2.77734375" style="2" customWidth="1"/>
    <col min="14088" max="14089" width="8.77734375" style="2"/>
    <col min="14090" max="14090" width="6.5546875" style="2" customWidth="1"/>
    <col min="14091" max="14091" width="10.21875" style="2" customWidth="1"/>
    <col min="14092" max="14336" width="8.77734375" style="2"/>
    <col min="14337" max="14337" width="6" style="2" customWidth="1"/>
    <col min="14338" max="14341" width="8.77734375" style="2"/>
    <col min="14342" max="14342" width="17.21875" style="2" customWidth="1"/>
    <col min="14343" max="14343" width="2.77734375" style="2" customWidth="1"/>
    <col min="14344" max="14345" width="8.77734375" style="2"/>
    <col min="14346" max="14346" width="6.5546875" style="2" customWidth="1"/>
    <col min="14347" max="14347" width="10.21875" style="2" customWidth="1"/>
    <col min="14348" max="14592" width="8.77734375" style="2"/>
    <col min="14593" max="14593" width="6" style="2" customWidth="1"/>
    <col min="14594" max="14597" width="8.77734375" style="2"/>
    <col min="14598" max="14598" width="17.21875" style="2" customWidth="1"/>
    <col min="14599" max="14599" width="2.77734375" style="2" customWidth="1"/>
    <col min="14600" max="14601" width="8.77734375" style="2"/>
    <col min="14602" max="14602" width="6.5546875" style="2" customWidth="1"/>
    <col min="14603" max="14603" width="10.21875" style="2" customWidth="1"/>
    <col min="14604" max="14848" width="8.77734375" style="2"/>
    <col min="14849" max="14849" width="6" style="2" customWidth="1"/>
    <col min="14850" max="14853" width="8.77734375" style="2"/>
    <col min="14854" max="14854" width="17.21875" style="2" customWidth="1"/>
    <col min="14855" max="14855" width="2.77734375" style="2" customWidth="1"/>
    <col min="14856" max="14857" width="8.77734375" style="2"/>
    <col min="14858" max="14858" width="6.5546875" style="2" customWidth="1"/>
    <col min="14859" max="14859" width="10.21875" style="2" customWidth="1"/>
    <col min="14860" max="15104" width="8.77734375" style="2"/>
    <col min="15105" max="15105" width="6" style="2" customWidth="1"/>
    <col min="15106" max="15109" width="8.77734375" style="2"/>
    <col min="15110" max="15110" width="17.21875" style="2" customWidth="1"/>
    <col min="15111" max="15111" width="2.77734375" style="2" customWidth="1"/>
    <col min="15112" max="15113" width="8.77734375" style="2"/>
    <col min="15114" max="15114" width="6.5546875" style="2" customWidth="1"/>
    <col min="15115" max="15115" width="10.21875" style="2" customWidth="1"/>
    <col min="15116" max="15360" width="8.77734375" style="2"/>
    <col min="15361" max="15361" width="6" style="2" customWidth="1"/>
    <col min="15362" max="15365" width="8.77734375" style="2"/>
    <col min="15366" max="15366" width="17.21875" style="2" customWidth="1"/>
    <col min="15367" max="15367" width="2.77734375" style="2" customWidth="1"/>
    <col min="15368" max="15369" width="8.77734375" style="2"/>
    <col min="15370" max="15370" width="6.5546875" style="2" customWidth="1"/>
    <col min="15371" max="15371" width="10.21875" style="2" customWidth="1"/>
    <col min="15372" max="15616" width="8.77734375" style="2"/>
    <col min="15617" max="15617" width="6" style="2" customWidth="1"/>
    <col min="15618" max="15621" width="8.77734375" style="2"/>
    <col min="15622" max="15622" width="17.21875" style="2" customWidth="1"/>
    <col min="15623" max="15623" width="2.77734375" style="2" customWidth="1"/>
    <col min="15624" max="15625" width="8.77734375" style="2"/>
    <col min="15626" max="15626" width="6.5546875" style="2" customWidth="1"/>
    <col min="15627" max="15627" width="10.21875" style="2" customWidth="1"/>
    <col min="15628" max="15872" width="8.77734375" style="2"/>
    <col min="15873" max="15873" width="6" style="2" customWidth="1"/>
    <col min="15874" max="15877" width="8.77734375" style="2"/>
    <col min="15878" max="15878" width="17.21875" style="2" customWidth="1"/>
    <col min="15879" max="15879" width="2.77734375" style="2" customWidth="1"/>
    <col min="15880" max="15881" width="8.77734375" style="2"/>
    <col min="15882" max="15882" width="6.5546875" style="2" customWidth="1"/>
    <col min="15883" max="15883" width="10.21875" style="2" customWidth="1"/>
    <col min="15884" max="16128" width="8.77734375" style="2"/>
    <col min="16129" max="16129" width="6" style="2" customWidth="1"/>
    <col min="16130" max="16133" width="8.77734375" style="2"/>
    <col min="16134" max="16134" width="17.21875" style="2" customWidth="1"/>
    <col min="16135" max="16135" width="2.77734375" style="2" customWidth="1"/>
    <col min="16136" max="16137" width="8.77734375" style="2"/>
    <col min="16138" max="16138" width="6.5546875" style="2" customWidth="1"/>
    <col min="16139" max="16139" width="10.21875" style="2" customWidth="1"/>
    <col min="16140" max="16384" width="8.77734375" style="2"/>
  </cols>
  <sheetData>
    <row r="1" spans="1:11" ht="15.6">
      <c r="I1" s="31"/>
      <c r="K1" s="31" t="s">
        <v>49</v>
      </c>
    </row>
    <row r="3" spans="1:11" ht="15.6">
      <c r="A3" s="1220" t="s">
        <v>50</v>
      </c>
      <c r="B3" s="1220"/>
      <c r="C3" s="1220"/>
      <c r="D3" s="1220"/>
      <c r="E3" s="1220"/>
      <c r="F3" s="1220"/>
      <c r="G3" s="1220"/>
      <c r="H3" s="1220"/>
      <c r="I3" s="1220"/>
      <c r="J3" s="1227"/>
      <c r="K3" s="1227"/>
    </row>
    <row r="5" spans="1:11" ht="15.6">
      <c r="A5" s="1220" t="s">
        <v>51</v>
      </c>
      <c r="B5" s="1220"/>
      <c r="C5" s="1220"/>
      <c r="D5" s="1220"/>
      <c r="E5" s="1220"/>
      <c r="F5" s="1220"/>
      <c r="G5" s="1220"/>
      <c r="H5" s="1220"/>
      <c r="I5" s="1220"/>
      <c r="J5" s="1229"/>
      <c r="K5" s="1227"/>
    </row>
    <row r="6" spans="1:11">
      <c r="K6" s="2" t="s">
        <v>52</v>
      </c>
    </row>
    <row r="7" spans="1:11">
      <c r="K7" s="2" t="s">
        <v>53</v>
      </c>
    </row>
    <row r="8" spans="1:11" ht="15.6">
      <c r="A8" s="48" t="s">
        <v>54</v>
      </c>
    </row>
    <row r="9" spans="1:11" ht="8.25" customHeight="1">
      <c r="A9" s="48"/>
    </row>
    <row r="10" spans="1:11" ht="15">
      <c r="A10" s="45" t="s">
        <v>55</v>
      </c>
      <c r="B10" s="46" t="s">
        <v>56</v>
      </c>
      <c r="C10" s="46"/>
      <c r="D10" s="46"/>
      <c r="E10" s="46"/>
      <c r="F10" s="46"/>
      <c r="G10" s="45" t="s">
        <v>29</v>
      </c>
      <c r="H10" s="1228">
        <f>IF('Input (1)'!C4+'Input (1)'!C7=0,0,SUM('Input (1)'!C4+'Input (1)'!C7))</f>
        <v>0</v>
      </c>
      <c r="I10" s="1228"/>
      <c r="J10" s="46"/>
      <c r="K10" s="53">
        <f>IF(H10=0,0,(H10/($H$10+$H$13)))</f>
        <v>0</v>
      </c>
    </row>
    <row r="11" spans="1:11" ht="7.5" customHeight="1">
      <c r="H11" s="54"/>
      <c r="I11" s="54"/>
    </row>
    <row r="12" spans="1:11" s="46" customFormat="1" ht="15">
      <c r="A12" s="45" t="s">
        <v>57</v>
      </c>
      <c r="B12" s="46" t="s">
        <v>58</v>
      </c>
      <c r="G12" s="45"/>
      <c r="H12" s="55"/>
      <c r="I12" s="55"/>
    </row>
    <row r="13" spans="1:11" ht="15">
      <c r="B13" s="28" t="s">
        <v>59</v>
      </c>
      <c r="G13" s="30" t="s">
        <v>29</v>
      </c>
      <c r="H13" s="1228">
        <f>IF('Input (1)'!C8=0,0,SUM('Input (1)'!C8))</f>
        <v>77</v>
      </c>
      <c r="I13" s="1228"/>
      <c r="K13" s="53">
        <f>IF(H13=0,0,(H13/($H$10+$H$13)))</f>
        <v>1</v>
      </c>
    </row>
    <row r="14" spans="1:11" ht="6.75" customHeight="1">
      <c r="H14" s="54"/>
      <c r="I14" s="54"/>
    </row>
    <row r="15" spans="1:11" s="46" customFormat="1" ht="15">
      <c r="A15" s="45" t="s">
        <v>60</v>
      </c>
      <c r="B15" s="46" t="s">
        <v>61</v>
      </c>
      <c r="G15" s="45"/>
      <c r="H15" s="55"/>
      <c r="I15" s="55"/>
    </row>
    <row r="16" spans="1:11" s="46" customFormat="1" ht="15">
      <c r="A16" s="45"/>
      <c r="B16" s="46" t="s">
        <v>62</v>
      </c>
      <c r="G16" s="45" t="s">
        <v>29</v>
      </c>
      <c r="H16" s="1230">
        <f>IF('Input (1)'!C22=0,0,SUM('Input (1)'!C22))</f>
        <v>0</v>
      </c>
      <c r="I16" s="1230"/>
    </row>
    <row r="17" spans="1:9" ht="6.75" customHeight="1">
      <c r="H17" s="54"/>
      <c r="I17" s="54"/>
    </row>
    <row r="18" spans="1:9" s="46" customFormat="1" ht="15">
      <c r="A18" s="45" t="s">
        <v>63</v>
      </c>
      <c r="B18" s="46" t="s">
        <v>64</v>
      </c>
      <c r="G18" s="45" t="s">
        <v>29</v>
      </c>
      <c r="H18" s="1228">
        <f>H10+H13-H16</f>
        <v>77</v>
      </c>
      <c r="I18" s="1228"/>
    </row>
    <row r="19" spans="1:9" ht="6.75" customHeight="1">
      <c r="H19" s="43"/>
      <c r="I19" s="43"/>
    </row>
    <row r="20" spans="1:9" s="46" customFormat="1" ht="15">
      <c r="A20" s="45" t="s">
        <v>65</v>
      </c>
      <c r="B20" s="46" t="s">
        <v>66</v>
      </c>
      <c r="G20" s="45" t="s">
        <v>29</v>
      </c>
      <c r="H20" s="1228">
        <f>H18*0.06</f>
        <v>4.62</v>
      </c>
      <c r="I20" s="1228"/>
    </row>
    <row r="21" spans="1:9" ht="6.75" customHeight="1">
      <c r="H21" s="43"/>
      <c r="I21" s="43"/>
    </row>
    <row r="22" spans="1:9" s="46" customFormat="1" ht="15">
      <c r="A22" s="45" t="s">
        <v>67</v>
      </c>
      <c r="B22" s="46" t="s">
        <v>68</v>
      </c>
      <c r="G22" s="45" t="s">
        <v>29</v>
      </c>
      <c r="H22" s="1228">
        <f>H16+H20</f>
        <v>4.62</v>
      </c>
      <c r="I22" s="1228"/>
    </row>
    <row r="23" spans="1:9" s="46" customFormat="1" ht="15">
      <c r="A23" s="45"/>
      <c r="B23" s="46" t="s">
        <v>69</v>
      </c>
      <c r="G23" s="45"/>
      <c r="H23" s="55"/>
      <c r="I23" s="55"/>
    </row>
    <row r="24" spans="1:9" s="46" customFormat="1" ht="15">
      <c r="A24" s="45"/>
      <c r="G24" s="45"/>
      <c r="H24" s="55"/>
      <c r="I24" s="55"/>
    </row>
    <row r="25" spans="1:9" s="46" customFormat="1" ht="15">
      <c r="A25" s="45" t="s">
        <v>70</v>
      </c>
      <c r="B25" s="56">
        <f>K10</f>
        <v>0</v>
      </c>
      <c r="C25" s="44" t="s">
        <v>71</v>
      </c>
      <c r="D25" s="57">
        <f>H22</f>
        <v>4.62</v>
      </c>
      <c r="E25" s="46" t="s">
        <v>72</v>
      </c>
      <c r="G25" s="45" t="s">
        <v>29</v>
      </c>
      <c r="H25" s="1228">
        <f>ROUND(SUM(B25*D25),2)</f>
        <v>0</v>
      </c>
      <c r="I25" s="1228"/>
    </row>
    <row r="26" spans="1:9" s="46" customFormat="1" ht="15">
      <c r="A26" s="45" t="s">
        <v>73</v>
      </c>
      <c r="B26" s="56">
        <f>K13</f>
        <v>1</v>
      </c>
      <c r="C26" s="44" t="s">
        <v>71</v>
      </c>
      <c r="D26" s="57">
        <f>H22</f>
        <v>4.62</v>
      </c>
      <c r="E26" s="46" t="s">
        <v>74</v>
      </c>
      <c r="G26" s="45" t="s">
        <v>29</v>
      </c>
      <c r="H26" s="1231">
        <f>ROUND(SUM(H22-H25),2)</f>
        <v>4.62</v>
      </c>
      <c r="I26" s="1231"/>
    </row>
    <row r="27" spans="1:9" s="46" customFormat="1" ht="15">
      <c r="A27" s="45"/>
      <c r="G27" s="45"/>
      <c r="H27" s="55"/>
      <c r="I27" s="55"/>
    </row>
    <row r="28" spans="1:9" ht="15.6">
      <c r="A28" s="48" t="s">
        <v>75</v>
      </c>
      <c r="H28" s="54"/>
      <c r="I28" s="54"/>
    </row>
    <row r="29" spans="1:9" ht="6.75" customHeight="1">
      <c r="H29" s="54"/>
      <c r="I29" s="54"/>
    </row>
    <row r="30" spans="1:9" s="46" customFormat="1" ht="15">
      <c r="A30" s="45" t="s">
        <v>76</v>
      </c>
      <c r="B30" s="46" t="s">
        <v>77</v>
      </c>
      <c r="G30" s="45"/>
      <c r="H30" s="55"/>
      <c r="I30" s="55"/>
    </row>
    <row r="31" spans="1:9" s="46" customFormat="1" ht="15">
      <c r="A31" s="45"/>
      <c r="B31" s="46" t="s">
        <v>78</v>
      </c>
      <c r="G31" s="45" t="s">
        <v>29</v>
      </c>
      <c r="H31" s="1228">
        <f>IF('Input (1)'!$C$10=0,0,'Input (1)'!C10)</f>
        <v>78</v>
      </c>
      <c r="I31" s="1228"/>
    </row>
    <row r="32" spans="1:9" s="46" customFormat="1" ht="15">
      <c r="A32" s="45"/>
      <c r="B32" s="28" t="s">
        <v>79</v>
      </c>
      <c r="G32" s="45"/>
      <c r="H32" s="55"/>
      <c r="I32" s="55"/>
    </row>
    <row r="33" spans="1:9" s="46" customFormat="1" ht="15">
      <c r="A33" s="45"/>
      <c r="B33" s="28" t="s">
        <v>80</v>
      </c>
      <c r="G33" s="45"/>
      <c r="H33" s="55"/>
      <c r="I33" s="55"/>
    </row>
    <row r="34" spans="1:9" ht="6.75" customHeight="1">
      <c r="H34" s="54"/>
      <c r="I34" s="54"/>
    </row>
    <row r="35" spans="1:9" s="46" customFormat="1" ht="15">
      <c r="A35" s="45" t="s">
        <v>81</v>
      </c>
      <c r="B35" s="46" t="s">
        <v>82</v>
      </c>
      <c r="G35" s="45"/>
      <c r="H35" s="55"/>
      <c r="I35" s="55"/>
    </row>
    <row r="36" spans="1:9" s="46" customFormat="1" ht="15">
      <c r="A36" s="45"/>
      <c r="B36" s="46" t="s">
        <v>83</v>
      </c>
      <c r="G36" s="45"/>
      <c r="H36" s="55"/>
      <c r="I36" s="55"/>
    </row>
    <row r="37" spans="1:9" s="46" customFormat="1" ht="15">
      <c r="A37" s="45"/>
      <c r="B37" s="28" t="s">
        <v>84</v>
      </c>
      <c r="G37" s="45" t="s">
        <v>29</v>
      </c>
      <c r="H37" s="1228">
        <f>IF('Input (1)'!C23=0,0,SUM('Input (1)'!C23))</f>
        <v>0</v>
      </c>
      <c r="I37" s="1228"/>
    </row>
    <row r="38" spans="1:9" ht="6.75" customHeight="1">
      <c r="H38" s="43"/>
      <c r="I38" s="43"/>
    </row>
    <row r="39" spans="1:9" s="46" customFormat="1" ht="15">
      <c r="A39" s="45" t="s">
        <v>85</v>
      </c>
      <c r="B39" s="46" t="s">
        <v>86</v>
      </c>
      <c r="G39" s="45" t="s">
        <v>29</v>
      </c>
      <c r="H39" s="1228">
        <f>IF('Input (1)'!$C$10=0,0,SUM(H31-H37))</f>
        <v>78</v>
      </c>
      <c r="I39" s="1228"/>
    </row>
    <row r="40" spans="1:9" ht="6.75" customHeight="1">
      <c r="H40" s="43"/>
      <c r="I40" s="43"/>
    </row>
    <row r="41" spans="1:9" s="46" customFormat="1" ht="15">
      <c r="A41" s="45" t="s">
        <v>87</v>
      </c>
      <c r="B41" s="46" t="s">
        <v>88</v>
      </c>
      <c r="G41" s="45" t="s">
        <v>29</v>
      </c>
      <c r="H41" s="1228">
        <f>IF('Input (1)'!$C$10=0,0,H39*0.055)</f>
        <v>4.29</v>
      </c>
      <c r="I41" s="1228"/>
    </row>
    <row r="42" spans="1:9" ht="6.75" customHeight="1">
      <c r="H42" s="43"/>
      <c r="I42" s="43"/>
    </row>
    <row r="43" spans="1:9" s="46" customFormat="1" ht="15">
      <c r="A43" s="45" t="s">
        <v>89</v>
      </c>
      <c r="B43" s="46" t="s">
        <v>90</v>
      </c>
      <c r="G43" s="45" t="s">
        <v>29</v>
      </c>
      <c r="H43" s="1228">
        <f>ROUND(IF('Input (1)'!$C$10=0,0,SUM(H37+H41)),2)</f>
        <v>4.29</v>
      </c>
      <c r="I43" s="1228"/>
    </row>
    <row r="44" spans="1:9" s="46" customFormat="1" ht="15">
      <c r="A44" s="45"/>
      <c r="B44" s="46" t="s">
        <v>91</v>
      </c>
      <c r="G44" s="45"/>
    </row>
    <row r="46" spans="1:9" ht="15.6">
      <c r="A46" s="48" t="s">
        <v>92</v>
      </c>
    </row>
    <row r="47" spans="1:9" ht="6.75" customHeight="1"/>
    <row r="48" spans="1:9" s="46" customFormat="1" ht="15">
      <c r="A48" s="45" t="s">
        <v>93</v>
      </c>
      <c r="B48" s="46" t="s">
        <v>94</v>
      </c>
      <c r="G48" s="45"/>
    </row>
    <row r="49" spans="1:9" s="46" customFormat="1" ht="15">
      <c r="A49" s="45"/>
      <c r="B49" s="46" t="s">
        <v>95</v>
      </c>
      <c r="G49" s="45"/>
    </row>
    <row r="50" spans="1:9" s="46" customFormat="1" ht="15">
      <c r="A50" s="45"/>
      <c r="B50" s="46" t="s">
        <v>96</v>
      </c>
      <c r="G50" s="45"/>
    </row>
    <row r="51" spans="1:9" s="46" customFormat="1" ht="15">
      <c r="A51" s="45"/>
      <c r="B51" s="46" t="s">
        <v>97</v>
      </c>
      <c r="G51" s="45"/>
    </row>
    <row r="52" spans="1:9" s="46" customFormat="1" ht="15">
      <c r="A52" s="45"/>
      <c r="B52" s="46" t="s">
        <v>98</v>
      </c>
      <c r="G52" s="45"/>
    </row>
    <row r="53" spans="1:9" s="46" customFormat="1" ht="15">
      <c r="A53" s="45"/>
      <c r="B53" s="46" t="s">
        <v>99</v>
      </c>
      <c r="G53" s="45"/>
    </row>
    <row r="54" spans="1:9" ht="6.75" customHeight="1"/>
    <row r="55" spans="1:9" s="46" customFormat="1" ht="15">
      <c r="A55" s="45"/>
      <c r="B55" s="46" t="s">
        <v>100</v>
      </c>
      <c r="G55" s="45" t="s">
        <v>29</v>
      </c>
      <c r="H55" s="1230">
        <f>IF('Input (1)'!$E$18+'Input (1)'!$E$19=0,0,SUM(('Input (1)'!E18*'Input (1)'!E19)/16))</f>
        <v>0</v>
      </c>
      <c r="I55" s="1230"/>
    </row>
    <row r="56" spans="1:9" s="46" customFormat="1" ht="15">
      <c r="A56" s="45"/>
      <c r="B56" s="46" t="s">
        <v>101</v>
      </c>
      <c r="G56" s="45"/>
    </row>
    <row r="57" spans="1:9" s="46" customFormat="1" ht="15">
      <c r="A57" s="45"/>
      <c r="B57" s="46" t="s">
        <v>102</v>
      </c>
      <c r="G57" s="45"/>
    </row>
  </sheetData>
  <sheetProtection password="CDD6" sheet="1" objects="1" scenarios="1"/>
  <mergeCells count="16">
    <mergeCell ref="H39:I39"/>
    <mergeCell ref="H41:I41"/>
    <mergeCell ref="H43:I43"/>
    <mergeCell ref="H55:I55"/>
    <mergeCell ref="H20:I20"/>
    <mergeCell ref="H22:I22"/>
    <mergeCell ref="H25:I25"/>
    <mergeCell ref="H26:I26"/>
    <mergeCell ref="H31:I31"/>
    <mergeCell ref="H37:I37"/>
    <mergeCell ref="H18:I18"/>
    <mergeCell ref="A3:K3"/>
    <mergeCell ref="A5:K5"/>
    <mergeCell ref="H10:I10"/>
    <mergeCell ref="H13:I13"/>
    <mergeCell ref="H16:I16"/>
  </mergeCells>
  <pageMargins left="0.5" right="0.5" top="0.63" bottom="1" header="0.33" footer="0.5"/>
  <pageSetup scale="93" orientation="portrait" r:id="rId1"/>
  <headerFooter alignWithMargins="0">
    <oddFooter>&amp;L&amp;F</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24">
    <tabColor rgb="FF002060"/>
    <pageSetUpPr fitToPage="1"/>
  </sheetPr>
  <dimension ref="A1:O56"/>
  <sheetViews>
    <sheetView workbookViewId="0">
      <selection activeCell="K29" sqref="K29:K43"/>
    </sheetView>
  </sheetViews>
  <sheetFormatPr defaultColWidth="10.44140625" defaultRowHeight="10.199999999999999"/>
  <cols>
    <col min="1" max="1" width="6.21875" style="185" customWidth="1"/>
    <col min="2" max="2" width="6.77734375" style="185" customWidth="1"/>
    <col min="3" max="3" width="7.44140625" style="185" customWidth="1"/>
    <col min="4" max="4" width="9.21875" style="185" customWidth="1"/>
    <col min="5" max="5" width="7.44140625" style="185" customWidth="1"/>
    <col min="6" max="6" width="8.5546875" style="185" customWidth="1"/>
    <col min="7" max="7" width="8.21875" style="185" customWidth="1"/>
    <col min="8" max="8" width="8.5546875" style="185" customWidth="1"/>
    <col min="9" max="9" width="1.44140625" style="185" customWidth="1"/>
    <col min="10" max="10" width="13.77734375" style="185" customWidth="1"/>
    <col min="11" max="11" width="11" style="185" customWidth="1"/>
    <col min="12" max="12" width="13.5546875" style="185" customWidth="1"/>
    <col min="13" max="14" width="12.77734375" style="185" customWidth="1"/>
    <col min="15" max="15" width="10.44140625" style="185"/>
    <col min="16" max="16" width="3.77734375" style="185" customWidth="1"/>
    <col min="17" max="16384" width="10.44140625" style="185"/>
  </cols>
  <sheetData>
    <row r="1" spans="1:13" s="455" customFormat="1" ht="18">
      <c r="E1" s="455" t="s">
        <v>400</v>
      </c>
      <c r="L1" s="456" t="s">
        <v>362</v>
      </c>
    </row>
    <row r="2" spans="1:13" s="172" customFormat="1" ht="18" customHeight="1">
      <c r="A2" s="172" t="s">
        <v>399</v>
      </c>
      <c r="C2" s="171"/>
    </row>
    <row r="3" spans="1:13" s="454" customFormat="1" ht="15" customHeight="1">
      <c r="A3" s="453" t="s">
        <v>398</v>
      </c>
      <c r="B3" s="1242" t="s">
        <v>397</v>
      </c>
      <c r="C3" s="1243"/>
      <c r="D3" s="1243"/>
      <c r="E3" s="1243"/>
      <c r="F3" s="1243"/>
      <c r="G3" s="173"/>
    </row>
    <row r="4" spans="1:13" s="454" customFormat="1" ht="31.95" customHeight="1">
      <c r="A4" s="453" t="s">
        <v>396</v>
      </c>
      <c r="B4" s="1242" t="s">
        <v>395</v>
      </c>
      <c r="C4" s="1243"/>
      <c r="D4" s="1243"/>
      <c r="E4" s="1243"/>
      <c r="F4" s="1243"/>
      <c r="G4" s="173"/>
    </row>
    <row r="5" spans="1:13" s="454" customFormat="1" ht="15" customHeight="1">
      <c r="A5" s="453" t="s">
        <v>394</v>
      </c>
      <c r="B5" s="1242" t="s">
        <v>237</v>
      </c>
      <c r="C5" s="1244"/>
      <c r="D5" s="1244"/>
      <c r="E5" s="1244"/>
      <c r="F5" s="1244"/>
      <c r="G5" s="173"/>
    </row>
    <row r="6" spans="1:13" ht="19.95" customHeight="1">
      <c r="A6" s="453" t="s">
        <v>393</v>
      </c>
      <c r="B6" s="452" t="s">
        <v>392</v>
      </c>
      <c r="C6" s="451"/>
      <c r="D6" s="451"/>
      <c r="E6" s="451"/>
      <c r="F6" s="451"/>
      <c r="G6" s="450"/>
    </row>
    <row r="9" spans="1:13" s="184" customFormat="1" ht="12">
      <c r="A9" s="371"/>
      <c r="B9" s="371"/>
      <c r="C9" s="371"/>
      <c r="D9" s="371"/>
      <c r="E9" s="371" t="s">
        <v>391</v>
      </c>
      <c r="F9" s="371"/>
      <c r="G9" s="371"/>
      <c r="H9" s="371"/>
      <c r="I9" s="371"/>
      <c r="J9" s="371"/>
      <c r="K9" s="371"/>
      <c r="L9" s="371"/>
      <c r="M9" s="371"/>
    </row>
    <row r="10" spans="1:13" s="421" customFormat="1" ht="12" customHeight="1">
      <c r="A10" s="449" t="s">
        <v>390</v>
      </c>
      <c r="B10" s="170"/>
      <c r="C10" s="170"/>
      <c r="D10" s="448"/>
      <c r="E10" s="374" t="s">
        <v>215</v>
      </c>
      <c r="F10" s="374" t="s">
        <v>216</v>
      </c>
      <c r="G10" s="374" t="s">
        <v>217</v>
      </c>
      <c r="H10" s="374" t="s">
        <v>218</v>
      </c>
      <c r="I10" s="444"/>
      <c r="J10" s="445" t="s">
        <v>304</v>
      </c>
      <c r="K10" s="445" t="s">
        <v>238</v>
      </c>
      <c r="L10" s="447" t="s">
        <v>386</v>
      </c>
      <c r="M10" s="446"/>
    </row>
    <row r="11" spans="1:13" s="421" customFormat="1" ht="24.6" customHeight="1">
      <c r="A11" s="166" t="s">
        <v>239</v>
      </c>
      <c r="B11" s="374" t="s">
        <v>220</v>
      </c>
      <c r="C11" s="374" t="s">
        <v>221</v>
      </c>
      <c r="D11" s="374" t="s">
        <v>222</v>
      </c>
      <c r="E11" s="374" t="s">
        <v>223</v>
      </c>
      <c r="F11" s="374" t="s">
        <v>224</v>
      </c>
      <c r="G11" s="374" t="s">
        <v>225</v>
      </c>
      <c r="H11" s="374" t="s">
        <v>226</v>
      </c>
      <c r="I11" s="444"/>
      <c r="J11" s="167" t="s">
        <v>240</v>
      </c>
      <c r="K11" s="167" t="s">
        <v>169</v>
      </c>
      <c r="L11" s="445" t="s">
        <v>389</v>
      </c>
      <c r="M11" s="419"/>
    </row>
    <row r="12" spans="1:13" s="421" customFormat="1" ht="12">
      <c r="A12" s="164"/>
      <c r="B12" s="164"/>
      <c r="C12" s="164"/>
      <c r="D12" s="164"/>
      <c r="E12" s="164"/>
      <c r="F12" s="164"/>
      <c r="G12" s="164"/>
      <c r="H12" s="164"/>
      <c r="I12" s="444"/>
      <c r="J12" s="443" t="s">
        <v>241</v>
      </c>
      <c r="K12" s="443" t="s">
        <v>242</v>
      </c>
      <c r="L12" s="442">
        <v>33400</v>
      </c>
      <c r="M12" s="419"/>
    </row>
    <row r="13" spans="1:13" s="421" customFormat="1" ht="12">
      <c r="A13" s="166">
        <v>0</v>
      </c>
      <c r="B13" s="430" t="s">
        <v>243</v>
      </c>
      <c r="C13" s="430" t="s">
        <v>243</v>
      </c>
      <c r="D13" s="430" t="s">
        <v>243</v>
      </c>
      <c r="E13" s="430" t="s">
        <v>243</v>
      </c>
      <c r="F13" s="430" t="s">
        <v>243</v>
      </c>
      <c r="G13" s="430" t="s">
        <v>243</v>
      </c>
      <c r="H13" s="430" t="s">
        <v>243</v>
      </c>
      <c r="I13" s="165"/>
      <c r="J13" s="441"/>
      <c r="K13" s="440">
        <v>1</v>
      </c>
      <c r="L13" s="439"/>
      <c r="M13" s="419"/>
    </row>
    <row r="14" spans="1:13" s="421" customFormat="1" ht="12">
      <c r="A14" s="166">
        <v>1</v>
      </c>
      <c r="B14" s="430" t="s">
        <v>243</v>
      </c>
      <c r="C14" s="430" t="s">
        <v>243</v>
      </c>
      <c r="D14" s="430" t="s">
        <v>243</v>
      </c>
      <c r="E14" s="430" t="s">
        <v>243</v>
      </c>
      <c r="F14" s="430" t="s">
        <v>243</v>
      </c>
      <c r="G14" s="430" t="s">
        <v>243</v>
      </c>
      <c r="H14" s="430" t="s">
        <v>243</v>
      </c>
      <c r="I14" s="165"/>
      <c r="J14" s="438" t="s">
        <v>243</v>
      </c>
      <c r="K14" s="437" t="s">
        <v>244</v>
      </c>
      <c r="L14" s="436">
        <v>34250</v>
      </c>
      <c r="M14" s="419"/>
    </row>
    <row r="15" spans="1:13" s="421" customFormat="1" ht="12">
      <c r="A15" s="166">
        <v>2</v>
      </c>
      <c r="B15" s="430" t="s">
        <v>243</v>
      </c>
      <c r="C15" s="430" t="s">
        <v>243</v>
      </c>
      <c r="D15" s="430" t="s">
        <v>243</v>
      </c>
      <c r="E15" s="430" t="s">
        <v>243</v>
      </c>
      <c r="F15" s="430" t="s">
        <v>243</v>
      </c>
      <c r="G15" s="430" t="s">
        <v>243</v>
      </c>
      <c r="H15" s="430" t="s">
        <v>243</v>
      </c>
      <c r="I15" s="165"/>
      <c r="J15" s="168" t="s">
        <v>235</v>
      </c>
      <c r="K15" s="435">
        <v>1.3426</v>
      </c>
      <c r="L15" s="168"/>
      <c r="M15" s="419"/>
    </row>
    <row r="16" spans="1:13" s="421" customFormat="1" ht="12">
      <c r="A16" s="166">
        <v>3</v>
      </c>
      <c r="B16" s="430" t="s">
        <v>243</v>
      </c>
      <c r="C16" s="430" t="s">
        <v>243</v>
      </c>
      <c r="D16" s="430" t="s">
        <v>243</v>
      </c>
      <c r="E16" s="430" t="s">
        <v>243</v>
      </c>
      <c r="F16" s="430" t="s">
        <v>243</v>
      </c>
      <c r="G16" s="430" t="s">
        <v>245</v>
      </c>
      <c r="H16" s="423" t="s">
        <v>245</v>
      </c>
      <c r="I16" s="165"/>
      <c r="J16" s="398" t="s">
        <v>245</v>
      </c>
      <c r="K16" s="434">
        <v>1.3929</v>
      </c>
      <c r="L16" s="398">
        <v>35117</v>
      </c>
      <c r="M16" s="419"/>
    </row>
    <row r="17" spans="1:13" s="421" customFormat="1" ht="12">
      <c r="A17" s="166">
        <v>4</v>
      </c>
      <c r="B17" s="430" t="s">
        <v>243</v>
      </c>
      <c r="C17" s="430" t="s">
        <v>243</v>
      </c>
      <c r="D17" s="430" t="s">
        <v>243</v>
      </c>
      <c r="E17" s="430" t="s">
        <v>243</v>
      </c>
      <c r="F17" s="430" t="s">
        <v>243</v>
      </c>
      <c r="G17" s="423" t="s">
        <v>245</v>
      </c>
      <c r="H17" s="391" t="s">
        <v>246</v>
      </c>
      <c r="I17" s="165"/>
      <c r="J17" s="391" t="s">
        <v>246</v>
      </c>
      <c r="K17" s="429">
        <v>1.4451000000000001</v>
      </c>
      <c r="L17" s="391">
        <v>37249</v>
      </c>
      <c r="M17" s="419"/>
    </row>
    <row r="18" spans="1:13" s="421" customFormat="1" ht="12">
      <c r="A18" s="166">
        <v>5</v>
      </c>
      <c r="B18" s="430" t="s">
        <v>243</v>
      </c>
      <c r="C18" s="430" t="s">
        <v>243</v>
      </c>
      <c r="D18" s="430" t="s">
        <v>243</v>
      </c>
      <c r="E18" s="430" t="s">
        <v>243</v>
      </c>
      <c r="F18" s="423" t="s">
        <v>245</v>
      </c>
      <c r="G18" s="391" t="s">
        <v>246</v>
      </c>
      <c r="H18" s="396" t="s">
        <v>247</v>
      </c>
      <c r="I18" s="165"/>
      <c r="J18" s="396" t="s">
        <v>247</v>
      </c>
      <c r="K18" s="433">
        <v>1.4993000000000001</v>
      </c>
      <c r="L18" s="396">
        <v>38758</v>
      </c>
      <c r="M18" s="419"/>
    </row>
    <row r="19" spans="1:13" s="421" customFormat="1" ht="12">
      <c r="A19" s="166">
        <v>6</v>
      </c>
      <c r="B19" s="430" t="s">
        <v>243</v>
      </c>
      <c r="C19" s="430" t="s">
        <v>243</v>
      </c>
      <c r="D19" s="430" t="s">
        <v>243</v>
      </c>
      <c r="E19" s="423" t="s">
        <v>245</v>
      </c>
      <c r="F19" s="391" t="s">
        <v>246</v>
      </c>
      <c r="G19" s="396" t="s">
        <v>247</v>
      </c>
      <c r="H19" s="395" t="s">
        <v>248</v>
      </c>
      <c r="I19" s="165"/>
      <c r="J19" s="395" t="s">
        <v>248</v>
      </c>
      <c r="K19" s="432">
        <v>1.5555000000000001</v>
      </c>
      <c r="L19" s="395">
        <v>39546</v>
      </c>
      <c r="M19" s="419"/>
    </row>
    <row r="20" spans="1:13" s="421" customFormat="1" ht="12">
      <c r="A20" s="166">
        <v>7</v>
      </c>
      <c r="B20" s="430" t="s">
        <v>243</v>
      </c>
      <c r="C20" s="430" t="s">
        <v>243</v>
      </c>
      <c r="D20" s="423" t="s">
        <v>245</v>
      </c>
      <c r="E20" s="391" t="s">
        <v>246</v>
      </c>
      <c r="F20" s="396" t="s">
        <v>247</v>
      </c>
      <c r="G20" s="395" t="s">
        <v>248</v>
      </c>
      <c r="H20" s="394" t="s">
        <v>249</v>
      </c>
      <c r="I20" s="165"/>
      <c r="J20" s="394" t="s">
        <v>249</v>
      </c>
      <c r="K20" s="431">
        <v>1.6137999999999999</v>
      </c>
      <c r="L20" s="394">
        <v>41113</v>
      </c>
      <c r="M20" s="419"/>
    </row>
    <row r="21" spans="1:13" s="421" customFormat="1" ht="12">
      <c r="A21" s="166">
        <v>8</v>
      </c>
      <c r="B21" s="430" t="s">
        <v>243</v>
      </c>
      <c r="C21" s="423" t="s">
        <v>245</v>
      </c>
      <c r="D21" s="391" t="s">
        <v>246</v>
      </c>
      <c r="E21" s="396" t="s">
        <v>247</v>
      </c>
      <c r="F21" s="395" t="s">
        <v>248</v>
      </c>
      <c r="G21" s="394" t="s">
        <v>249</v>
      </c>
      <c r="H21" s="427" t="s">
        <v>250</v>
      </c>
      <c r="I21" s="165"/>
      <c r="J21" s="391" t="s">
        <v>250</v>
      </c>
      <c r="K21" s="429">
        <v>1.6742999999999999</v>
      </c>
      <c r="L21" s="391">
        <v>41961</v>
      </c>
      <c r="M21" s="419"/>
    </row>
    <row r="22" spans="1:13" s="421" customFormat="1" ht="12">
      <c r="A22" s="166">
        <v>9</v>
      </c>
      <c r="B22" s="423" t="s">
        <v>245</v>
      </c>
      <c r="C22" s="391" t="s">
        <v>246</v>
      </c>
      <c r="D22" s="396" t="s">
        <v>247</v>
      </c>
      <c r="E22" s="395" t="s">
        <v>248</v>
      </c>
      <c r="F22" s="394" t="s">
        <v>249</v>
      </c>
      <c r="G22" s="427" t="s">
        <v>250</v>
      </c>
      <c r="H22" s="390" t="s">
        <v>251</v>
      </c>
      <c r="I22" s="165"/>
      <c r="J22" s="390" t="s">
        <v>251</v>
      </c>
      <c r="K22" s="428">
        <v>1.7371000000000001</v>
      </c>
      <c r="L22" s="390">
        <v>43591</v>
      </c>
      <c r="M22" s="419"/>
    </row>
    <row r="23" spans="1:13" s="421" customFormat="1" ht="12">
      <c r="A23" s="166">
        <v>10</v>
      </c>
      <c r="B23" s="423" t="s">
        <v>245</v>
      </c>
      <c r="C23" s="396" t="s">
        <v>247</v>
      </c>
      <c r="D23" s="395" t="s">
        <v>248</v>
      </c>
      <c r="E23" s="394" t="s">
        <v>249</v>
      </c>
      <c r="F23" s="427" t="s">
        <v>250</v>
      </c>
      <c r="G23" s="390" t="s">
        <v>251</v>
      </c>
      <c r="H23" s="391" t="s">
        <v>252</v>
      </c>
      <c r="I23" s="165"/>
      <c r="J23" s="388" t="s">
        <v>252</v>
      </c>
      <c r="K23" s="426">
        <v>1.8022</v>
      </c>
      <c r="L23" s="388">
        <v>44503</v>
      </c>
      <c r="M23" s="419"/>
    </row>
    <row r="24" spans="1:13" s="421" customFormat="1" ht="12">
      <c r="A24" s="166">
        <v>11</v>
      </c>
      <c r="B24" s="423" t="s">
        <v>245</v>
      </c>
      <c r="C24" s="396" t="s">
        <v>247</v>
      </c>
      <c r="D24" s="395" t="s">
        <v>248</v>
      </c>
      <c r="E24" s="394" t="s">
        <v>249</v>
      </c>
      <c r="F24" s="390" t="s">
        <v>251</v>
      </c>
      <c r="G24" s="391" t="s">
        <v>252</v>
      </c>
      <c r="H24" s="386" t="s">
        <v>253</v>
      </c>
      <c r="I24" s="165"/>
      <c r="J24" s="386" t="s">
        <v>253</v>
      </c>
      <c r="K24" s="425">
        <v>1.8697999999999999</v>
      </c>
      <c r="L24" s="386">
        <v>46201</v>
      </c>
      <c r="M24" s="419"/>
    </row>
    <row r="25" spans="1:13" s="421" customFormat="1" ht="12">
      <c r="A25" s="166">
        <v>12</v>
      </c>
      <c r="B25" s="423" t="s">
        <v>245</v>
      </c>
      <c r="C25" s="396" t="s">
        <v>247</v>
      </c>
      <c r="D25" s="395" t="s">
        <v>248</v>
      </c>
      <c r="E25" s="394" t="s">
        <v>249</v>
      </c>
      <c r="F25" s="390" t="s">
        <v>251</v>
      </c>
      <c r="G25" s="386" t="s">
        <v>253</v>
      </c>
      <c r="H25" s="384" t="s">
        <v>254</v>
      </c>
      <c r="I25" s="165"/>
      <c r="J25" s="384" t="s">
        <v>254</v>
      </c>
      <c r="K25" s="424">
        <v>1.9399</v>
      </c>
      <c r="L25" s="384">
        <v>47183</v>
      </c>
      <c r="M25" s="419"/>
    </row>
    <row r="26" spans="1:13" s="421" customFormat="1" ht="12">
      <c r="A26" s="166" t="s">
        <v>255</v>
      </c>
      <c r="B26" s="423" t="s">
        <v>245</v>
      </c>
      <c r="C26" s="396" t="s">
        <v>247</v>
      </c>
      <c r="D26" s="395" t="s">
        <v>248</v>
      </c>
      <c r="E26" s="394" t="s">
        <v>249</v>
      </c>
      <c r="F26" s="390" t="s">
        <v>251</v>
      </c>
      <c r="G26" s="386" t="s">
        <v>253</v>
      </c>
      <c r="H26" s="376" t="s">
        <v>256</v>
      </c>
      <c r="I26" s="165"/>
      <c r="J26" s="376" t="s">
        <v>256</v>
      </c>
      <c r="K26" s="422">
        <v>2.0125999999999999</v>
      </c>
      <c r="L26" s="376">
        <v>48202</v>
      </c>
      <c r="M26" s="419"/>
    </row>
    <row r="27" spans="1:13" ht="6" customHeight="1">
      <c r="A27" s="420"/>
      <c r="B27" s="163"/>
      <c r="C27" s="163"/>
      <c r="D27" s="163"/>
      <c r="E27" s="163"/>
      <c r="F27" s="163"/>
      <c r="G27" s="163"/>
      <c r="H27" s="163"/>
      <c r="I27" s="163"/>
      <c r="J27" s="163"/>
      <c r="K27" s="163"/>
      <c r="L27" s="419"/>
      <c r="M27" s="419"/>
    </row>
    <row r="28" spans="1:13" ht="34.950000000000003" customHeight="1" thickBot="1">
      <c r="A28" s="169" t="s">
        <v>388</v>
      </c>
      <c r="B28" s="170"/>
      <c r="C28" s="418"/>
      <c r="D28" s="417"/>
      <c r="E28" s="374" t="s">
        <v>215</v>
      </c>
      <c r="F28" s="374" t="s">
        <v>216</v>
      </c>
      <c r="G28" s="374" t="s">
        <v>217</v>
      </c>
      <c r="H28" s="374" t="s">
        <v>218</v>
      </c>
      <c r="I28" s="163"/>
      <c r="J28" s="416" t="s">
        <v>387</v>
      </c>
      <c r="K28" s="414" t="s">
        <v>409</v>
      </c>
      <c r="L28" s="415" t="s">
        <v>410</v>
      </c>
      <c r="M28" s="414" t="s">
        <v>409</v>
      </c>
    </row>
    <row r="29" spans="1:13" ht="12.6" customHeight="1" thickBot="1">
      <c r="A29" s="166" t="s">
        <v>239</v>
      </c>
      <c r="B29" s="374" t="s">
        <v>220</v>
      </c>
      <c r="C29" s="374" t="s">
        <v>221</v>
      </c>
      <c r="D29" s="374" t="s">
        <v>222</v>
      </c>
      <c r="E29" s="374" t="s">
        <v>223</v>
      </c>
      <c r="F29" s="374" t="s">
        <v>224</v>
      </c>
      <c r="G29" s="374" t="s">
        <v>225</v>
      </c>
      <c r="H29" s="374" t="s">
        <v>226</v>
      </c>
      <c r="I29" s="163"/>
      <c r="J29" s="413" t="s">
        <v>265</v>
      </c>
      <c r="K29" s="316">
        <f>+'Master Budget Sheet'!BP168</f>
        <v>55267</v>
      </c>
      <c r="L29" s="411">
        <f>+'Master Budget Sheet'!BA174</f>
        <v>0</v>
      </c>
      <c r="M29" s="410">
        <f>K29*L29</f>
        <v>0</v>
      </c>
    </row>
    <row r="30" spans="1:13" s="405" customFormat="1" ht="15.6" customHeight="1" thickBot="1">
      <c r="A30" s="393">
        <v>0</v>
      </c>
      <c r="B30" s="392"/>
      <c r="C30" s="392"/>
      <c r="D30" s="392"/>
      <c r="E30" s="392"/>
      <c r="F30" s="392"/>
      <c r="G30" s="392"/>
      <c r="H30" s="392"/>
      <c r="I30" s="163"/>
      <c r="J30" s="409"/>
      <c r="K30" s="408"/>
      <c r="L30" s="407"/>
      <c r="M30" s="406"/>
    </row>
    <row r="31" spans="1:13" ht="12.6" thickBot="1">
      <c r="A31" s="393">
        <v>1</v>
      </c>
      <c r="B31" s="392"/>
      <c r="C31" s="392"/>
      <c r="D31" s="392"/>
      <c r="E31" s="392"/>
      <c r="F31" s="392"/>
      <c r="G31" s="392"/>
      <c r="H31" s="392"/>
      <c r="I31" s="163"/>
      <c r="J31" s="404" t="s">
        <v>243</v>
      </c>
      <c r="K31" s="403">
        <f>+'Master Budget Sheet'!BP169</f>
        <v>56426</v>
      </c>
      <c r="L31" s="411">
        <f>+'Master Budget Sheet'!BA175</f>
        <v>0</v>
      </c>
      <c r="M31" s="402">
        <f>K31*L31</f>
        <v>0</v>
      </c>
    </row>
    <row r="32" spans="1:13" ht="12.6" thickBot="1">
      <c r="A32" s="393">
        <v>2</v>
      </c>
      <c r="B32" s="392"/>
      <c r="C32" s="392"/>
      <c r="D32" s="392"/>
      <c r="E32" s="392"/>
      <c r="F32" s="392"/>
      <c r="G32" s="392"/>
      <c r="H32" s="392"/>
      <c r="I32" s="163"/>
      <c r="J32" s="400"/>
      <c r="K32" s="401"/>
      <c r="L32" s="400"/>
      <c r="M32" s="399"/>
    </row>
    <row r="33" spans="1:14" ht="12.6" thickBot="1">
      <c r="A33" s="393">
        <v>3</v>
      </c>
      <c r="B33" s="392"/>
      <c r="C33" s="392"/>
      <c r="D33" s="392"/>
      <c r="E33" s="392"/>
      <c r="F33" s="392"/>
      <c r="G33" s="392"/>
      <c r="H33" s="383"/>
      <c r="I33" s="163"/>
      <c r="J33" s="398" t="s">
        <v>245</v>
      </c>
      <c r="K33" s="398">
        <f>+'Master Budget Sheet'!BP170</f>
        <v>57585</v>
      </c>
      <c r="L33" s="411">
        <f>+'Master Budget Sheet'!BA176</f>
        <v>0</v>
      </c>
      <c r="M33" s="397">
        <f t="shared" ref="M33:M43" si="0">K33*L33</f>
        <v>0</v>
      </c>
    </row>
    <row r="34" spans="1:14" ht="12.6" thickBot="1">
      <c r="A34" s="393">
        <v>4</v>
      </c>
      <c r="B34" s="392"/>
      <c r="C34" s="392"/>
      <c r="D34" s="392"/>
      <c r="E34" s="392"/>
      <c r="F34" s="392"/>
      <c r="G34" s="383"/>
      <c r="H34" s="387"/>
      <c r="I34" s="163"/>
      <c r="J34" s="391" t="s">
        <v>246</v>
      </c>
      <c r="K34" s="391">
        <f>+'Master Budget Sheet'!BP171</f>
        <v>58745</v>
      </c>
      <c r="L34" s="411">
        <f>+'Master Budget Sheet'!BA177</f>
        <v>0</v>
      </c>
      <c r="M34" s="375">
        <f t="shared" si="0"/>
        <v>0</v>
      </c>
    </row>
    <row r="35" spans="1:14" ht="12.6" thickBot="1">
      <c r="A35" s="393">
        <v>5</v>
      </c>
      <c r="B35" s="392"/>
      <c r="C35" s="392"/>
      <c r="D35" s="392"/>
      <c r="E35" s="392"/>
      <c r="F35" s="383"/>
      <c r="G35" s="387"/>
      <c r="H35" s="382"/>
      <c r="I35" s="163"/>
      <c r="J35" s="396" t="s">
        <v>247</v>
      </c>
      <c r="K35" s="396">
        <f>+'Master Budget Sheet'!BP172</f>
        <v>60775</v>
      </c>
      <c r="L35" s="411">
        <f>+'Master Budget Sheet'!BA178</f>
        <v>0</v>
      </c>
      <c r="M35" s="375">
        <f t="shared" si="0"/>
        <v>0</v>
      </c>
    </row>
    <row r="36" spans="1:14" ht="12.6" thickBot="1">
      <c r="A36" s="393">
        <v>6</v>
      </c>
      <c r="B36" s="392"/>
      <c r="C36" s="392"/>
      <c r="D36" s="392"/>
      <c r="E36" s="383"/>
      <c r="F36" s="387"/>
      <c r="G36" s="382"/>
      <c r="H36" s="381"/>
      <c r="I36" s="163"/>
      <c r="J36" s="395" t="s">
        <v>248</v>
      </c>
      <c r="K36" s="395">
        <f>+'Master Budget Sheet'!BP173</f>
        <v>62802</v>
      </c>
      <c r="L36" s="411">
        <f>+'Master Budget Sheet'!BA179</f>
        <v>0</v>
      </c>
      <c r="M36" s="375">
        <f t="shared" si="0"/>
        <v>0</v>
      </c>
    </row>
    <row r="37" spans="1:14" ht="12.6" thickBot="1">
      <c r="A37" s="393">
        <v>7</v>
      </c>
      <c r="B37" s="392"/>
      <c r="C37" s="392"/>
      <c r="D37" s="383"/>
      <c r="E37" s="387"/>
      <c r="F37" s="382"/>
      <c r="G37" s="381"/>
      <c r="H37" s="380"/>
      <c r="I37" s="163"/>
      <c r="J37" s="394" t="s">
        <v>249</v>
      </c>
      <c r="K37" s="394">
        <f>+'Master Budget Sheet'!BP174</f>
        <v>64831</v>
      </c>
      <c r="L37" s="411">
        <f>+'Master Budget Sheet'!BA180</f>
        <v>0</v>
      </c>
      <c r="M37" s="375">
        <f t="shared" si="0"/>
        <v>0</v>
      </c>
    </row>
    <row r="38" spans="1:14" ht="12.6" thickBot="1">
      <c r="A38" s="393">
        <v>8</v>
      </c>
      <c r="B38" s="392"/>
      <c r="C38" s="383"/>
      <c r="D38" s="387"/>
      <c r="E38" s="382"/>
      <c r="F38" s="381"/>
      <c r="G38" s="380">
        <v>0</v>
      </c>
      <c r="H38" s="389"/>
      <c r="I38" s="163"/>
      <c r="J38" s="391" t="s">
        <v>250</v>
      </c>
      <c r="K38" s="391">
        <f>+'Master Budget Sheet'!BP175</f>
        <v>66860</v>
      </c>
      <c r="L38" s="411">
        <f>+'Master Budget Sheet'!BA181</f>
        <v>0</v>
      </c>
      <c r="M38" s="375">
        <f t="shared" si="0"/>
        <v>0</v>
      </c>
    </row>
    <row r="39" spans="1:14" ht="12.6" thickBot="1">
      <c r="A39" s="166">
        <v>9</v>
      </c>
      <c r="B39" s="383"/>
      <c r="C39" s="387"/>
      <c r="D39" s="382"/>
      <c r="E39" s="381"/>
      <c r="F39" s="380"/>
      <c r="G39" s="389"/>
      <c r="H39" s="379"/>
      <c r="I39" s="163"/>
      <c r="J39" s="390" t="s">
        <v>251</v>
      </c>
      <c r="K39" s="390">
        <f>+'Master Budget Sheet'!BP176</f>
        <v>70917</v>
      </c>
      <c r="L39" s="411">
        <f>+'Master Budget Sheet'!BA182</f>
        <v>0</v>
      </c>
      <c r="M39" s="375">
        <f t="shared" si="0"/>
        <v>0</v>
      </c>
    </row>
    <row r="40" spans="1:14" ht="12.6" thickBot="1">
      <c r="A40" s="166">
        <v>10</v>
      </c>
      <c r="B40" s="383"/>
      <c r="C40" s="382"/>
      <c r="D40" s="381"/>
      <c r="E40" s="380"/>
      <c r="F40" s="389"/>
      <c r="G40" s="379"/>
      <c r="H40" s="387"/>
      <c r="I40" s="163"/>
      <c r="J40" s="388" t="s">
        <v>252</v>
      </c>
      <c r="K40" s="388">
        <f>+'Master Budget Sheet'!BP177</f>
        <v>73236</v>
      </c>
      <c r="L40" s="411">
        <f>+'Master Budget Sheet'!BA183</f>
        <v>0</v>
      </c>
      <c r="M40" s="375">
        <f t="shared" si="0"/>
        <v>0</v>
      </c>
    </row>
    <row r="41" spans="1:14" ht="12.6" thickBot="1">
      <c r="A41" s="166">
        <v>11</v>
      </c>
      <c r="B41" s="383"/>
      <c r="C41" s="382"/>
      <c r="D41" s="381"/>
      <c r="E41" s="380"/>
      <c r="F41" s="379"/>
      <c r="G41" s="387"/>
      <c r="H41" s="378"/>
      <c r="I41" s="163"/>
      <c r="J41" s="386" t="s">
        <v>253</v>
      </c>
      <c r="K41" s="386">
        <f>+'Master Budget Sheet'!BP178</f>
        <v>75555</v>
      </c>
      <c r="L41" s="411">
        <f>+'Master Budget Sheet'!BA184</f>
        <v>0</v>
      </c>
      <c r="M41" s="375">
        <f t="shared" si="0"/>
        <v>0</v>
      </c>
    </row>
    <row r="42" spans="1:14" ht="12.6" thickBot="1">
      <c r="A42" s="166">
        <v>12</v>
      </c>
      <c r="B42" s="383"/>
      <c r="C42" s="382"/>
      <c r="D42" s="381"/>
      <c r="E42" s="380"/>
      <c r="F42" s="379"/>
      <c r="G42" s="378"/>
      <c r="H42" s="385"/>
      <c r="I42" s="163"/>
      <c r="J42" s="384" t="s">
        <v>254</v>
      </c>
      <c r="K42" s="384">
        <f>+'Master Budget Sheet'!BP179</f>
        <v>77873</v>
      </c>
      <c r="L42" s="411">
        <f>+'Master Budget Sheet'!BA185</f>
        <v>1</v>
      </c>
      <c r="M42" s="375">
        <f t="shared" si="0"/>
        <v>77873</v>
      </c>
    </row>
    <row r="43" spans="1:14" ht="12.6" thickBot="1">
      <c r="A43" s="166" t="s">
        <v>255</v>
      </c>
      <c r="B43" s="383"/>
      <c r="C43" s="382"/>
      <c r="D43" s="381"/>
      <c r="E43" s="380"/>
      <c r="F43" s="379"/>
      <c r="G43" s="378">
        <v>0</v>
      </c>
      <c r="H43" s="377"/>
      <c r="I43" s="163"/>
      <c r="J43" s="376" t="s">
        <v>256</v>
      </c>
      <c r="K43" s="376">
        <f>+'Master Budget Sheet'!BP180</f>
        <v>80192</v>
      </c>
      <c r="L43" s="411">
        <f>+'Master Budget Sheet'!BA186</f>
        <v>0</v>
      </c>
      <c r="M43" s="375">
        <f t="shared" si="0"/>
        <v>0</v>
      </c>
    </row>
    <row r="44" spans="1:14" s="184" customFormat="1" ht="12.6" thickBot="1">
      <c r="B44" s="163"/>
      <c r="C44" s="163"/>
      <c r="D44" s="163"/>
      <c r="E44" s="163"/>
      <c r="F44" s="163"/>
      <c r="G44" s="374" t="s">
        <v>53</v>
      </c>
      <c r="H44" s="373">
        <f>SUM(B30:H43)</f>
        <v>0</v>
      </c>
      <c r="I44" s="372"/>
      <c r="J44" s="371"/>
      <c r="K44" s="163"/>
      <c r="L44" s="370">
        <f>SUM(L29:L43)</f>
        <v>1</v>
      </c>
      <c r="M44" s="369">
        <f>SUM(M29:M43)</f>
        <v>77873</v>
      </c>
    </row>
    <row r="45" spans="1:14" ht="4.95" customHeight="1" thickTop="1" thickBot="1">
      <c r="A45" s="163"/>
      <c r="B45" s="163"/>
      <c r="C45" s="163"/>
      <c r="D45" s="163"/>
      <c r="E45" s="163"/>
      <c r="F45" s="163"/>
      <c r="G45" s="350"/>
      <c r="H45" s="163"/>
      <c r="I45" s="163"/>
      <c r="J45" s="163"/>
      <c r="K45" s="163"/>
      <c r="L45" s="163"/>
      <c r="M45" s="163"/>
    </row>
    <row r="46" spans="1:14" s="344" customFormat="1" ht="9.6" customHeight="1">
      <c r="A46" s="163"/>
      <c r="B46" s="163"/>
      <c r="C46" s="163"/>
      <c r="D46" s="163"/>
      <c r="E46" s="163"/>
      <c r="F46" s="163"/>
      <c r="G46" s="368"/>
      <c r="H46" s="163"/>
      <c r="J46" s="367" t="s">
        <v>260</v>
      </c>
      <c r="K46" s="366"/>
      <c r="L46" s="365"/>
      <c r="M46" s="364"/>
      <c r="N46" s="338"/>
    </row>
    <row r="47" spans="1:14" s="344" customFormat="1" ht="12">
      <c r="A47" s="163"/>
      <c r="B47" s="362"/>
      <c r="C47" s="362"/>
      <c r="D47" s="362"/>
      <c r="E47" s="362"/>
      <c r="F47" s="362"/>
      <c r="G47" s="350"/>
      <c r="H47" s="362"/>
      <c r="J47" s="348" t="s">
        <v>385</v>
      </c>
      <c r="K47" s="343"/>
      <c r="L47" s="343"/>
      <c r="M47" s="363"/>
      <c r="N47" s="338"/>
    </row>
    <row r="48" spans="1:14" s="356" customFormat="1" ht="12">
      <c r="A48" s="362"/>
      <c r="B48" s="163"/>
      <c r="C48" s="163"/>
      <c r="D48" s="163"/>
      <c r="E48" s="163"/>
      <c r="F48" s="163"/>
      <c r="G48" s="350"/>
      <c r="H48" s="163"/>
      <c r="J48" s="361" t="s">
        <v>261</v>
      </c>
      <c r="K48" s="360" t="s">
        <v>168</v>
      </c>
      <c r="L48" s="359" t="s">
        <v>372</v>
      </c>
      <c r="M48" s="358" t="s">
        <v>259</v>
      </c>
      <c r="N48" s="357"/>
    </row>
    <row r="49" spans="1:15" s="344" customFormat="1" ht="12">
      <c r="A49" s="163"/>
      <c r="B49" s="163"/>
      <c r="C49" s="163"/>
      <c r="D49" s="163"/>
      <c r="E49" s="163"/>
      <c r="F49" s="163"/>
      <c r="G49" s="350"/>
      <c r="H49" s="163"/>
      <c r="J49" s="355" t="s">
        <v>262</v>
      </c>
      <c r="K49" s="354">
        <f>+'Master Budget Sheet'!BA188</f>
        <v>1</v>
      </c>
      <c r="L49" s="353">
        <v>2000</v>
      </c>
      <c r="M49" s="352">
        <f>K49*L49</f>
        <v>2000</v>
      </c>
      <c r="N49" s="338"/>
    </row>
    <row r="50" spans="1:15" s="344" customFormat="1" ht="12">
      <c r="A50" s="163"/>
      <c r="B50" s="163"/>
      <c r="C50" s="163"/>
      <c r="D50" s="163"/>
      <c r="E50" s="163"/>
      <c r="F50" s="163"/>
      <c r="G50" s="350"/>
      <c r="H50" s="163"/>
      <c r="J50" s="355" t="s">
        <v>263</v>
      </c>
      <c r="K50" s="354">
        <f>+'Master Budget Sheet'!BA189</f>
        <v>1</v>
      </c>
      <c r="L50" s="353">
        <v>3500</v>
      </c>
      <c r="M50" s="352">
        <f>K50*L50</f>
        <v>3500</v>
      </c>
      <c r="N50" s="338"/>
    </row>
    <row r="51" spans="1:15" s="344" customFormat="1" ht="12">
      <c r="A51" s="163"/>
      <c r="B51" s="163"/>
      <c r="C51" s="163"/>
      <c r="D51" s="163"/>
      <c r="E51" s="163"/>
      <c r="F51" s="163"/>
      <c r="G51" s="350"/>
      <c r="H51" s="163"/>
      <c r="I51" s="343"/>
      <c r="J51" s="349"/>
      <c r="K51" s="351"/>
      <c r="L51" s="346" t="s">
        <v>264</v>
      </c>
      <c r="M51" s="345">
        <f>SUM(M49:M50)</f>
        <v>5500</v>
      </c>
      <c r="N51" s="338"/>
    </row>
    <row r="52" spans="1:15" s="344" customFormat="1" ht="13.8">
      <c r="A52" s="163"/>
      <c r="B52" s="163"/>
      <c r="C52" s="163"/>
      <c r="D52" s="163"/>
      <c r="E52" s="163"/>
      <c r="F52" s="163"/>
      <c r="G52" s="350"/>
      <c r="H52" s="163"/>
      <c r="I52" s="343"/>
      <c r="J52" s="349"/>
      <c r="K52" s="282" t="s">
        <v>366</v>
      </c>
      <c r="L52" s="346"/>
      <c r="M52" s="345"/>
      <c r="N52" s="270" t="s">
        <v>384</v>
      </c>
    </row>
    <row r="53" spans="1:15" s="344" customFormat="1" ht="12">
      <c r="A53" s="163"/>
      <c r="B53" s="163"/>
      <c r="C53" s="163"/>
      <c r="D53" s="163"/>
      <c r="E53" s="163"/>
      <c r="F53" s="163"/>
      <c r="G53" s="163"/>
      <c r="H53" s="163"/>
      <c r="I53" s="343"/>
      <c r="J53" s="348"/>
      <c r="K53" s="347"/>
      <c r="L53" s="346" t="s">
        <v>383</v>
      </c>
      <c r="M53" s="345">
        <f>M44+M51</f>
        <v>83373</v>
      </c>
      <c r="N53" s="338"/>
    </row>
    <row r="54" spans="1:15" ht="12.6" thickBot="1">
      <c r="A54" s="163"/>
      <c r="B54" s="163"/>
      <c r="C54" s="163"/>
      <c r="D54" s="163"/>
      <c r="E54" s="163"/>
      <c r="F54" s="163"/>
      <c r="G54" s="163"/>
      <c r="H54" s="163"/>
      <c r="I54" s="343"/>
      <c r="J54" s="342"/>
      <c r="K54" s="341"/>
      <c r="L54" s="340" t="s">
        <v>363</v>
      </c>
      <c r="M54" s="339">
        <f>IF(L44&gt;0, M53/L44,0)</f>
        <v>83373</v>
      </c>
      <c r="N54" s="338"/>
    </row>
    <row r="55" spans="1:15" ht="10.199999999999999" customHeight="1" thickBot="1">
      <c r="A55" s="163"/>
      <c r="I55" s="163"/>
      <c r="J55" s="163"/>
      <c r="K55" s="163"/>
      <c r="L55" s="163"/>
      <c r="M55" s="163"/>
    </row>
    <row r="56" spans="1:15" s="337" customFormat="1" ht="47.55" customHeight="1" thickBot="1">
      <c r="A56" s="1239" t="s">
        <v>382</v>
      </c>
      <c r="B56" s="1240"/>
      <c r="C56" s="1240"/>
      <c r="D56" s="1240"/>
      <c r="E56" s="1240"/>
      <c r="F56" s="1240"/>
      <c r="G56" s="1240"/>
      <c r="H56" s="1240"/>
      <c r="I56" s="1240"/>
      <c r="J56" s="1240"/>
      <c r="K56" s="1240"/>
      <c r="L56" s="1240"/>
      <c r="M56" s="1240"/>
      <c r="N56" s="1240"/>
      <c r="O56" s="1241"/>
    </row>
  </sheetData>
  <mergeCells count="4">
    <mergeCell ref="B3:F3"/>
    <mergeCell ref="B4:F4"/>
    <mergeCell ref="B5:F5"/>
    <mergeCell ref="A56:O56"/>
  </mergeCells>
  <pageMargins left="0.75" right="0.25" top="0" bottom="0" header="0.3" footer="0.3"/>
  <pageSetup scale="76"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2"/>
  <dimension ref="A1:AB12"/>
  <sheetViews>
    <sheetView workbookViewId="0">
      <selection activeCell="C4" sqref="C4"/>
    </sheetView>
  </sheetViews>
  <sheetFormatPr defaultRowHeight="13.2"/>
  <cols>
    <col min="1" max="1" width="4.5546875" style="2" customWidth="1"/>
    <col min="2" max="3" width="6.77734375" style="2" customWidth="1"/>
    <col min="4" max="4" width="3.21875" style="2" customWidth="1"/>
    <col min="5" max="5" width="4.21875" style="2" customWidth="1"/>
    <col min="6" max="6" width="5.44140625" style="2" customWidth="1"/>
    <col min="7" max="7" width="7.77734375" style="2" customWidth="1"/>
    <col min="8" max="8" width="5.21875" style="2" customWidth="1"/>
    <col min="9" max="9" width="7" style="2" customWidth="1"/>
    <col min="10" max="10" width="5.21875" style="2" customWidth="1"/>
    <col min="11" max="11" width="7" style="2" customWidth="1"/>
    <col min="12" max="12" width="4.21875" style="2" customWidth="1"/>
    <col min="13" max="13" width="6.77734375" style="2" customWidth="1"/>
    <col min="14" max="14" width="5.44140625" style="2" customWidth="1"/>
    <col min="15" max="15" width="7" style="2" customWidth="1"/>
    <col min="16" max="16" width="5.21875" style="2" customWidth="1"/>
    <col min="17" max="17" width="4.77734375" style="2" customWidth="1"/>
    <col min="18" max="18" width="5.77734375" style="2" customWidth="1"/>
    <col min="19" max="19" width="7.44140625" style="2" customWidth="1"/>
    <col min="20" max="20" width="4" style="2" customWidth="1"/>
    <col min="21" max="21" width="6.44140625" style="2" customWidth="1"/>
    <col min="22" max="22" width="5.77734375" style="2" customWidth="1"/>
    <col min="23" max="23" width="6.77734375" style="2" customWidth="1"/>
    <col min="24" max="24" width="4.21875" style="2" customWidth="1"/>
    <col min="25" max="25" width="7.21875" style="2" customWidth="1"/>
    <col min="26" max="256" width="8.77734375" style="2"/>
    <col min="257" max="257" width="4.5546875" style="2" customWidth="1"/>
    <col min="258" max="259" width="6.77734375" style="2" customWidth="1"/>
    <col min="260" max="260" width="3.21875" style="2" customWidth="1"/>
    <col min="261" max="261" width="4.21875" style="2" customWidth="1"/>
    <col min="262" max="262" width="5.44140625" style="2" customWidth="1"/>
    <col min="263" max="263" width="7.77734375" style="2" customWidth="1"/>
    <col min="264" max="264" width="5.21875" style="2" customWidth="1"/>
    <col min="265" max="265" width="7" style="2" customWidth="1"/>
    <col min="266" max="266" width="5.21875" style="2" customWidth="1"/>
    <col min="267" max="267" width="7" style="2" customWidth="1"/>
    <col min="268" max="268" width="4.21875" style="2" customWidth="1"/>
    <col min="269" max="269" width="6.77734375" style="2" customWidth="1"/>
    <col min="270" max="270" width="5.44140625" style="2" customWidth="1"/>
    <col min="271" max="271" width="7" style="2" customWidth="1"/>
    <col min="272" max="272" width="5.21875" style="2" customWidth="1"/>
    <col min="273" max="273" width="4.77734375" style="2" customWidth="1"/>
    <col min="274" max="274" width="5.77734375" style="2" customWidth="1"/>
    <col min="275" max="275" width="7.44140625" style="2" customWidth="1"/>
    <col min="276" max="276" width="4" style="2" customWidth="1"/>
    <col min="277" max="277" width="6.44140625" style="2" customWidth="1"/>
    <col min="278" max="278" width="5.77734375" style="2" customWidth="1"/>
    <col min="279" max="279" width="6.77734375" style="2" customWidth="1"/>
    <col min="280" max="280" width="4.21875" style="2" customWidth="1"/>
    <col min="281" max="281" width="7.21875" style="2" customWidth="1"/>
    <col min="282" max="512" width="8.77734375" style="2"/>
    <col min="513" max="513" width="4.5546875" style="2" customWidth="1"/>
    <col min="514" max="515" width="6.77734375" style="2" customWidth="1"/>
    <col min="516" max="516" width="3.21875" style="2" customWidth="1"/>
    <col min="517" max="517" width="4.21875" style="2" customWidth="1"/>
    <col min="518" max="518" width="5.44140625" style="2" customWidth="1"/>
    <col min="519" max="519" width="7.77734375" style="2" customWidth="1"/>
    <col min="520" max="520" width="5.21875" style="2" customWidth="1"/>
    <col min="521" max="521" width="7" style="2" customWidth="1"/>
    <col min="522" max="522" width="5.21875" style="2" customWidth="1"/>
    <col min="523" max="523" width="7" style="2" customWidth="1"/>
    <col min="524" max="524" width="4.21875" style="2" customWidth="1"/>
    <col min="525" max="525" width="6.77734375" style="2" customWidth="1"/>
    <col min="526" max="526" width="5.44140625" style="2" customWidth="1"/>
    <col min="527" max="527" width="7" style="2" customWidth="1"/>
    <col min="528" max="528" width="5.21875" style="2" customWidth="1"/>
    <col min="529" max="529" width="4.77734375" style="2" customWidth="1"/>
    <col min="530" max="530" width="5.77734375" style="2" customWidth="1"/>
    <col min="531" max="531" width="7.44140625" style="2" customWidth="1"/>
    <col min="532" max="532" width="4" style="2" customWidth="1"/>
    <col min="533" max="533" width="6.44140625" style="2" customWidth="1"/>
    <col min="534" max="534" width="5.77734375" style="2" customWidth="1"/>
    <col min="535" max="535" width="6.77734375" style="2" customWidth="1"/>
    <col min="536" max="536" width="4.21875" style="2" customWidth="1"/>
    <col min="537" max="537" width="7.21875" style="2" customWidth="1"/>
    <col min="538" max="768" width="8.77734375" style="2"/>
    <col min="769" max="769" width="4.5546875" style="2" customWidth="1"/>
    <col min="770" max="771" width="6.77734375" style="2" customWidth="1"/>
    <col min="772" max="772" width="3.21875" style="2" customWidth="1"/>
    <col min="773" max="773" width="4.21875" style="2" customWidth="1"/>
    <col min="774" max="774" width="5.44140625" style="2" customWidth="1"/>
    <col min="775" max="775" width="7.77734375" style="2" customWidth="1"/>
    <col min="776" max="776" width="5.21875" style="2" customWidth="1"/>
    <col min="777" max="777" width="7" style="2" customWidth="1"/>
    <col min="778" max="778" width="5.21875" style="2" customWidth="1"/>
    <col min="779" max="779" width="7" style="2" customWidth="1"/>
    <col min="780" max="780" width="4.21875" style="2" customWidth="1"/>
    <col min="781" max="781" width="6.77734375" style="2" customWidth="1"/>
    <col min="782" max="782" width="5.44140625" style="2" customWidth="1"/>
    <col min="783" max="783" width="7" style="2" customWidth="1"/>
    <col min="784" max="784" width="5.21875" style="2" customWidth="1"/>
    <col min="785" max="785" width="4.77734375" style="2" customWidth="1"/>
    <col min="786" max="786" width="5.77734375" style="2" customWidth="1"/>
    <col min="787" max="787" width="7.44140625" style="2" customWidth="1"/>
    <col min="788" max="788" width="4" style="2" customWidth="1"/>
    <col min="789" max="789" width="6.44140625" style="2" customWidth="1"/>
    <col min="790" max="790" width="5.77734375" style="2" customWidth="1"/>
    <col min="791" max="791" width="6.77734375" style="2" customWidth="1"/>
    <col min="792" max="792" width="4.21875" style="2" customWidth="1"/>
    <col min="793" max="793" width="7.21875" style="2" customWidth="1"/>
    <col min="794" max="1024" width="8.77734375" style="2"/>
    <col min="1025" max="1025" width="4.5546875" style="2" customWidth="1"/>
    <col min="1026" max="1027" width="6.77734375" style="2" customWidth="1"/>
    <col min="1028" max="1028" width="3.21875" style="2" customWidth="1"/>
    <col min="1029" max="1029" width="4.21875" style="2" customWidth="1"/>
    <col min="1030" max="1030" width="5.44140625" style="2" customWidth="1"/>
    <col min="1031" max="1031" width="7.77734375" style="2" customWidth="1"/>
    <col min="1032" max="1032" width="5.21875" style="2" customWidth="1"/>
    <col min="1033" max="1033" width="7" style="2" customWidth="1"/>
    <col min="1034" max="1034" width="5.21875" style="2" customWidth="1"/>
    <col min="1035" max="1035" width="7" style="2" customWidth="1"/>
    <col min="1036" max="1036" width="4.21875" style="2" customWidth="1"/>
    <col min="1037" max="1037" width="6.77734375" style="2" customWidth="1"/>
    <col min="1038" max="1038" width="5.44140625" style="2" customWidth="1"/>
    <col min="1039" max="1039" width="7" style="2" customWidth="1"/>
    <col min="1040" max="1040" width="5.21875" style="2" customWidth="1"/>
    <col min="1041" max="1041" width="4.77734375" style="2" customWidth="1"/>
    <col min="1042" max="1042" width="5.77734375" style="2" customWidth="1"/>
    <col min="1043" max="1043" width="7.44140625" style="2" customWidth="1"/>
    <col min="1044" max="1044" width="4" style="2" customWidth="1"/>
    <col min="1045" max="1045" width="6.44140625" style="2" customWidth="1"/>
    <col min="1046" max="1046" width="5.77734375" style="2" customWidth="1"/>
    <col min="1047" max="1047" width="6.77734375" style="2" customWidth="1"/>
    <col min="1048" max="1048" width="4.21875" style="2" customWidth="1"/>
    <col min="1049" max="1049" width="7.21875" style="2" customWidth="1"/>
    <col min="1050" max="1280" width="8.77734375" style="2"/>
    <col min="1281" max="1281" width="4.5546875" style="2" customWidth="1"/>
    <col min="1282" max="1283" width="6.77734375" style="2" customWidth="1"/>
    <col min="1284" max="1284" width="3.21875" style="2" customWidth="1"/>
    <col min="1285" max="1285" width="4.21875" style="2" customWidth="1"/>
    <col min="1286" max="1286" width="5.44140625" style="2" customWidth="1"/>
    <col min="1287" max="1287" width="7.77734375" style="2" customWidth="1"/>
    <col min="1288" max="1288" width="5.21875" style="2" customWidth="1"/>
    <col min="1289" max="1289" width="7" style="2" customWidth="1"/>
    <col min="1290" max="1290" width="5.21875" style="2" customWidth="1"/>
    <col min="1291" max="1291" width="7" style="2" customWidth="1"/>
    <col min="1292" max="1292" width="4.21875" style="2" customWidth="1"/>
    <col min="1293" max="1293" width="6.77734375" style="2" customWidth="1"/>
    <col min="1294" max="1294" width="5.44140625" style="2" customWidth="1"/>
    <col min="1295" max="1295" width="7" style="2" customWidth="1"/>
    <col min="1296" max="1296" width="5.21875" style="2" customWidth="1"/>
    <col min="1297" max="1297" width="4.77734375" style="2" customWidth="1"/>
    <col min="1298" max="1298" width="5.77734375" style="2" customWidth="1"/>
    <col min="1299" max="1299" width="7.44140625" style="2" customWidth="1"/>
    <col min="1300" max="1300" width="4" style="2" customWidth="1"/>
    <col min="1301" max="1301" width="6.44140625" style="2" customWidth="1"/>
    <col min="1302" max="1302" width="5.77734375" style="2" customWidth="1"/>
    <col min="1303" max="1303" width="6.77734375" style="2" customWidth="1"/>
    <col min="1304" max="1304" width="4.21875" style="2" customWidth="1"/>
    <col min="1305" max="1305" width="7.21875" style="2" customWidth="1"/>
    <col min="1306" max="1536" width="8.77734375" style="2"/>
    <col min="1537" max="1537" width="4.5546875" style="2" customWidth="1"/>
    <col min="1538" max="1539" width="6.77734375" style="2" customWidth="1"/>
    <col min="1540" max="1540" width="3.21875" style="2" customWidth="1"/>
    <col min="1541" max="1541" width="4.21875" style="2" customWidth="1"/>
    <col min="1542" max="1542" width="5.44140625" style="2" customWidth="1"/>
    <col min="1543" max="1543" width="7.77734375" style="2" customWidth="1"/>
    <col min="1544" max="1544" width="5.21875" style="2" customWidth="1"/>
    <col min="1545" max="1545" width="7" style="2" customWidth="1"/>
    <col min="1546" max="1546" width="5.21875" style="2" customWidth="1"/>
    <col min="1547" max="1547" width="7" style="2" customWidth="1"/>
    <col min="1548" max="1548" width="4.21875" style="2" customWidth="1"/>
    <col min="1549" max="1549" width="6.77734375" style="2" customWidth="1"/>
    <col min="1550" max="1550" width="5.44140625" style="2" customWidth="1"/>
    <col min="1551" max="1551" width="7" style="2" customWidth="1"/>
    <col min="1552" max="1552" width="5.21875" style="2" customWidth="1"/>
    <col min="1553" max="1553" width="4.77734375" style="2" customWidth="1"/>
    <col min="1554" max="1554" width="5.77734375" style="2" customWidth="1"/>
    <col min="1555" max="1555" width="7.44140625" style="2" customWidth="1"/>
    <col min="1556" max="1556" width="4" style="2" customWidth="1"/>
    <col min="1557" max="1557" width="6.44140625" style="2" customWidth="1"/>
    <col min="1558" max="1558" width="5.77734375" style="2" customWidth="1"/>
    <col min="1559" max="1559" width="6.77734375" style="2" customWidth="1"/>
    <col min="1560" max="1560" width="4.21875" style="2" customWidth="1"/>
    <col min="1561" max="1561" width="7.21875" style="2" customWidth="1"/>
    <col min="1562" max="1792" width="8.77734375" style="2"/>
    <col min="1793" max="1793" width="4.5546875" style="2" customWidth="1"/>
    <col min="1794" max="1795" width="6.77734375" style="2" customWidth="1"/>
    <col min="1796" max="1796" width="3.21875" style="2" customWidth="1"/>
    <col min="1797" max="1797" width="4.21875" style="2" customWidth="1"/>
    <col min="1798" max="1798" width="5.44140625" style="2" customWidth="1"/>
    <col min="1799" max="1799" width="7.77734375" style="2" customWidth="1"/>
    <col min="1800" max="1800" width="5.21875" style="2" customWidth="1"/>
    <col min="1801" max="1801" width="7" style="2" customWidth="1"/>
    <col min="1802" max="1802" width="5.21875" style="2" customWidth="1"/>
    <col min="1803" max="1803" width="7" style="2" customWidth="1"/>
    <col min="1804" max="1804" width="4.21875" style="2" customWidth="1"/>
    <col min="1805" max="1805" width="6.77734375" style="2" customWidth="1"/>
    <col min="1806" max="1806" width="5.44140625" style="2" customWidth="1"/>
    <col min="1807" max="1807" width="7" style="2" customWidth="1"/>
    <col min="1808" max="1808" width="5.21875" style="2" customWidth="1"/>
    <col min="1809" max="1809" width="4.77734375" style="2" customWidth="1"/>
    <col min="1810" max="1810" width="5.77734375" style="2" customWidth="1"/>
    <col min="1811" max="1811" width="7.44140625" style="2" customWidth="1"/>
    <col min="1812" max="1812" width="4" style="2" customWidth="1"/>
    <col min="1813" max="1813" width="6.44140625" style="2" customWidth="1"/>
    <col min="1814" max="1814" width="5.77734375" style="2" customWidth="1"/>
    <col min="1815" max="1815" width="6.77734375" style="2" customWidth="1"/>
    <col min="1816" max="1816" width="4.21875" style="2" customWidth="1"/>
    <col min="1817" max="1817" width="7.21875" style="2" customWidth="1"/>
    <col min="1818" max="2048" width="8.77734375" style="2"/>
    <col min="2049" max="2049" width="4.5546875" style="2" customWidth="1"/>
    <col min="2050" max="2051" width="6.77734375" style="2" customWidth="1"/>
    <col min="2052" max="2052" width="3.21875" style="2" customWidth="1"/>
    <col min="2053" max="2053" width="4.21875" style="2" customWidth="1"/>
    <col min="2054" max="2054" width="5.44140625" style="2" customWidth="1"/>
    <col min="2055" max="2055" width="7.77734375" style="2" customWidth="1"/>
    <col min="2056" max="2056" width="5.21875" style="2" customWidth="1"/>
    <col min="2057" max="2057" width="7" style="2" customWidth="1"/>
    <col min="2058" max="2058" width="5.21875" style="2" customWidth="1"/>
    <col min="2059" max="2059" width="7" style="2" customWidth="1"/>
    <col min="2060" max="2060" width="4.21875" style="2" customWidth="1"/>
    <col min="2061" max="2061" width="6.77734375" style="2" customWidth="1"/>
    <col min="2062" max="2062" width="5.44140625" style="2" customWidth="1"/>
    <col min="2063" max="2063" width="7" style="2" customWidth="1"/>
    <col min="2064" max="2064" width="5.21875" style="2" customWidth="1"/>
    <col min="2065" max="2065" width="4.77734375" style="2" customWidth="1"/>
    <col min="2066" max="2066" width="5.77734375" style="2" customWidth="1"/>
    <col min="2067" max="2067" width="7.44140625" style="2" customWidth="1"/>
    <col min="2068" max="2068" width="4" style="2" customWidth="1"/>
    <col min="2069" max="2069" width="6.44140625" style="2" customWidth="1"/>
    <col min="2070" max="2070" width="5.77734375" style="2" customWidth="1"/>
    <col min="2071" max="2071" width="6.77734375" style="2" customWidth="1"/>
    <col min="2072" max="2072" width="4.21875" style="2" customWidth="1"/>
    <col min="2073" max="2073" width="7.21875" style="2" customWidth="1"/>
    <col min="2074" max="2304" width="8.77734375" style="2"/>
    <col min="2305" max="2305" width="4.5546875" style="2" customWidth="1"/>
    <col min="2306" max="2307" width="6.77734375" style="2" customWidth="1"/>
    <col min="2308" max="2308" width="3.21875" style="2" customWidth="1"/>
    <col min="2309" max="2309" width="4.21875" style="2" customWidth="1"/>
    <col min="2310" max="2310" width="5.44140625" style="2" customWidth="1"/>
    <col min="2311" max="2311" width="7.77734375" style="2" customWidth="1"/>
    <col min="2312" max="2312" width="5.21875" style="2" customWidth="1"/>
    <col min="2313" max="2313" width="7" style="2" customWidth="1"/>
    <col min="2314" max="2314" width="5.21875" style="2" customWidth="1"/>
    <col min="2315" max="2315" width="7" style="2" customWidth="1"/>
    <col min="2316" max="2316" width="4.21875" style="2" customWidth="1"/>
    <col min="2317" max="2317" width="6.77734375" style="2" customWidth="1"/>
    <col min="2318" max="2318" width="5.44140625" style="2" customWidth="1"/>
    <col min="2319" max="2319" width="7" style="2" customWidth="1"/>
    <col min="2320" max="2320" width="5.21875" style="2" customWidth="1"/>
    <col min="2321" max="2321" width="4.77734375" style="2" customWidth="1"/>
    <col min="2322" max="2322" width="5.77734375" style="2" customWidth="1"/>
    <col min="2323" max="2323" width="7.44140625" style="2" customWidth="1"/>
    <col min="2324" max="2324" width="4" style="2" customWidth="1"/>
    <col min="2325" max="2325" width="6.44140625" style="2" customWidth="1"/>
    <col min="2326" max="2326" width="5.77734375" style="2" customWidth="1"/>
    <col min="2327" max="2327" width="6.77734375" style="2" customWidth="1"/>
    <col min="2328" max="2328" width="4.21875" style="2" customWidth="1"/>
    <col min="2329" max="2329" width="7.21875" style="2" customWidth="1"/>
    <col min="2330" max="2560" width="8.77734375" style="2"/>
    <col min="2561" max="2561" width="4.5546875" style="2" customWidth="1"/>
    <col min="2562" max="2563" width="6.77734375" style="2" customWidth="1"/>
    <col min="2564" max="2564" width="3.21875" style="2" customWidth="1"/>
    <col min="2565" max="2565" width="4.21875" style="2" customWidth="1"/>
    <col min="2566" max="2566" width="5.44140625" style="2" customWidth="1"/>
    <col min="2567" max="2567" width="7.77734375" style="2" customWidth="1"/>
    <col min="2568" max="2568" width="5.21875" style="2" customWidth="1"/>
    <col min="2569" max="2569" width="7" style="2" customWidth="1"/>
    <col min="2570" max="2570" width="5.21875" style="2" customWidth="1"/>
    <col min="2571" max="2571" width="7" style="2" customWidth="1"/>
    <col min="2572" max="2572" width="4.21875" style="2" customWidth="1"/>
    <col min="2573" max="2573" width="6.77734375" style="2" customWidth="1"/>
    <col min="2574" max="2574" width="5.44140625" style="2" customWidth="1"/>
    <col min="2575" max="2575" width="7" style="2" customWidth="1"/>
    <col min="2576" max="2576" width="5.21875" style="2" customWidth="1"/>
    <col min="2577" max="2577" width="4.77734375" style="2" customWidth="1"/>
    <col min="2578" max="2578" width="5.77734375" style="2" customWidth="1"/>
    <col min="2579" max="2579" width="7.44140625" style="2" customWidth="1"/>
    <col min="2580" max="2580" width="4" style="2" customWidth="1"/>
    <col min="2581" max="2581" width="6.44140625" style="2" customWidth="1"/>
    <col min="2582" max="2582" width="5.77734375" style="2" customWidth="1"/>
    <col min="2583" max="2583" width="6.77734375" style="2" customWidth="1"/>
    <col min="2584" max="2584" width="4.21875" style="2" customWidth="1"/>
    <col min="2585" max="2585" width="7.21875" style="2" customWidth="1"/>
    <col min="2586" max="2816" width="8.77734375" style="2"/>
    <col min="2817" max="2817" width="4.5546875" style="2" customWidth="1"/>
    <col min="2818" max="2819" width="6.77734375" style="2" customWidth="1"/>
    <col min="2820" max="2820" width="3.21875" style="2" customWidth="1"/>
    <col min="2821" max="2821" width="4.21875" style="2" customWidth="1"/>
    <col min="2822" max="2822" width="5.44140625" style="2" customWidth="1"/>
    <col min="2823" max="2823" width="7.77734375" style="2" customWidth="1"/>
    <col min="2824" max="2824" width="5.21875" style="2" customWidth="1"/>
    <col min="2825" max="2825" width="7" style="2" customWidth="1"/>
    <col min="2826" max="2826" width="5.21875" style="2" customWidth="1"/>
    <col min="2827" max="2827" width="7" style="2" customWidth="1"/>
    <col min="2828" max="2828" width="4.21875" style="2" customWidth="1"/>
    <col min="2829" max="2829" width="6.77734375" style="2" customWidth="1"/>
    <col min="2830" max="2830" width="5.44140625" style="2" customWidth="1"/>
    <col min="2831" max="2831" width="7" style="2" customWidth="1"/>
    <col min="2832" max="2832" width="5.21875" style="2" customWidth="1"/>
    <col min="2833" max="2833" width="4.77734375" style="2" customWidth="1"/>
    <col min="2834" max="2834" width="5.77734375" style="2" customWidth="1"/>
    <col min="2835" max="2835" width="7.44140625" style="2" customWidth="1"/>
    <col min="2836" max="2836" width="4" style="2" customWidth="1"/>
    <col min="2837" max="2837" width="6.44140625" style="2" customWidth="1"/>
    <col min="2838" max="2838" width="5.77734375" style="2" customWidth="1"/>
    <col min="2839" max="2839" width="6.77734375" style="2" customWidth="1"/>
    <col min="2840" max="2840" width="4.21875" style="2" customWidth="1"/>
    <col min="2841" max="2841" width="7.21875" style="2" customWidth="1"/>
    <col min="2842" max="3072" width="8.77734375" style="2"/>
    <col min="3073" max="3073" width="4.5546875" style="2" customWidth="1"/>
    <col min="3074" max="3075" width="6.77734375" style="2" customWidth="1"/>
    <col min="3076" max="3076" width="3.21875" style="2" customWidth="1"/>
    <col min="3077" max="3077" width="4.21875" style="2" customWidth="1"/>
    <col min="3078" max="3078" width="5.44140625" style="2" customWidth="1"/>
    <col min="3079" max="3079" width="7.77734375" style="2" customWidth="1"/>
    <col min="3080" max="3080" width="5.21875" style="2" customWidth="1"/>
    <col min="3081" max="3081" width="7" style="2" customWidth="1"/>
    <col min="3082" max="3082" width="5.21875" style="2" customWidth="1"/>
    <col min="3083" max="3083" width="7" style="2" customWidth="1"/>
    <col min="3084" max="3084" width="4.21875" style="2" customWidth="1"/>
    <col min="3085" max="3085" width="6.77734375" style="2" customWidth="1"/>
    <col min="3086" max="3086" width="5.44140625" style="2" customWidth="1"/>
    <col min="3087" max="3087" width="7" style="2" customWidth="1"/>
    <col min="3088" max="3088" width="5.21875" style="2" customWidth="1"/>
    <col min="3089" max="3089" width="4.77734375" style="2" customWidth="1"/>
    <col min="3090" max="3090" width="5.77734375" style="2" customWidth="1"/>
    <col min="3091" max="3091" width="7.44140625" style="2" customWidth="1"/>
    <col min="3092" max="3092" width="4" style="2" customWidth="1"/>
    <col min="3093" max="3093" width="6.44140625" style="2" customWidth="1"/>
    <col min="3094" max="3094" width="5.77734375" style="2" customWidth="1"/>
    <col min="3095" max="3095" width="6.77734375" style="2" customWidth="1"/>
    <col min="3096" max="3096" width="4.21875" style="2" customWidth="1"/>
    <col min="3097" max="3097" width="7.21875" style="2" customWidth="1"/>
    <col min="3098" max="3328" width="8.77734375" style="2"/>
    <col min="3329" max="3329" width="4.5546875" style="2" customWidth="1"/>
    <col min="3330" max="3331" width="6.77734375" style="2" customWidth="1"/>
    <col min="3332" max="3332" width="3.21875" style="2" customWidth="1"/>
    <col min="3333" max="3333" width="4.21875" style="2" customWidth="1"/>
    <col min="3334" max="3334" width="5.44140625" style="2" customWidth="1"/>
    <col min="3335" max="3335" width="7.77734375" style="2" customWidth="1"/>
    <col min="3336" max="3336" width="5.21875" style="2" customWidth="1"/>
    <col min="3337" max="3337" width="7" style="2" customWidth="1"/>
    <col min="3338" max="3338" width="5.21875" style="2" customWidth="1"/>
    <col min="3339" max="3339" width="7" style="2" customWidth="1"/>
    <col min="3340" max="3340" width="4.21875" style="2" customWidth="1"/>
    <col min="3341" max="3341" width="6.77734375" style="2" customWidth="1"/>
    <col min="3342" max="3342" width="5.44140625" style="2" customWidth="1"/>
    <col min="3343" max="3343" width="7" style="2" customWidth="1"/>
    <col min="3344" max="3344" width="5.21875" style="2" customWidth="1"/>
    <col min="3345" max="3345" width="4.77734375" style="2" customWidth="1"/>
    <col min="3346" max="3346" width="5.77734375" style="2" customWidth="1"/>
    <col min="3347" max="3347" width="7.44140625" style="2" customWidth="1"/>
    <col min="3348" max="3348" width="4" style="2" customWidth="1"/>
    <col min="3349" max="3349" width="6.44140625" style="2" customWidth="1"/>
    <col min="3350" max="3350" width="5.77734375" style="2" customWidth="1"/>
    <col min="3351" max="3351" width="6.77734375" style="2" customWidth="1"/>
    <col min="3352" max="3352" width="4.21875" style="2" customWidth="1"/>
    <col min="3353" max="3353" width="7.21875" style="2" customWidth="1"/>
    <col min="3354" max="3584" width="8.77734375" style="2"/>
    <col min="3585" max="3585" width="4.5546875" style="2" customWidth="1"/>
    <col min="3586" max="3587" width="6.77734375" style="2" customWidth="1"/>
    <col min="3588" max="3588" width="3.21875" style="2" customWidth="1"/>
    <col min="3589" max="3589" width="4.21875" style="2" customWidth="1"/>
    <col min="3590" max="3590" width="5.44140625" style="2" customWidth="1"/>
    <col min="3591" max="3591" width="7.77734375" style="2" customWidth="1"/>
    <col min="3592" max="3592" width="5.21875" style="2" customWidth="1"/>
    <col min="3593" max="3593" width="7" style="2" customWidth="1"/>
    <col min="3594" max="3594" width="5.21875" style="2" customWidth="1"/>
    <col min="3595" max="3595" width="7" style="2" customWidth="1"/>
    <col min="3596" max="3596" width="4.21875" style="2" customWidth="1"/>
    <col min="3597" max="3597" width="6.77734375" style="2" customWidth="1"/>
    <col min="3598" max="3598" width="5.44140625" style="2" customWidth="1"/>
    <col min="3599" max="3599" width="7" style="2" customWidth="1"/>
    <col min="3600" max="3600" width="5.21875" style="2" customWidth="1"/>
    <col min="3601" max="3601" width="4.77734375" style="2" customWidth="1"/>
    <col min="3602" max="3602" width="5.77734375" style="2" customWidth="1"/>
    <col min="3603" max="3603" width="7.44140625" style="2" customWidth="1"/>
    <col min="3604" max="3604" width="4" style="2" customWidth="1"/>
    <col min="3605" max="3605" width="6.44140625" style="2" customWidth="1"/>
    <col min="3606" max="3606" width="5.77734375" style="2" customWidth="1"/>
    <col min="3607" max="3607" width="6.77734375" style="2" customWidth="1"/>
    <col min="3608" max="3608" width="4.21875" style="2" customWidth="1"/>
    <col min="3609" max="3609" width="7.21875" style="2" customWidth="1"/>
    <col min="3610" max="3840" width="8.77734375" style="2"/>
    <col min="3841" max="3841" width="4.5546875" style="2" customWidth="1"/>
    <col min="3842" max="3843" width="6.77734375" style="2" customWidth="1"/>
    <col min="3844" max="3844" width="3.21875" style="2" customWidth="1"/>
    <col min="3845" max="3845" width="4.21875" style="2" customWidth="1"/>
    <col min="3846" max="3846" width="5.44140625" style="2" customWidth="1"/>
    <col min="3847" max="3847" width="7.77734375" style="2" customWidth="1"/>
    <col min="3848" max="3848" width="5.21875" style="2" customWidth="1"/>
    <col min="3849" max="3849" width="7" style="2" customWidth="1"/>
    <col min="3850" max="3850" width="5.21875" style="2" customWidth="1"/>
    <col min="3851" max="3851" width="7" style="2" customWidth="1"/>
    <col min="3852" max="3852" width="4.21875" style="2" customWidth="1"/>
    <col min="3853" max="3853" width="6.77734375" style="2" customWidth="1"/>
    <col min="3854" max="3854" width="5.44140625" style="2" customWidth="1"/>
    <col min="3855" max="3855" width="7" style="2" customWidth="1"/>
    <col min="3856" max="3856" width="5.21875" style="2" customWidth="1"/>
    <col min="3857" max="3857" width="4.77734375" style="2" customWidth="1"/>
    <col min="3858" max="3858" width="5.77734375" style="2" customWidth="1"/>
    <col min="3859" max="3859" width="7.44140625" style="2" customWidth="1"/>
    <col min="3860" max="3860" width="4" style="2" customWidth="1"/>
    <col min="3861" max="3861" width="6.44140625" style="2" customWidth="1"/>
    <col min="3862" max="3862" width="5.77734375" style="2" customWidth="1"/>
    <col min="3863" max="3863" width="6.77734375" style="2" customWidth="1"/>
    <col min="3864" max="3864" width="4.21875" style="2" customWidth="1"/>
    <col min="3865" max="3865" width="7.21875" style="2" customWidth="1"/>
    <col min="3866" max="4096" width="8.77734375" style="2"/>
    <col min="4097" max="4097" width="4.5546875" style="2" customWidth="1"/>
    <col min="4098" max="4099" width="6.77734375" style="2" customWidth="1"/>
    <col min="4100" max="4100" width="3.21875" style="2" customWidth="1"/>
    <col min="4101" max="4101" width="4.21875" style="2" customWidth="1"/>
    <col min="4102" max="4102" width="5.44140625" style="2" customWidth="1"/>
    <col min="4103" max="4103" width="7.77734375" style="2" customWidth="1"/>
    <col min="4104" max="4104" width="5.21875" style="2" customWidth="1"/>
    <col min="4105" max="4105" width="7" style="2" customWidth="1"/>
    <col min="4106" max="4106" width="5.21875" style="2" customWidth="1"/>
    <col min="4107" max="4107" width="7" style="2" customWidth="1"/>
    <col min="4108" max="4108" width="4.21875" style="2" customWidth="1"/>
    <col min="4109" max="4109" width="6.77734375" style="2" customWidth="1"/>
    <col min="4110" max="4110" width="5.44140625" style="2" customWidth="1"/>
    <col min="4111" max="4111" width="7" style="2" customWidth="1"/>
    <col min="4112" max="4112" width="5.21875" style="2" customWidth="1"/>
    <col min="4113" max="4113" width="4.77734375" style="2" customWidth="1"/>
    <col min="4114" max="4114" width="5.77734375" style="2" customWidth="1"/>
    <col min="4115" max="4115" width="7.44140625" style="2" customWidth="1"/>
    <col min="4116" max="4116" width="4" style="2" customWidth="1"/>
    <col min="4117" max="4117" width="6.44140625" style="2" customWidth="1"/>
    <col min="4118" max="4118" width="5.77734375" style="2" customWidth="1"/>
    <col min="4119" max="4119" width="6.77734375" style="2" customWidth="1"/>
    <col min="4120" max="4120" width="4.21875" style="2" customWidth="1"/>
    <col min="4121" max="4121" width="7.21875" style="2" customWidth="1"/>
    <col min="4122" max="4352" width="8.77734375" style="2"/>
    <col min="4353" max="4353" width="4.5546875" style="2" customWidth="1"/>
    <col min="4354" max="4355" width="6.77734375" style="2" customWidth="1"/>
    <col min="4356" max="4356" width="3.21875" style="2" customWidth="1"/>
    <col min="4357" max="4357" width="4.21875" style="2" customWidth="1"/>
    <col min="4358" max="4358" width="5.44140625" style="2" customWidth="1"/>
    <col min="4359" max="4359" width="7.77734375" style="2" customWidth="1"/>
    <col min="4360" max="4360" width="5.21875" style="2" customWidth="1"/>
    <col min="4361" max="4361" width="7" style="2" customWidth="1"/>
    <col min="4362" max="4362" width="5.21875" style="2" customWidth="1"/>
    <col min="4363" max="4363" width="7" style="2" customWidth="1"/>
    <col min="4364" max="4364" width="4.21875" style="2" customWidth="1"/>
    <col min="4365" max="4365" width="6.77734375" style="2" customWidth="1"/>
    <col min="4366" max="4366" width="5.44140625" style="2" customWidth="1"/>
    <col min="4367" max="4367" width="7" style="2" customWidth="1"/>
    <col min="4368" max="4368" width="5.21875" style="2" customWidth="1"/>
    <col min="4369" max="4369" width="4.77734375" style="2" customWidth="1"/>
    <col min="4370" max="4370" width="5.77734375" style="2" customWidth="1"/>
    <col min="4371" max="4371" width="7.44140625" style="2" customWidth="1"/>
    <col min="4372" max="4372" width="4" style="2" customWidth="1"/>
    <col min="4373" max="4373" width="6.44140625" style="2" customWidth="1"/>
    <col min="4374" max="4374" width="5.77734375" style="2" customWidth="1"/>
    <col min="4375" max="4375" width="6.77734375" style="2" customWidth="1"/>
    <col min="4376" max="4376" width="4.21875" style="2" customWidth="1"/>
    <col min="4377" max="4377" width="7.21875" style="2" customWidth="1"/>
    <col min="4378" max="4608" width="8.77734375" style="2"/>
    <col min="4609" max="4609" width="4.5546875" style="2" customWidth="1"/>
    <col min="4610" max="4611" width="6.77734375" style="2" customWidth="1"/>
    <col min="4612" max="4612" width="3.21875" style="2" customWidth="1"/>
    <col min="4613" max="4613" width="4.21875" style="2" customWidth="1"/>
    <col min="4614" max="4614" width="5.44140625" style="2" customWidth="1"/>
    <col min="4615" max="4615" width="7.77734375" style="2" customWidth="1"/>
    <col min="4616" max="4616" width="5.21875" style="2" customWidth="1"/>
    <col min="4617" max="4617" width="7" style="2" customWidth="1"/>
    <col min="4618" max="4618" width="5.21875" style="2" customWidth="1"/>
    <col min="4619" max="4619" width="7" style="2" customWidth="1"/>
    <col min="4620" max="4620" width="4.21875" style="2" customWidth="1"/>
    <col min="4621" max="4621" width="6.77734375" style="2" customWidth="1"/>
    <col min="4622" max="4622" width="5.44140625" style="2" customWidth="1"/>
    <col min="4623" max="4623" width="7" style="2" customWidth="1"/>
    <col min="4624" max="4624" width="5.21875" style="2" customWidth="1"/>
    <col min="4625" max="4625" width="4.77734375" style="2" customWidth="1"/>
    <col min="4626" max="4626" width="5.77734375" style="2" customWidth="1"/>
    <col min="4627" max="4627" width="7.44140625" style="2" customWidth="1"/>
    <col min="4628" max="4628" width="4" style="2" customWidth="1"/>
    <col min="4629" max="4629" width="6.44140625" style="2" customWidth="1"/>
    <col min="4630" max="4630" width="5.77734375" style="2" customWidth="1"/>
    <col min="4631" max="4631" width="6.77734375" style="2" customWidth="1"/>
    <col min="4632" max="4632" width="4.21875" style="2" customWidth="1"/>
    <col min="4633" max="4633" width="7.21875" style="2" customWidth="1"/>
    <col min="4634" max="4864" width="8.77734375" style="2"/>
    <col min="4865" max="4865" width="4.5546875" style="2" customWidth="1"/>
    <col min="4866" max="4867" width="6.77734375" style="2" customWidth="1"/>
    <col min="4868" max="4868" width="3.21875" style="2" customWidth="1"/>
    <col min="4869" max="4869" width="4.21875" style="2" customWidth="1"/>
    <col min="4870" max="4870" width="5.44140625" style="2" customWidth="1"/>
    <col min="4871" max="4871" width="7.77734375" style="2" customWidth="1"/>
    <col min="4872" max="4872" width="5.21875" style="2" customWidth="1"/>
    <col min="4873" max="4873" width="7" style="2" customWidth="1"/>
    <col min="4874" max="4874" width="5.21875" style="2" customWidth="1"/>
    <col min="4875" max="4875" width="7" style="2" customWidth="1"/>
    <col min="4876" max="4876" width="4.21875" style="2" customWidth="1"/>
    <col min="4877" max="4877" width="6.77734375" style="2" customWidth="1"/>
    <col min="4878" max="4878" width="5.44140625" style="2" customWidth="1"/>
    <col min="4879" max="4879" width="7" style="2" customWidth="1"/>
    <col min="4880" max="4880" width="5.21875" style="2" customWidth="1"/>
    <col min="4881" max="4881" width="4.77734375" style="2" customWidth="1"/>
    <col min="4882" max="4882" width="5.77734375" style="2" customWidth="1"/>
    <col min="4883" max="4883" width="7.44140625" style="2" customWidth="1"/>
    <col min="4884" max="4884" width="4" style="2" customWidth="1"/>
    <col min="4885" max="4885" width="6.44140625" style="2" customWidth="1"/>
    <col min="4886" max="4886" width="5.77734375" style="2" customWidth="1"/>
    <col min="4887" max="4887" width="6.77734375" style="2" customWidth="1"/>
    <col min="4888" max="4888" width="4.21875" style="2" customWidth="1"/>
    <col min="4889" max="4889" width="7.21875" style="2" customWidth="1"/>
    <col min="4890" max="5120" width="8.77734375" style="2"/>
    <col min="5121" max="5121" width="4.5546875" style="2" customWidth="1"/>
    <col min="5122" max="5123" width="6.77734375" style="2" customWidth="1"/>
    <col min="5124" max="5124" width="3.21875" style="2" customWidth="1"/>
    <col min="5125" max="5125" width="4.21875" style="2" customWidth="1"/>
    <col min="5126" max="5126" width="5.44140625" style="2" customWidth="1"/>
    <col min="5127" max="5127" width="7.77734375" style="2" customWidth="1"/>
    <col min="5128" max="5128" width="5.21875" style="2" customWidth="1"/>
    <col min="5129" max="5129" width="7" style="2" customWidth="1"/>
    <col min="5130" max="5130" width="5.21875" style="2" customWidth="1"/>
    <col min="5131" max="5131" width="7" style="2" customWidth="1"/>
    <col min="5132" max="5132" width="4.21875" style="2" customWidth="1"/>
    <col min="5133" max="5133" width="6.77734375" style="2" customWidth="1"/>
    <col min="5134" max="5134" width="5.44140625" style="2" customWidth="1"/>
    <col min="5135" max="5135" width="7" style="2" customWidth="1"/>
    <col min="5136" max="5136" width="5.21875" style="2" customWidth="1"/>
    <col min="5137" max="5137" width="4.77734375" style="2" customWidth="1"/>
    <col min="5138" max="5138" width="5.77734375" style="2" customWidth="1"/>
    <col min="5139" max="5139" width="7.44140625" style="2" customWidth="1"/>
    <col min="5140" max="5140" width="4" style="2" customWidth="1"/>
    <col min="5141" max="5141" width="6.44140625" style="2" customWidth="1"/>
    <col min="5142" max="5142" width="5.77734375" style="2" customWidth="1"/>
    <col min="5143" max="5143" width="6.77734375" style="2" customWidth="1"/>
    <col min="5144" max="5144" width="4.21875" style="2" customWidth="1"/>
    <col min="5145" max="5145" width="7.21875" style="2" customWidth="1"/>
    <col min="5146" max="5376" width="8.77734375" style="2"/>
    <col min="5377" max="5377" width="4.5546875" style="2" customWidth="1"/>
    <col min="5378" max="5379" width="6.77734375" style="2" customWidth="1"/>
    <col min="5380" max="5380" width="3.21875" style="2" customWidth="1"/>
    <col min="5381" max="5381" width="4.21875" style="2" customWidth="1"/>
    <col min="5382" max="5382" width="5.44140625" style="2" customWidth="1"/>
    <col min="5383" max="5383" width="7.77734375" style="2" customWidth="1"/>
    <col min="5384" max="5384" width="5.21875" style="2" customWidth="1"/>
    <col min="5385" max="5385" width="7" style="2" customWidth="1"/>
    <col min="5386" max="5386" width="5.21875" style="2" customWidth="1"/>
    <col min="5387" max="5387" width="7" style="2" customWidth="1"/>
    <col min="5388" max="5388" width="4.21875" style="2" customWidth="1"/>
    <col min="5389" max="5389" width="6.77734375" style="2" customWidth="1"/>
    <col min="5390" max="5390" width="5.44140625" style="2" customWidth="1"/>
    <col min="5391" max="5391" width="7" style="2" customWidth="1"/>
    <col min="5392" max="5392" width="5.21875" style="2" customWidth="1"/>
    <col min="5393" max="5393" width="4.77734375" style="2" customWidth="1"/>
    <col min="5394" max="5394" width="5.77734375" style="2" customWidth="1"/>
    <col min="5395" max="5395" width="7.44140625" style="2" customWidth="1"/>
    <col min="5396" max="5396" width="4" style="2" customWidth="1"/>
    <col min="5397" max="5397" width="6.44140625" style="2" customWidth="1"/>
    <col min="5398" max="5398" width="5.77734375" style="2" customWidth="1"/>
    <col min="5399" max="5399" width="6.77734375" style="2" customWidth="1"/>
    <col min="5400" max="5400" width="4.21875" style="2" customWidth="1"/>
    <col min="5401" max="5401" width="7.21875" style="2" customWidth="1"/>
    <col min="5402" max="5632" width="8.77734375" style="2"/>
    <col min="5633" max="5633" width="4.5546875" style="2" customWidth="1"/>
    <col min="5634" max="5635" width="6.77734375" style="2" customWidth="1"/>
    <col min="5636" max="5636" width="3.21875" style="2" customWidth="1"/>
    <col min="5637" max="5637" width="4.21875" style="2" customWidth="1"/>
    <col min="5638" max="5638" width="5.44140625" style="2" customWidth="1"/>
    <col min="5639" max="5639" width="7.77734375" style="2" customWidth="1"/>
    <col min="5640" max="5640" width="5.21875" style="2" customWidth="1"/>
    <col min="5641" max="5641" width="7" style="2" customWidth="1"/>
    <col min="5642" max="5642" width="5.21875" style="2" customWidth="1"/>
    <col min="5643" max="5643" width="7" style="2" customWidth="1"/>
    <col min="5644" max="5644" width="4.21875" style="2" customWidth="1"/>
    <col min="5645" max="5645" width="6.77734375" style="2" customWidth="1"/>
    <col min="5646" max="5646" width="5.44140625" style="2" customWidth="1"/>
    <col min="5647" max="5647" width="7" style="2" customWidth="1"/>
    <col min="5648" max="5648" width="5.21875" style="2" customWidth="1"/>
    <col min="5649" max="5649" width="4.77734375" style="2" customWidth="1"/>
    <col min="5650" max="5650" width="5.77734375" style="2" customWidth="1"/>
    <col min="5651" max="5651" width="7.44140625" style="2" customWidth="1"/>
    <col min="5652" max="5652" width="4" style="2" customWidth="1"/>
    <col min="5653" max="5653" width="6.44140625" style="2" customWidth="1"/>
    <col min="5654" max="5654" width="5.77734375" style="2" customWidth="1"/>
    <col min="5655" max="5655" width="6.77734375" style="2" customWidth="1"/>
    <col min="5656" max="5656" width="4.21875" style="2" customWidth="1"/>
    <col min="5657" max="5657" width="7.21875" style="2" customWidth="1"/>
    <col min="5658" max="5888" width="8.77734375" style="2"/>
    <col min="5889" max="5889" width="4.5546875" style="2" customWidth="1"/>
    <col min="5890" max="5891" width="6.77734375" style="2" customWidth="1"/>
    <col min="5892" max="5892" width="3.21875" style="2" customWidth="1"/>
    <col min="5893" max="5893" width="4.21875" style="2" customWidth="1"/>
    <col min="5894" max="5894" width="5.44140625" style="2" customWidth="1"/>
    <col min="5895" max="5895" width="7.77734375" style="2" customWidth="1"/>
    <col min="5896" max="5896" width="5.21875" style="2" customWidth="1"/>
    <col min="5897" max="5897" width="7" style="2" customWidth="1"/>
    <col min="5898" max="5898" width="5.21875" style="2" customWidth="1"/>
    <col min="5899" max="5899" width="7" style="2" customWidth="1"/>
    <col min="5900" max="5900" width="4.21875" style="2" customWidth="1"/>
    <col min="5901" max="5901" width="6.77734375" style="2" customWidth="1"/>
    <col min="5902" max="5902" width="5.44140625" style="2" customWidth="1"/>
    <col min="5903" max="5903" width="7" style="2" customWidth="1"/>
    <col min="5904" max="5904" width="5.21875" style="2" customWidth="1"/>
    <col min="5905" max="5905" width="4.77734375" style="2" customWidth="1"/>
    <col min="5906" max="5906" width="5.77734375" style="2" customWidth="1"/>
    <col min="5907" max="5907" width="7.44140625" style="2" customWidth="1"/>
    <col min="5908" max="5908" width="4" style="2" customWidth="1"/>
    <col min="5909" max="5909" width="6.44140625" style="2" customWidth="1"/>
    <col min="5910" max="5910" width="5.77734375" style="2" customWidth="1"/>
    <col min="5911" max="5911" width="6.77734375" style="2" customWidth="1"/>
    <col min="5912" max="5912" width="4.21875" style="2" customWidth="1"/>
    <col min="5913" max="5913" width="7.21875" style="2" customWidth="1"/>
    <col min="5914" max="6144" width="8.77734375" style="2"/>
    <col min="6145" max="6145" width="4.5546875" style="2" customWidth="1"/>
    <col min="6146" max="6147" width="6.77734375" style="2" customWidth="1"/>
    <col min="6148" max="6148" width="3.21875" style="2" customWidth="1"/>
    <col min="6149" max="6149" width="4.21875" style="2" customWidth="1"/>
    <col min="6150" max="6150" width="5.44140625" style="2" customWidth="1"/>
    <col min="6151" max="6151" width="7.77734375" style="2" customWidth="1"/>
    <col min="6152" max="6152" width="5.21875" style="2" customWidth="1"/>
    <col min="6153" max="6153" width="7" style="2" customWidth="1"/>
    <col min="6154" max="6154" width="5.21875" style="2" customWidth="1"/>
    <col min="6155" max="6155" width="7" style="2" customWidth="1"/>
    <col min="6156" max="6156" width="4.21875" style="2" customWidth="1"/>
    <col min="6157" max="6157" width="6.77734375" style="2" customWidth="1"/>
    <col min="6158" max="6158" width="5.44140625" style="2" customWidth="1"/>
    <col min="6159" max="6159" width="7" style="2" customWidth="1"/>
    <col min="6160" max="6160" width="5.21875" style="2" customWidth="1"/>
    <col min="6161" max="6161" width="4.77734375" style="2" customWidth="1"/>
    <col min="6162" max="6162" width="5.77734375" style="2" customWidth="1"/>
    <col min="6163" max="6163" width="7.44140625" style="2" customWidth="1"/>
    <col min="6164" max="6164" width="4" style="2" customWidth="1"/>
    <col min="6165" max="6165" width="6.44140625" style="2" customWidth="1"/>
    <col min="6166" max="6166" width="5.77734375" style="2" customWidth="1"/>
    <col min="6167" max="6167" width="6.77734375" style="2" customWidth="1"/>
    <col min="6168" max="6168" width="4.21875" style="2" customWidth="1"/>
    <col min="6169" max="6169" width="7.21875" style="2" customWidth="1"/>
    <col min="6170" max="6400" width="8.77734375" style="2"/>
    <col min="6401" max="6401" width="4.5546875" style="2" customWidth="1"/>
    <col min="6402" max="6403" width="6.77734375" style="2" customWidth="1"/>
    <col min="6404" max="6404" width="3.21875" style="2" customWidth="1"/>
    <col min="6405" max="6405" width="4.21875" style="2" customWidth="1"/>
    <col min="6406" max="6406" width="5.44140625" style="2" customWidth="1"/>
    <col min="6407" max="6407" width="7.77734375" style="2" customWidth="1"/>
    <col min="6408" max="6408" width="5.21875" style="2" customWidth="1"/>
    <col min="6409" max="6409" width="7" style="2" customWidth="1"/>
    <col min="6410" max="6410" width="5.21875" style="2" customWidth="1"/>
    <col min="6411" max="6411" width="7" style="2" customWidth="1"/>
    <col min="6412" max="6412" width="4.21875" style="2" customWidth="1"/>
    <col min="6413" max="6413" width="6.77734375" style="2" customWidth="1"/>
    <col min="6414" max="6414" width="5.44140625" style="2" customWidth="1"/>
    <col min="6415" max="6415" width="7" style="2" customWidth="1"/>
    <col min="6416" max="6416" width="5.21875" style="2" customWidth="1"/>
    <col min="6417" max="6417" width="4.77734375" style="2" customWidth="1"/>
    <col min="6418" max="6418" width="5.77734375" style="2" customWidth="1"/>
    <col min="6419" max="6419" width="7.44140625" style="2" customWidth="1"/>
    <col min="6420" max="6420" width="4" style="2" customWidth="1"/>
    <col min="6421" max="6421" width="6.44140625" style="2" customWidth="1"/>
    <col min="6422" max="6422" width="5.77734375" style="2" customWidth="1"/>
    <col min="6423" max="6423" width="6.77734375" style="2" customWidth="1"/>
    <col min="6424" max="6424" width="4.21875" style="2" customWidth="1"/>
    <col min="6425" max="6425" width="7.21875" style="2" customWidth="1"/>
    <col min="6426" max="6656" width="8.77734375" style="2"/>
    <col min="6657" max="6657" width="4.5546875" style="2" customWidth="1"/>
    <col min="6658" max="6659" width="6.77734375" style="2" customWidth="1"/>
    <col min="6660" max="6660" width="3.21875" style="2" customWidth="1"/>
    <col min="6661" max="6661" width="4.21875" style="2" customWidth="1"/>
    <col min="6662" max="6662" width="5.44140625" style="2" customWidth="1"/>
    <col min="6663" max="6663" width="7.77734375" style="2" customWidth="1"/>
    <col min="6664" max="6664" width="5.21875" style="2" customWidth="1"/>
    <col min="6665" max="6665" width="7" style="2" customWidth="1"/>
    <col min="6666" max="6666" width="5.21875" style="2" customWidth="1"/>
    <col min="6667" max="6667" width="7" style="2" customWidth="1"/>
    <col min="6668" max="6668" width="4.21875" style="2" customWidth="1"/>
    <col min="6669" max="6669" width="6.77734375" style="2" customWidth="1"/>
    <col min="6670" max="6670" width="5.44140625" style="2" customWidth="1"/>
    <col min="6671" max="6671" width="7" style="2" customWidth="1"/>
    <col min="6672" max="6672" width="5.21875" style="2" customWidth="1"/>
    <col min="6673" max="6673" width="4.77734375" style="2" customWidth="1"/>
    <col min="6674" max="6674" width="5.77734375" style="2" customWidth="1"/>
    <col min="6675" max="6675" width="7.44140625" style="2" customWidth="1"/>
    <col min="6676" max="6676" width="4" style="2" customWidth="1"/>
    <col min="6677" max="6677" width="6.44140625" style="2" customWidth="1"/>
    <col min="6678" max="6678" width="5.77734375" style="2" customWidth="1"/>
    <col min="6679" max="6679" width="6.77734375" style="2" customWidth="1"/>
    <col min="6680" max="6680" width="4.21875" style="2" customWidth="1"/>
    <col min="6681" max="6681" width="7.21875" style="2" customWidth="1"/>
    <col min="6682" max="6912" width="8.77734375" style="2"/>
    <col min="6913" max="6913" width="4.5546875" style="2" customWidth="1"/>
    <col min="6914" max="6915" width="6.77734375" style="2" customWidth="1"/>
    <col min="6916" max="6916" width="3.21875" style="2" customWidth="1"/>
    <col min="6917" max="6917" width="4.21875" style="2" customWidth="1"/>
    <col min="6918" max="6918" width="5.44140625" style="2" customWidth="1"/>
    <col min="6919" max="6919" width="7.77734375" style="2" customWidth="1"/>
    <col min="6920" max="6920" width="5.21875" style="2" customWidth="1"/>
    <col min="6921" max="6921" width="7" style="2" customWidth="1"/>
    <col min="6922" max="6922" width="5.21875" style="2" customWidth="1"/>
    <col min="6923" max="6923" width="7" style="2" customWidth="1"/>
    <col min="6924" max="6924" width="4.21875" style="2" customWidth="1"/>
    <col min="6925" max="6925" width="6.77734375" style="2" customWidth="1"/>
    <col min="6926" max="6926" width="5.44140625" style="2" customWidth="1"/>
    <col min="6927" max="6927" width="7" style="2" customWidth="1"/>
    <col min="6928" max="6928" width="5.21875" style="2" customWidth="1"/>
    <col min="6929" max="6929" width="4.77734375" style="2" customWidth="1"/>
    <col min="6930" max="6930" width="5.77734375" style="2" customWidth="1"/>
    <col min="6931" max="6931" width="7.44140625" style="2" customWidth="1"/>
    <col min="6932" max="6932" width="4" style="2" customWidth="1"/>
    <col min="6933" max="6933" width="6.44140625" style="2" customWidth="1"/>
    <col min="6934" max="6934" width="5.77734375" style="2" customWidth="1"/>
    <col min="6935" max="6935" width="6.77734375" style="2" customWidth="1"/>
    <col min="6936" max="6936" width="4.21875" style="2" customWidth="1"/>
    <col min="6937" max="6937" width="7.21875" style="2" customWidth="1"/>
    <col min="6938" max="7168" width="8.77734375" style="2"/>
    <col min="7169" max="7169" width="4.5546875" style="2" customWidth="1"/>
    <col min="7170" max="7171" width="6.77734375" style="2" customWidth="1"/>
    <col min="7172" max="7172" width="3.21875" style="2" customWidth="1"/>
    <col min="7173" max="7173" width="4.21875" style="2" customWidth="1"/>
    <col min="7174" max="7174" width="5.44140625" style="2" customWidth="1"/>
    <col min="7175" max="7175" width="7.77734375" style="2" customWidth="1"/>
    <col min="7176" max="7176" width="5.21875" style="2" customWidth="1"/>
    <col min="7177" max="7177" width="7" style="2" customWidth="1"/>
    <col min="7178" max="7178" width="5.21875" style="2" customWidth="1"/>
    <col min="7179" max="7179" width="7" style="2" customWidth="1"/>
    <col min="7180" max="7180" width="4.21875" style="2" customWidth="1"/>
    <col min="7181" max="7181" width="6.77734375" style="2" customWidth="1"/>
    <col min="7182" max="7182" width="5.44140625" style="2" customWidth="1"/>
    <col min="7183" max="7183" width="7" style="2" customWidth="1"/>
    <col min="7184" max="7184" width="5.21875" style="2" customWidth="1"/>
    <col min="7185" max="7185" width="4.77734375" style="2" customWidth="1"/>
    <col min="7186" max="7186" width="5.77734375" style="2" customWidth="1"/>
    <col min="7187" max="7187" width="7.44140625" style="2" customWidth="1"/>
    <col min="7188" max="7188" width="4" style="2" customWidth="1"/>
    <col min="7189" max="7189" width="6.44140625" style="2" customWidth="1"/>
    <col min="7190" max="7190" width="5.77734375" style="2" customWidth="1"/>
    <col min="7191" max="7191" width="6.77734375" style="2" customWidth="1"/>
    <col min="7192" max="7192" width="4.21875" style="2" customWidth="1"/>
    <col min="7193" max="7193" width="7.21875" style="2" customWidth="1"/>
    <col min="7194" max="7424" width="8.77734375" style="2"/>
    <col min="7425" max="7425" width="4.5546875" style="2" customWidth="1"/>
    <col min="7426" max="7427" width="6.77734375" style="2" customWidth="1"/>
    <col min="7428" max="7428" width="3.21875" style="2" customWidth="1"/>
    <col min="7429" max="7429" width="4.21875" style="2" customWidth="1"/>
    <col min="7430" max="7430" width="5.44140625" style="2" customWidth="1"/>
    <col min="7431" max="7431" width="7.77734375" style="2" customWidth="1"/>
    <col min="7432" max="7432" width="5.21875" style="2" customWidth="1"/>
    <col min="7433" max="7433" width="7" style="2" customWidth="1"/>
    <col min="7434" max="7434" width="5.21875" style="2" customWidth="1"/>
    <col min="7435" max="7435" width="7" style="2" customWidth="1"/>
    <col min="7436" max="7436" width="4.21875" style="2" customWidth="1"/>
    <col min="7437" max="7437" width="6.77734375" style="2" customWidth="1"/>
    <col min="7438" max="7438" width="5.44140625" style="2" customWidth="1"/>
    <col min="7439" max="7439" width="7" style="2" customWidth="1"/>
    <col min="7440" max="7440" width="5.21875" style="2" customWidth="1"/>
    <col min="7441" max="7441" width="4.77734375" style="2" customWidth="1"/>
    <col min="7442" max="7442" width="5.77734375" style="2" customWidth="1"/>
    <col min="7443" max="7443" width="7.44140625" style="2" customWidth="1"/>
    <col min="7444" max="7444" width="4" style="2" customWidth="1"/>
    <col min="7445" max="7445" width="6.44140625" style="2" customWidth="1"/>
    <col min="7446" max="7446" width="5.77734375" style="2" customWidth="1"/>
    <col min="7447" max="7447" width="6.77734375" style="2" customWidth="1"/>
    <col min="7448" max="7448" width="4.21875" style="2" customWidth="1"/>
    <col min="7449" max="7449" width="7.21875" style="2" customWidth="1"/>
    <col min="7450" max="7680" width="8.77734375" style="2"/>
    <col min="7681" max="7681" width="4.5546875" style="2" customWidth="1"/>
    <col min="7682" max="7683" width="6.77734375" style="2" customWidth="1"/>
    <col min="7684" max="7684" width="3.21875" style="2" customWidth="1"/>
    <col min="7685" max="7685" width="4.21875" style="2" customWidth="1"/>
    <col min="7686" max="7686" width="5.44140625" style="2" customWidth="1"/>
    <col min="7687" max="7687" width="7.77734375" style="2" customWidth="1"/>
    <col min="7688" max="7688" width="5.21875" style="2" customWidth="1"/>
    <col min="7689" max="7689" width="7" style="2" customWidth="1"/>
    <col min="7690" max="7690" width="5.21875" style="2" customWidth="1"/>
    <col min="7691" max="7691" width="7" style="2" customWidth="1"/>
    <col min="7692" max="7692" width="4.21875" style="2" customWidth="1"/>
    <col min="7693" max="7693" width="6.77734375" style="2" customWidth="1"/>
    <col min="7694" max="7694" width="5.44140625" style="2" customWidth="1"/>
    <col min="7695" max="7695" width="7" style="2" customWidth="1"/>
    <col min="7696" max="7696" width="5.21875" style="2" customWidth="1"/>
    <col min="7697" max="7697" width="4.77734375" style="2" customWidth="1"/>
    <col min="7698" max="7698" width="5.77734375" style="2" customWidth="1"/>
    <col min="7699" max="7699" width="7.44140625" style="2" customWidth="1"/>
    <col min="7700" max="7700" width="4" style="2" customWidth="1"/>
    <col min="7701" max="7701" width="6.44140625" style="2" customWidth="1"/>
    <col min="7702" max="7702" width="5.77734375" style="2" customWidth="1"/>
    <col min="7703" max="7703" width="6.77734375" style="2" customWidth="1"/>
    <col min="7704" max="7704" width="4.21875" style="2" customWidth="1"/>
    <col min="7705" max="7705" width="7.21875" style="2" customWidth="1"/>
    <col min="7706" max="7936" width="8.77734375" style="2"/>
    <col min="7937" max="7937" width="4.5546875" style="2" customWidth="1"/>
    <col min="7938" max="7939" width="6.77734375" style="2" customWidth="1"/>
    <col min="7940" max="7940" width="3.21875" style="2" customWidth="1"/>
    <col min="7941" max="7941" width="4.21875" style="2" customWidth="1"/>
    <col min="7942" max="7942" width="5.44140625" style="2" customWidth="1"/>
    <col min="7943" max="7943" width="7.77734375" style="2" customWidth="1"/>
    <col min="7944" max="7944" width="5.21875" style="2" customWidth="1"/>
    <col min="7945" max="7945" width="7" style="2" customWidth="1"/>
    <col min="7946" max="7946" width="5.21875" style="2" customWidth="1"/>
    <col min="7947" max="7947" width="7" style="2" customWidth="1"/>
    <col min="7948" max="7948" width="4.21875" style="2" customWidth="1"/>
    <col min="7949" max="7949" width="6.77734375" style="2" customWidth="1"/>
    <col min="7950" max="7950" width="5.44140625" style="2" customWidth="1"/>
    <col min="7951" max="7951" width="7" style="2" customWidth="1"/>
    <col min="7952" max="7952" width="5.21875" style="2" customWidth="1"/>
    <col min="7953" max="7953" width="4.77734375" style="2" customWidth="1"/>
    <col min="7954" max="7954" width="5.77734375" style="2" customWidth="1"/>
    <col min="7955" max="7955" width="7.44140625" style="2" customWidth="1"/>
    <col min="7956" max="7956" width="4" style="2" customWidth="1"/>
    <col min="7957" max="7957" width="6.44140625" style="2" customWidth="1"/>
    <col min="7958" max="7958" width="5.77734375" style="2" customWidth="1"/>
    <col min="7959" max="7959" width="6.77734375" style="2" customWidth="1"/>
    <col min="7960" max="7960" width="4.21875" style="2" customWidth="1"/>
    <col min="7961" max="7961" width="7.21875" style="2" customWidth="1"/>
    <col min="7962" max="8192" width="8.77734375" style="2"/>
    <col min="8193" max="8193" width="4.5546875" style="2" customWidth="1"/>
    <col min="8194" max="8195" width="6.77734375" style="2" customWidth="1"/>
    <col min="8196" max="8196" width="3.21875" style="2" customWidth="1"/>
    <col min="8197" max="8197" width="4.21875" style="2" customWidth="1"/>
    <col min="8198" max="8198" width="5.44140625" style="2" customWidth="1"/>
    <col min="8199" max="8199" width="7.77734375" style="2" customWidth="1"/>
    <col min="8200" max="8200" width="5.21875" style="2" customWidth="1"/>
    <col min="8201" max="8201" width="7" style="2" customWidth="1"/>
    <col min="8202" max="8202" width="5.21875" style="2" customWidth="1"/>
    <col min="8203" max="8203" width="7" style="2" customWidth="1"/>
    <col min="8204" max="8204" width="4.21875" style="2" customWidth="1"/>
    <col min="8205" max="8205" width="6.77734375" style="2" customWidth="1"/>
    <col min="8206" max="8206" width="5.44140625" style="2" customWidth="1"/>
    <col min="8207" max="8207" width="7" style="2" customWidth="1"/>
    <col min="8208" max="8208" width="5.21875" style="2" customWidth="1"/>
    <col min="8209" max="8209" width="4.77734375" style="2" customWidth="1"/>
    <col min="8210" max="8210" width="5.77734375" style="2" customWidth="1"/>
    <col min="8211" max="8211" width="7.44140625" style="2" customWidth="1"/>
    <col min="8212" max="8212" width="4" style="2" customWidth="1"/>
    <col min="8213" max="8213" width="6.44140625" style="2" customWidth="1"/>
    <col min="8214" max="8214" width="5.77734375" style="2" customWidth="1"/>
    <col min="8215" max="8215" width="6.77734375" style="2" customWidth="1"/>
    <col min="8216" max="8216" width="4.21875" style="2" customWidth="1"/>
    <col min="8217" max="8217" width="7.21875" style="2" customWidth="1"/>
    <col min="8218" max="8448" width="8.77734375" style="2"/>
    <col min="8449" max="8449" width="4.5546875" style="2" customWidth="1"/>
    <col min="8450" max="8451" width="6.77734375" style="2" customWidth="1"/>
    <col min="8452" max="8452" width="3.21875" style="2" customWidth="1"/>
    <col min="8453" max="8453" width="4.21875" style="2" customWidth="1"/>
    <col min="8454" max="8454" width="5.44140625" style="2" customWidth="1"/>
    <col min="8455" max="8455" width="7.77734375" style="2" customWidth="1"/>
    <col min="8456" max="8456" width="5.21875" style="2" customWidth="1"/>
    <col min="8457" max="8457" width="7" style="2" customWidth="1"/>
    <col min="8458" max="8458" width="5.21875" style="2" customWidth="1"/>
    <col min="8459" max="8459" width="7" style="2" customWidth="1"/>
    <col min="8460" max="8460" width="4.21875" style="2" customWidth="1"/>
    <col min="8461" max="8461" width="6.77734375" style="2" customWidth="1"/>
    <col min="8462" max="8462" width="5.44140625" style="2" customWidth="1"/>
    <col min="8463" max="8463" width="7" style="2" customWidth="1"/>
    <col min="8464" max="8464" width="5.21875" style="2" customWidth="1"/>
    <col min="8465" max="8465" width="4.77734375" style="2" customWidth="1"/>
    <col min="8466" max="8466" width="5.77734375" style="2" customWidth="1"/>
    <col min="8467" max="8467" width="7.44140625" style="2" customWidth="1"/>
    <col min="8468" max="8468" width="4" style="2" customWidth="1"/>
    <col min="8469" max="8469" width="6.44140625" style="2" customWidth="1"/>
    <col min="8470" max="8470" width="5.77734375" style="2" customWidth="1"/>
    <col min="8471" max="8471" width="6.77734375" style="2" customWidth="1"/>
    <col min="8472" max="8472" width="4.21875" style="2" customWidth="1"/>
    <col min="8473" max="8473" width="7.21875" style="2" customWidth="1"/>
    <col min="8474" max="8704" width="8.77734375" style="2"/>
    <col min="8705" max="8705" width="4.5546875" style="2" customWidth="1"/>
    <col min="8706" max="8707" width="6.77734375" style="2" customWidth="1"/>
    <col min="8708" max="8708" width="3.21875" style="2" customWidth="1"/>
    <col min="8709" max="8709" width="4.21875" style="2" customWidth="1"/>
    <col min="8710" max="8710" width="5.44140625" style="2" customWidth="1"/>
    <col min="8711" max="8711" width="7.77734375" style="2" customWidth="1"/>
    <col min="8712" max="8712" width="5.21875" style="2" customWidth="1"/>
    <col min="8713" max="8713" width="7" style="2" customWidth="1"/>
    <col min="8714" max="8714" width="5.21875" style="2" customWidth="1"/>
    <col min="8715" max="8715" width="7" style="2" customWidth="1"/>
    <col min="8716" max="8716" width="4.21875" style="2" customWidth="1"/>
    <col min="8717" max="8717" width="6.77734375" style="2" customWidth="1"/>
    <col min="8718" max="8718" width="5.44140625" style="2" customWidth="1"/>
    <col min="8719" max="8719" width="7" style="2" customWidth="1"/>
    <col min="8720" max="8720" width="5.21875" style="2" customWidth="1"/>
    <col min="8721" max="8721" width="4.77734375" style="2" customWidth="1"/>
    <col min="8722" max="8722" width="5.77734375" style="2" customWidth="1"/>
    <col min="8723" max="8723" width="7.44140625" style="2" customWidth="1"/>
    <col min="8724" max="8724" width="4" style="2" customWidth="1"/>
    <col min="8725" max="8725" width="6.44140625" style="2" customWidth="1"/>
    <col min="8726" max="8726" width="5.77734375" style="2" customWidth="1"/>
    <col min="8727" max="8727" width="6.77734375" style="2" customWidth="1"/>
    <col min="8728" max="8728" width="4.21875" style="2" customWidth="1"/>
    <col min="8729" max="8729" width="7.21875" style="2" customWidth="1"/>
    <col min="8730" max="8960" width="8.77734375" style="2"/>
    <col min="8961" max="8961" width="4.5546875" style="2" customWidth="1"/>
    <col min="8962" max="8963" width="6.77734375" style="2" customWidth="1"/>
    <col min="8964" max="8964" width="3.21875" style="2" customWidth="1"/>
    <col min="8965" max="8965" width="4.21875" style="2" customWidth="1"/>
    <col min="8966" max="8966" width="5.44140625" style="2" customWidth="1"/>
    <col min="8967" max="8967" width="7.77734375" style="2" customWidth="1"/>
    <col min="8968" max="8968" width="5.21875" style="2" customWidth="1"/>
    <col min="8969" max="8969" width="7" style="2" customWidth="1"/>
    <col min="8970" max="8970" width="5.21875" style="2" customWidth="1"/>
    <col min="8971" max="8971" width="7" style="2" customWidth="1"/>
    <col min="8972" max="8972" width="4.21875" style="2" customWidth="1"/>
    <col min="8973" max="8973" width="6.77734375" style="2" customWidth="1"/>
    <col min="8974" max="8974" width="5.44140625" style="2" customWidth="1"/>
    <col min="8975" max="8975" width="7" style="2" customWidth="1"/>
    <col min="8976" max="8976" width="5.21875" style="2" customWidth="1"/>
    <col min="8977" max="8977" width="4.77734375" style="2" customWidth="1"/>
    <col min="8978" max="8978" width="5.77734375" style="2" customWidth="1"/>
    <col min="8979" max="8979" width="7.44140625" style="2" customWidth="1"/>
    <col min="8980" max="8980" width="4" style="2" customWidth="1"/>
    <col min="8981" max="8981" width="6.44140625" style="2" customWidth="1"/>
    <col min="8982" max="8982" width="5.77734375" style="2" customWidth="1"/>
    <col min="8983" max="8983" width="6.77734375" style="2" customWidth="1"/>
    <col min="8984" max="8984" width="4.21875" style="2" customWidth="1"/>
    <col min="8985" max="8985" width="7.21875" style="2" customWidth="1"/>
    <col min="8986" max="9216" width="8.77734375" style="2"/>
    <col min="9217" max="9217" width="4.5546875" style="2" customWidth="1"/>
    <col min="9218" max="9219" width="6.77734375" style="2" customWidth="1"/>
    <col min="9220" max="9220" width="3.21875" style="2" customWidth="1"/>
    <col min="9221" max="9221" width="4.21875" style="2" customWidth="1"/>
    <col min="9222" max="9222" width="5.44140625" style="2" customWidth="1"/>
    <col min="9223" max="9223" width="7.77734375" style="2" customWidth="1"/>
    <col min="9224" max="9224" width="5.21875" style="2" customWidth="1"/>
    <col min="9225" max="9225" width="7" style="2" customWidth="1"/>
    <col min="9226" max="9226" width="5.21875" style="2" customWidth="1"/>
    <col min="9227" max="9227" width="7" style="2" customWidth="1"/>
    <col min="9228" max="9228" width="4.21875" style="2" customWidth="1"/>
    <col min="9229" max="9229" width="6.77734375" style="2" customWidth="1"/>
    <col min="9230" max="9230" width="5.44140625" style="2" customWidth="1"/>
    <col min="9231" max="9231" width="7" style="2" customWidth="1"/>
    <col min="9232" max="9232" width="5.21875" style="2" customWidth="1"/>
    <col min="9233" max="9233" width="4.77734375" style="2" customWidth="1"/>
    <col min="9234" max="9234" width="5.77734375" style="2" customWidth="1"/>
    <col min="9235" max="9235" width="7.44140625" style="2" customWidth="1"/>
    <col min="9236" max="9236" width="4" style="2" customWidth="1"/>
    <col min="9237" max="9237" width="6.44140625" style="2" customWidth="1"/>
    <col min="9238" max="9238" width="5.77734375" style="2" customWidth="1"/>
    <col min="9239" max="9239" width="6.77734375" style="2" customWidth="1"/>
    <col min="9240" max="9240" width="4.21875" style="2" customWidth="1"/>
    <col min="9241" max="9241" width="7.21875" style="2" customWidth="1"/>
    <col min="9242" max="9472" width="8.77734375" style="2"/>
    <col min="9473" max="9473" width="4.5546875" style="2" customWidth="1"/>
    <col min="9474" max="9475" width="6.77734375" style="2" customWidth="1"/>
    <col min="9476" max="9476" width="3.21875" style="2" customWidth="1"/>
    <col min="9477" max="9477" width="4.21875" style="2" customWidth="1"/>
    <col min="9478" max="9478" width="5.44140625" style="2" customWidth="1"/>
    <col min="9479" max="9479" width="7.77734375" style="2" customWidth="1"/>
    <col min="9480" max="9480" width="5.21875" style="2" customWidth="1"/>
    <col min="9481" max="9481" width="7" style="2" customWidth="1"/>
    <col min="9482" max="9482" width="5.21875" style="2" customWidth="1"/>
    <col min="9483" max="9483" width="7" style="2" customWidth="1"/>
    <col min="9484" max="9484" width="4.21875" style="2" customWidth="1"/>
    <col min="9485" max="9485" width="6.77734375" style="2" customWidth="1"/>
    <col min="9486" max="9486" width="5.44140625" style="2" customWidth="1"/>
    <col min="9487" max="9487" width="7" style="2" customWidth="1"/>
    <col min="9488" max="9488" width="5.21875" style="2" customWidth="1"/>
    <col min="9489" max="9489" width="4.77734375" style="2" customWidth="1"/>
    <col min="9490" max="9490" width="5.77734375" style="2" customWidth="1"/>
    <col min="9491" max="9491" width="7.44140625" style="2" customWidth="1"/>
    <col min="9492" max="9492" width="4" style="2" customWidth="1"/>
    <col min="9493" max="9493" width="6.44140625" style="2" customWidth="1"/>
    <col min="9494" max="9494" width="5.77734375" style="2" customWidth="1"/>
    <col min="9495" max="9495" width="6.77734375" style="2" customWidth="1"/>
    <col min="9496" max="9496" width="4.21875" style="2" customWidth="1"/>
    <col min="9497" max="9497" width="7.21875" style="2" customWidth="1"/>
    <col min="9498" max="9728" width="8.77734375" style="2"/>
    <col min="9729" max="9729" width="4.5546875" style="2" customWidth="1"/>
    <col min="9730" max="9731" width="6.77734375" style="2" customWidth="1"/>
    <col min="9732" max="9732" width="3.21875" style="2" customWidth="1"/>
    <col min="9733" max="9733" width="4.21875" style="2" customWidth="1"/>
    <col min="9734" max="9734" width="5.44140625" style="2" customWidth="1"/>
    <col min="9735" max="9735" width="7.77734375" style="2" customWidth="1"/>
    <col min="9736" max="9736" width="5.21875" style="2" customWidth="1"/>
    <col min="9737" max="9737" width="7" style="2" customWidth="1"/>
    <col min="9738" max="9738" width="5.21875" style="2" customWidth="1"/>
    <col min="9739" max="9739" width="7" style="2" customWidth="1"/>
    <col min="9740" max="9740" width="4.21875" style="2" customWidth="1"/>
    <col min="9741" max="9741" width="6.77734375" style="2" customWidth="1"/>
    <col min="9742" max="9742" width="5.44140625" style="2" customWidth="1"/>
    <col min="9743" max="9743" width="7" style="2" customWidth="1"/>
    <col min="9744" max="9744" width="5.21875" style="2" customWidth="1"/>
    <col min="9745" max="9745" width="4.77734375" style="2" customWidth="1"/>
    <col min="9746" max="9746" width="5.77734375" style="2" customWidth="1"/>
    <col min="9747" max="9747" width="7.44140625" style="2" customWidth="1"/>
    <col min="9748" max="9748" width="4" style="2" customWidth="1"/>
    <col min="9749" max="9749" width="6.44140625" style="2" customWidth="1"/>
    <col min="9750" max="9750" width="5.77734375" style="2" customWidth="1"/>
    <col min="9751" max="9751" width="6.77734375" style="2" customWidth="1"/>
    <col min="9752" max="9752" width="4.21875" style="2" customWidth="1"/>
    <col min="9753" max="9753" width="7.21875" style="2" customWidth="1"/>
    <col min="9754" max="9984" width="8.77734375" style="2"/>
    <col min="9985" max="9985" width="4.5546875" style="2" customWidth="1"/>
    <col min="9986" max="9987" width="6.77734375" style="2" customWidth="1"/>
    <col min="9988" max="9988" width="3.21875" style="2" customWidth="1"/>
    <col min="9989" max="9989" width="4.21875" style="2" customWidth="1"/>
    <col min="9990" max="9990" width="5.44140625" style="2" customWidth="1"/>
    <col min="9991" max="9991" width="7.77734375" style="2" customWidth="1"/>
    <col min="9992" max="9992" width="5.21875" style="2" customWidth="1"/>
    <col min="9993" max="9993" width="7" style="2" customWidth="1"/>
    <col min="9994" max="9994" width="5.21875" style="2" customWidth="1"/>
    <col min="9995" max="9995" width="7" style="2" customWidth="1"/>
    <col min="9996" max="9996" width="4.21875" style="2" customWidth="1"/>
    <col min="9997" max="9997" width="6.77734375" style="2" customWidth="1"/>
    <col min="9998" max="9998" width="5.44140625" style="2" customWidth="1"/>
    <col min="9999" max="9999" width="7" style="2" customWidth="1"/>
    <col min="10000" max="10000" width="5.21875" style="2" customWidth="1"/>
    <col min="10001" max="10001" width="4.77734375" style="2" customWidth="1"/>
    <col min="10002" max="10002" width="5.77734375" style="2" customWidth="1"/>
    <col min="10003" max="10003" width="7.44140625" style="2" customWidth="1"/>
    <col min="10004" max="10004" width="4" style="2" customWidth="1"/>
    <col min="10005" max="10005" width="6.44140625" style="2" customWidth="1"/>
    <col min="10006" max="10006" width="5.77734375" style="2" customWidth="1"/>
    <col min="10007" max="10007" width="6.77734375" style="2" customWidth="1"/>
    <col min="10008" max="10008" width="4.21875" style="2" customWidth="1"/>
    <col min="10009" max="10009" width="7.21875" style="2" customWidth="1"/>
    <col min="10010" max="10240" width="8.77734375" style="2"/>
    <col min="10241" max="10241" width="4.5546875" style="2" customWidth="1"/>
    <col min="10242" max="10243" width="6.77734375" style="2" customWidth="1"/>
    <col min="10244" max="10244" width="3.21875" style="2" customWidth="1"/>
    <col min="10245" max="10245" width="4.21875" style="2" customWidth="1"/>
    <col min="10246" max="10246" width="5.44140625" style="2" customWidth="1"/>
    <col min="10247" max="10247" width="7.77734375" style="2" customWidth="1"/>
    <col min="10248" max="10248" width="5.21875" style="2" customWidth="1"/>
    <col min="10249" max="10249" width="7" style="2" customWidth="1"/>
    <col min="10250" max="10250" width="5.21875" style="2" customWidth="1"/>
    <col min="10251" max="10251" width="7" style="2" customWidth="1"/>
    <col min="10252" max="10252" width="4.21875" style="2" customWidth="1"/>
    <col min="10253" max="10253" width="6.77734375" style="2" customWidth="1"/>
    <col min="10254" max="10254" width="5.44140625" style="2" customWidth="1"/>
    <col min="10255" max="10255" width="7" style="2" customWidth="1"/>
    <col min="10256" max="10256" width="5.21875" style="2" customWidth="1"/>
    <col min="10257" max="10257" width="4.77734375" style="2" customWidth="1"/>
    <col min="10258" max="10258" width="5.77734375" style="2" customWidth="1"/>
    <col min="10259" max="10259" width="7.44140625" style="2" customWidth="1"/>
    <col min="10260" max="10260" width="4" style="2" customWidth="1"/>
    <col min="10261" max="10261" width="6.44140625" style="2" customWidth="1"/>
    <col min="10262" max="10262" width="5.77734375" style="2" customWidth="1"/>
    <col min="10263" max="10263" width="6.77734375" style="2" customWidth="1"/>
    <col min="10264" max="10264" width="4.21875" style="2" customWidth="1"/>
    <col min="10265" max="10265" width="7.21875" style="2" customWidth="1"/>
    <col min="10266" max="10496" width="8.77734375" style="2"/>
    <col min="10497" max="10497" width="4.5546875" style="2" customWidth="1"/>
    <col min="10498" max="10499" width="6.77734375" style="2" customWidth="1"/>
    <col min="10500" max="10500" width="3.21875" style="2" customWidth="1"/>
    <col min="10501" max="10501" width="4.21875" style="2" customWidth="1"/>
    <col min="10502" max="10502" width="5.44140625" style="2" customWidth="1"/>
    <col min="10503" max="10503" width="7.77734375" style="2" customWidth="1"/>
    <col min="10504" max="10504" width="5.21875" style="2" customWidth="1"/>
    <col min="10505" max="10505" width="7" style="2" customWidth="1"/>
    <col min="10506" max="10506" width="5.21875" style="2" customWidth="1"/>
    <col min="10507" max="10507" width="7" style="2" customWidth="1"/>
    <col min="10508" max="10508" width="4.21875" style="2" customWidth="1"/>
    <col min="10509" max="10509" width="6.77734375" style="2" customWidth="1"/>
    <col min="10510" max="10510" width="5.44140625" style="2" customWidth="1"/>
    <col min="10511" max="10511" width="7" style="2" customWidth="1"/>
    <col min="10512" max="10512" width="5.21875" style="2" customWidth="1"/>
    <col min="10513" max="10513" width="4.77734375" style="2" customWidth="1"/>
    <col min="10514" max="10514" width="5.77734375" style="2" customWidth="1"/>
    <col min="10515" max="10515" width="7.44140625" style="2" customWidth="1"/>
    <col min="10516" max="10516" width="4" style="2" customWidth="1"/>
    <col min="10517" max="10517" width="6.44140625" style="2" customWidth="1"/>
    <col min="10518" max="10518" width="5.77734375" style="2" customWidth="1"/>
    <col min="10519" max="10519" width="6.77734375" style="2" customWidth="1"/>
    <col min="10520" max="10520" width="4.21875" style="2" customWidth="1"/>
    <col min="10521" max="10521" width="7.21875" style="2" customWidth="1"/>
    <col min="10522" max="10752" width="8.77734375" style="2"/>
    <col min="10753" max="10753" width="4.5546875" style="2" customWidth="1"/>
    <col min="10754" max="10755" width="6.77734375" style="2" customWidth="1"/>
    <col min="10756" max="10756" width="3.21875" style="2" customWidth="1"/>
    <col min="10757" max="10757" width="4.21875" style="2" customWidth="1"/>
    <col min="10758" max="10758" width="5.44140625" style="2" customWidth="1"/>
    <col min="10759" max="10759" width="7.77734375" style="2" customWidth="1"/>
    <col min="10760" max="10760" width="5.21875" style="2" customWidth="1"/>
    <col min="10761" max="10761" width="7" style="2" customWidth="1"/>
    <col min="10762" max="10762" width="5.21875" style="2" customWidth="1"/>
    <col min="10763" max="10763" width="7" style="2" customWidth="1"/>
    <col min="10764" max="10764" width="4.21875" style="2" customWidth="1"/>
    <col min="10765" max="10765" width="6.77734375" style="2" customWidth="1"/>
    <col min="10766" max="10766" width="5.44140625" style="2" customWidth="1"/>
    <col min="10767" max="10767" width="7" style="2" customWidth="1"/>
    <col min="10768" max="10768" width="5.21875" style="2" customWidth="1"/>
    <col min="10769" max="10769" width="4.77734375" style="2" customWidth="1"/>
    <col min="10770" max="10770" width="5.77734375" style="2" customWidth="1"/>
    <col min="10771" max="10771" width="7.44140625" style="2" customWidth="1"/>
    <col min="10772" max="10772" width="4" style="2" customWidth="1"/>
    <col min="10773" max="10773" width="6.44140625" style="2" customWidth="1"/>
    <col min="10774" max="10774" width="5.77734375" style="2" customWidth="1"/>
    <col min="10775" max="10775" width="6.77734375" style="2" customWidth="1"/>
    <col min="10776" max="10776" width="4.21875" style="2" customWidth="1"/>
    <col min="10777" max="10777" width="7.21875" style="2" customWidth="1"/>
    <col min="10778" max="11008" width="8.77734375" style="2"/>
    <col min="11009" max="11009" width="4.5546875" style="2" customWidth="1"/>
    <col min="11010" max="11011" width="6.77734375" style="2" customWidth="1"/>
    <col min="11012" max="11012" width="3.21875" style="2" customWidth="1"/>
    <col min="11013" max="11013" width="4.21875" style="2" customWidth="1"/>
    <col min="11014" max="11014" width="5.44140625" style="2" customWidth="1"/>
    <col min="11015" max="11015" width="7.77734375" style="2" customWidth="1"/>
    <col min="11016" max="11016" width="5.21875" style="2" customWidth="1"/>
    <col min="11017" max="11017" width="7" style="2" customWidth="1"/>
    <col min="11018" max="11018" width="5.21875" style="2" customWidth="1"/>
    <col min="11019" max="11019" width="7" style="2" customWidth="1"/>
    <col min="11020" max="11020" width="4.21875" style="2" customWidth="1"/>
    <col min="11021" max="11021" width="6.77734375" style="2" customWidth="1"/>
    <col min="11022" max="11022" width="5.44140625" style="2" customWidth="1"/>
    <col min="11023" max="11023" width="7" style="2" customWidth="1"/>
    <col min="11024" max="11024" width="5.21875" style="2" customWidth="1"/>
    <col min="11025" max="11025" width="4.77734375" style="2" customWidth="1"/>
    <col min="11026" max="11026" width="5.77734375" style="2" customWidth="1"/>
    <col min="11027" max="11027" width="7.44140625" style="2" customWidth="1"/>
    <col min="11028" max="11028" width="4" style="2" customWidth="1"/>
    <col min="11029" max="11029" width="6.44140625" style="2" customWidth="1"/>
    <col min="11030" max="11030" width="5.77734375" style="2" customWidth="1"/>
    <col min="11031" max="11031" width="6.77734375" style="2" customWidth="1"/>
    <col min="11032" max="11032" width="4.21875" style="2" customWidth="1"/>
    <col min="11033" max="11033" width="7.21875" style="2" customWidth="1"/>
    <col min="11034" max="11264" width="8.77734375" style="2"/>
    <col min="11265" max="11265" width="4.5546875" style="2" customWidth="1"/>
    <col min="11266" max="11267" width="6.77734375" style="2" customWidth="1"/>
    <col min="11268" max="11268" width="3.21875" style="2" customWidth="1"/>
    <col min="11269" max="11269" width="4.21875" style="2" customWidth="1"/>
    <col min="11270" max="11270" width="5.44140625" style="2" customWidth="1"/>
    <col min="11271" max="11271" width="7.77734375" style="2" customWidth="1"/>
    <col min="11272" max="11272" width="5.21875" style="2" customWidth="1"/>
    <col min="11273" max="11273" width="7" style="2" customWidth="1"/>
    <col min="11274" max="11274" width="5.21875" style="2" customWidth="1"/>
    <col min="11275" max="11275" width="7" style="2" customWidth="1"/>
    <col min="11276" max="11276" width="4.21875" style="2" customWidth="1"/>
    <col min="11277" max="11277" width="6.77734375" style="2" customWidth="1"/>
    <col min="11278" max="11278" width="5.44140625" style="2" customWidth="1"/>
    <col min="11279" max="11279" width="7" style="2" customWidth="1"/>
    <col min="11280" max="11280" width="5.21875" style="2" customWidth="1"/>
    <col min="11281" max="11281" width="4.77734375" style="2" customWidth="1"/>
    <col min="11282" max="11282" width="5.77734375" style="2" customWidth="1"/>
    <col min="11283" max="11283" width="7.44140625" style="2" customWidth="1"/>
    <col min="11284" max="11284" width="4" style="2" customWidth="1"/>
    <col min="11285" max="11285" width="6.44140625" style="2" customWidth="1"/>
    <col min="11286" max="11286" width="5.77734375" style="2" customWidth="1"/>
    <col min="11287" max="11287" width="6.77734375" style="2" customWidth="1"/>
    <col min="11288" max="11288" width="4.21875" style="2" customWidth="1"/>
    <col min="11289" max="11289" width="7.21875" style="2" customWidth="1"/>
    <col min="11290" max="11520" width="8.77734375" style="2"/>
    <col min="11521" max="11521" width="4.5546875" style="2" customWidth="1"/>
    <col min="11522" max="11523" width="6.77734375" style="2" customWidth="1"/>
    <col min="11524" max="11524" width="3.21875" style="2" customWidth="1"/>
    <col min="11525" max="11525" width="4.21875" style="2" customWidth="1"/>
    <col min="11526" max="11526" width="5.44140625" style="2" customWidth="1"/>
    <col min="11527" max="11527" width="7.77734375" style="2" customWidth="1"/>
    <col min="11528" max="11528" width="5.21875" style="2" customWidth="1"/>
    <col min="11529" max="11529" width="7" style="2" customWidth="1"/>
    <col min="11530" max="11530" width="5.21875" style="2" customWidth="1"/>
    <col min="11531" max="11531" width="7" style="2" customWidth="1"/>
    <col min="11532" max="11532" width="4.21875" style="2" customWidth="1"/>
    <col min="11533" max="11533" width="6.77734375" style="2" customWidth="1"/>
    <col min="11534" max="11534" width="5.44140625" style="2" customWidth="1"/>
    <col min="11535" max="11535" width="7" style="2" customWidth="1"/>
    <col min="11536" max="11536" width="5.21875" style="2" customWidth="1"/>
    <col min="11537" max="11537" width="4.77734375" style="2" customWidth="1"/>
    <col min="11538" max="11538" width="5.77734375" style="2" customWidth="1"/>
    <col min="11539" max="11539" width="7.44140625" style="2" customWidth="1"/>
    <col min="11540" max="11540" width="4" style="2" customWidth="1"/>
    <col min="11541" max="11541" width="6.44140625" style="2" customWidth="1"/>
    <col min="11542" max="11542" width="5.77734375" style="2" customWidth="1"/>
    <col min="11543" max="11543" width="6.77734375" style="2" customWidth="1"/>
    <col min="11544" max="11544" width="4.21875" style="2" customWidth="1"/>
    <col min="11545" max="11545" width="7.21875" style="2" customWidth="1"/>
    <col min="11546" max="11776" width="8.77734375" style="2"/>
    <col min="11777" max="11777" width="4.5546875" style="2" customWidth="1"/>
    <col min="11778" max="11779" width="6.77734375" style="2" customWidth="1"/>
    <col min="11780" max="11780" width="3.21875" style="2" customWidth="1"/>
    <col min="11781" max="11781" width="4.21875" style="2" customWidth="1"/>
    <col min="11782" max="11782" width="5.44140625" style="2" customWidth="1"/>
    <col min="11783" max="11783" width="7.77734375" style="2" customWidth="1"/>
    <col min="11784" max="11784" width="5.21875" style="2" customWidth="1"/>
    <col min="11785" max="11785" width="7" style="2" customWidth="1"/>
    <col min="11786" max="11786" width="5.21875" style="2" customWidth="1"/>
    <col min="11787" max="11787" width="7" style="2" customWidth="1"/>
    <col min="11788" max="11788" width="4.21875" style="2" customWidth="1"/>
    <col min="11789" max="11789" width="6.77734375" style="2" customWidth="1"/>
    <col min="11790" max="11790" width="5.44140625" style="2" customWidth="1"/>
    <col min="11791" max="11791" width="7" style="2" customWidth="1"/>
    <col min="11792" max="11792" width="5.21875" style="2" customWidth="1"/>
    <col min="11793" max="11793" width="4.77734375" style="2" customWidth="1"/>
    <col min="11794" max="11794" width="5.77734375" style="2" customWidth="1"/>
    <col min="11795" max="11795" width="7.44140625" style="2" customWidth="1"/>
    <col min="11796" max="11796" width="4" style="2" customWidth="1"/>
    <col min="11797" max="11797" width="6.44140625" style="2" customWidth="1"/>
    <col min="11798" max="11798" width="5.77734375" style="2" customWidth="1"/>
    <col min="11799" max="11799" width="6.77734375" style="2" customWidth="1"/>
    <col min="11800" max="11800" width="4.21875" style="2" customWidth="1"/>
    <col min="11801" max="11801" width="7.21875" style="2" customWidth="1"/>
    <col min="11802" max="12032" width="8.77734375" style="2"/>
    <col min="12033" max="12033" width="4.5546875" style="2" customWidth="1"/>
    <col min="12034" max="12035" width="6.77734375" style="2" customWidth="1"/>
    <col min="12036" max="12036" width="3.21875" style="2" customWidth="1"/>
    <col min="12037" max="12037" width="4.21875" style="2" customWidth="1"/>
    <col min="12038" max="12038" width="5.44140625" style="2" customWidth="1"/>
    <col min="12039" max="12039" width="7.77734375" style="2" customWidth="1"/>
    <col min="12040" max="12040" width="5.21875" style="2" customWidth="1"/>
    <col min="12041" max="12041" width="7" style="2" customWidth="1"/>
    <col min="12042" max="12042" width="5.21875" style="2" customWidth="1"/>
    <col min="12043" max="12043" width="7" style="2" customWidth="1"/>
    <col min="12044" max="12044" width="4.21875" style="2" customWidth="1"/>
    <col min="12045" max="12045" width="6.77734375" style="2" customWidth="1"/>
    <col min="12046" max="12046" width="5.44140625" style="2" customWidth="1"/>
    <col min="12047" max="12047" width="7" style="2" customWidth="1"/>
    <col min="12048" max="12048" width="5.21875" style="2" customWidth="1"/>
    <col min="12049" max="12049" width="4.77734375" style="2" customWidth="1"/>
    <col min="12050" max="12050" width="5.77734375" style="2" customWidth="1"/>
    <col min="12051" max="12051" width="7.44140625" style="2" customWidth="1"/>
    <col min="12052" max="12052" width="4" style="2" customWidth="1"/>
    <col min="12053" max="12053" width="6.44140625" style="2" customWidth="1"/>
    <col min="12054" max="12054" width="5.77734375" style="2" customWidth="1"/>
    <col min="12055" max="12055" width="6.77734375" style="2" customWidth="1"/>
    <col min="12056" max="12056" width="4.21875" style="2" customWidth="1"/>
    <col min="12057" max="12057" width="7.21875" style="2" customWidth="1"/>
    <col min="12058" max="12288" width="8.77734375" style="2"/>
    <col min="12289" max="12289" width="4.5546875" style="2" customWidth="1"/>
    <col min="12290" max="12291" width="6.77734375" style="2" customWidth="1"/>
    <col min="12292" max="12292" width="3.21875" style="2" customWidth="1"/>
    <col min="12293" max="12293" width="4.21875" style="2" customWidth="1"/>
    <col min="12294" max="12294" width="5.44140625" style="2" customWidth="1"/>
    <col min="12295" max="12295" width="7.77734375" style="2" customWidth="1"/>
    <col min="12296" max="12296" width="5.21875" style="2" customWidth="1"/>
    <col min="12297" max="12297" width="7" style="2" customWidth="1"/>
    <col min="12298" max="12298" width="5.21875" style="2" customWidth="1"/>
    <col min="12299" max="12299" width="7" style="2" customWidth="1"/>
    <col min="12300" max="12300" width="4.21875" style="2" customWidth="1"/>
    <col min="12301" max="12301" width="6.77734375" style="2" customWidth="1"/>
    <col min="12302" max="12302" width="5.44140625" style="2" customWidth="1"/>
    <col min="12303" max="12303" width="7" style="2" customWidth="1"/>
    <col min="12304" max="12304" width="5.21875" style="2" customWidth="1"/>
    <col min="12305" max="12305" width="4.77734375" style="2" customWidth="1"/>
    <col min="12306" max="12306" width="5.77734375" style="2" customWidth="1"/>
    <col min="12307" max="12307" width="7.44140625" style="2" customWidth="1"/>
    <col min="12308" max="12308" width="4" style="2" customWidth="1"/>
    <col min="12309" max="12309" width="6.44140625" style="2" customWidth="1"/>
    <col min="12310" max="12310" width="5.77734375" style="2" customWidth="1"/>
    <col min="12311" max="12311" width="6.77734375" style="2" customWidth="1"/>
    <col min="12312" max="12312" width="4.21875" style="2" customWidth="1"/>
    <col min="12313" max="12313" width="7.21875" style="2" customWidth="1"/>
    <col min="12314" max="12544" width="8.77734375" style="2"/>
    <col min="12545" max="12545" width="4.5546875" style="2" customWidth="1"/>
    <col min="12546" max="12547" width="6.77734375" style="2" customWidth="1"/>
    <col min="12548" max="12548" width="3.21875" style="2" customWidth="1"/>
    <col min="12549" max="12549" width="4.21875" style="2" customWidth="1"/>
    <col min="12550" max="12550" width="5.44140625" style="2" customWidth="1"/>
    <col min="12551" max="12551" width="7.77734375" style="2" customWidth="1"/>
    <col min="12552" max="12552" width="5.21875" style="2" customWidth="1"/>
    <col min="12553" max="12553" width="7" style="2" customWidth="1"/>
    <col min="12554" max="12554" width="5.21875" style="2" customWidth="1"/>
    <col min="12555" max="12555" width="7" style="2" customWidth="1"/>
    <col min="12556" max="12556" width="4.21875" style="2" customWidth="1"/>
    <col min="12557" max="12557" width="6.77734375" style="2" customWidth="1"/>
    <col min="12558" max="12558" width="5.44140625" style="2" customWidth="1"/>
    <col min="12559" max="12559" width="7" style="2" customWidth="1"/>
    <col min="12560" max="12560" width="5.21875" style="2" customWidth="1"/>
    <col min="12561" max="12561" width="4.77734375" style="2" customWidth="1"/>
    <col min="12562" max="12562" width="5.77734375" style="2" customWidth="1"/>
    <col min="12563" max="12563" width="7.44140625" style="2" customWidth="1"/>
    <col min="12564" max="12564" width="4" style="2" customWidth="1"/>
    <col min="12565" max="12565" width="6.44140625" style="2" customWidth="1"/>
    <col min="12566" max="12566" width="5.77734375" style="2" customWidth="1"/>
    <col min="12567" max="12567" width="6.77734375" style="2" customWidth="1"/>
    <col min="12568" max="12568" width="4.21875" style="2" customWidth="1"/>
    <col min="12569" max="12569" width="7.21875" style="2" customWidth="1"/>
    <col min="12570" max="12800" width="8.77734375" style="2"/>
    <col min="12801" max="12801" width="4.5546875" style="2" customWidth="1"/>
    <col min="12802" max="12803" width="6.77734375" style="2" customWidth="1"/>
    <col min="12804" max="12804" width="3.21875" style="2" customWidth="1"/>
    <col min="12805" max="12805" width="4.21875" style="2" customWidth="1"/>
    <col min="12806" max="12806" width="5.44140625" style="2" customWidth="1"/>
    <col min="12807" max="12807" width="7.77734375" style="2" customWidth="1"/>
    <col min="12808" max="12808" width="5.21875" style="2" customWidth="1"/>
    <col min="12809" max="12809" width="7" style="2" customWidth="1"/>
    <col min="12810" max="12810" width="5.21875" style="2" customWidth="1"/>
    <col min="12811" max="12811" width="7" style="2" customWidth="1"/>
    <col min="12812" max="12812" width="4.21875" style="2" customWidth="1"/>
    <col min="12813" max="12813" width="6.77734375" style="2" customWidth="1"/>
    <col min="12814" max="12814" width="5.44140625" style="2" customWidth="1"/>
    <col min="12815" max="12815" width="7" style="2" customWidth="1"/>
    <col min="12816" max="12816" width="5.21875" style="2" customWidth="1"/>
    <col min="12817" max="12817" width="4.77734375" style="2" customWidth="1"/>
    <col min="12818" max="12818" width="5.77734375" style="2" customWidth="1"/>
    <col min="12819" max="12819" width="7.44140625" style="2" customWidth="1"/>
    <col min="12820" max="12820" width="4" style="2" customWidth="1"/>
    <col min="12821" max="12821" width="6.44140625" style="2" customWidth="1"/>
    <col min="12822" max="12822" width="5.77734375" style="2" customWidth="1"/>
    <col min="12823" max="12823" width="6.77734375" style="2" customWidth="1"/>
    <col min="12824" max="12824" width="4.21875" style="2" customWidth="1"/>
    <col min="12825" max="12825" width="7.21875" style="2" customWidth="1"/>
    <col min="12826" max="13056" width="8.77734375" style="2"/>
    <col min="13057" max="13057" width="4.5546875" style="2" customWidth="1"/>
    <col min="13058" max="13059" width="6.77734375" style="2" customWidth="1"/>
    <col min="13060" max="13060" width="3.21875" style="2" customWidth="1"/>
    <col min="13061" max="13061" width="4.21875" style="2" customWidth="1"/>
    <col min="13062" max="13062" width="5.44140625" style="2" customWidth="1"/>
    <col min="13063" max="13063" width="7.77734375" style="2" customWidth="1"/>
    <col min="13064" max="13064" width="5.21875" style="2" customWidth="1"/>
    <col min="13065" max="13065" width="7" style="2" customWidth="1"/>
    <col min="13066" max="13066" width="5.21875" style="2" customWidth="1"/>
    <col min="13067" max="13067" width="7" style="2" customWidth="1"/>
    <col min="13068" max="13068" width="4.21875" style="2" customWidth="1"/>
    <col min="13069" max="13069" width="6.77734375" style="2" customWidth="1"/>
    <col min="13070" max="13070" width="5.44140625" style="2" customWidth="1"/>
    <col min="13071" max="13071" width="7" style="2" customWidth="1"/>
    <col min="13072" max="13072" width="5.21875" style="2" customWidth="1"/>
    <col min="13073" max="13073" width="4.77734375" style="2" customWidth="1"/>
    <col min="13074" max="13074" width="5.77734375" style="2" customWidth="1"/>
    <col min="13075" max="13075" width="7.44140625" style="2" customWidth="1"/>
    <col min="13076" max="13076" width="4" style="2" customWidth="1"/>
    <col min="13077" max="13077" width="6.44140625" style="2" customWidth="1"/>
    <col min="13078" max="13078" width="5.77734375" style="2" customWidth="1"/>
    <col min="13079" max="13079" width="6.77734375" style="2" customWidth="1"/>
    <col min="13080" max="13080" width="4.21875" style="2" customWidth="1"/>
    <col min="13081" max="13081" width="7.21875" style="2" customWidth="1"/>
    <col min="13082" max="13312" width="8.77734375" style="2"/>
    <col min="13313" max="13313" width="4.5546875" style="2" customWidth="1"/>
    <col min="13314" max="13315" width="6.77734375" style="2" customWidth="1"/>
    <col min="13316" max="13316" width="3.21875" style="2" customWidth="1"/>
    <col min="13317" max="13317" width="4.21875" style="2" customWidth="1"/>
    <col min="13318" max="13318" width="5.44140625" style="2" customWidth="1"/>
    <col min="13319" max="13319" width="7.77734375" style="2" customWidth="1"/>
    <col min="13320" max="13320" width="5.21875" style="2" customWidth="1"/>
    <col min="13321" max="13321" width="7" style="2" customWidth="1"/>
    <col min="13322" max="13322" width="5.21875" style="2" customWidth="1"/>
    <col min="13323" max="13323" width="7" style="2" customWidth="1"/>
    <col min="13324" max="13324" width="4.21875" style="2" customWidth="1"/>
    <col min="13325" max="13325" width="6.77734375" style="2" customWidth="1"/>
    <col min="13326" max="13326" width="5.44140625" style="2" customWidth="1"/>
    <col min="13327" max="13327" width="7" style="2" customWidth="1"/>
    <col min="13328" max="13328" width="5.21875" style="2" customWidth="1"/>
    <col min="13329" max="13329" width="4.77734375" style="2" customWidth="1"/>
    <col min="13330" max="13330" width="5.77734375" style="2" customWidth="1"/>
    <col min="13331" max="13331" width="7.44140625" style="2" customWidth="1"/>
    <col min="13332" max="13332" width="4" style="2" customWidth="1"/>
    <col min="13333" max="13333" width="6.44140625" style="2" customWidth="1"/>
    <col min="13334" max="13334" width="5.77734375" style="2" customWidth="1"/>
    <col min="13335" max="13335" width="6.77734375" style="2" customWidth="1"/>
    <col min="13336" max="13336" width="4.21875" style="2" customWidth="1"/>
    <col min="13337" max="13337" width="7.21875" style="2" customWidth="1"/>
    <col min="13338" max="13568" width="8.77734375" style="2"/>
    <col min="13569" max="13569" width="4.5546875" style="2" customWidth="1"/>
    <col min="13570" max="13571" width="6.77734375" style="2" customWidth="1"/>
    <col min="13572" max="13572" width="3.21875" style="2" customWidth="1"/>
    <col min="13573" max="13573" width="4.21875" style="2" customWidth="1"/>
    <col min="13574" max="13574" width="5.44140625" style="2" customWidth="1"/>
    <col min="13575" max="13575" width="7.77734375" style="2" customWidth="1"/>
    <col min="13576" max="13576" width="5.21875" style="2" customWidth="1"/>
    <col min="13577" max="13577" width="7" style="2" customWidth="1"/>
    <col min="13578" max="13578" width="5.21875" style="2" customWidth="1"/>
    <col min="13579" max="13579" width="7" style="2" customWidth="1"/>
    <col min="13580" max="13580" width="4.21875" style="2" customWidth="1"/>
    <col min="13581" max="13581" width="6.77734375" style="2" customWidth="1"/>
    <col min="13582" max="13582" width="5.44140625" style="2" customWidth="1"/>
    <col min="13583" max="13583" width="7" style="2" customWidth="1"/>
    <col min="13584" max="13584" width="5.21875" style="2" customWidth="1"/>
    <col min="13585" max="13585" width="4.77734375" style="2" customWidth="1"/>
    <col min="13586" max="13586" width="5.77734375" style="2" customWidth="1"/>
    <col min="13587" max="13587" width="7.44140625" style="2" customWidth="1"/>
    <col min="13588" max="13588" width="4" style="2" customWidth="1"/>
    <col min="13589" max="13589" width="6.44140625" style="2" customWidth="1"/>
    <col min="13590" max="13590" width="5.77734375" style="2" customWidth="1"/>
    <col min="13591" max="13591" width="6.77734375" style="2" customWidth="1"/>
    <col min="13592" max="13592" width="4.21875" style="2" customWidth="1"/>
    <col min="13593" max="13593" width="7.21875" style="2" customWidth="1"/>
    <col min="13594" max="13824" width="8.77734375" style="2"/>
    <col min="13825" max="13825" width="4.5546875" style="2" customWidth="1"/>
    <col min="13826" max="13827" width="6.77734375" style="2" customWidth="1"/>
    <col min="13828" max="13828" width="3.21875" style="2" customWidth="1"/>
    <col min="13829" max="13829" width="4.21875" style="2" customWidth="1"/>
    <col min="13830" max="13830" width="5.44140625" style="2" customWidth="1"/>
    <col min="13831" max="13831" width="7.77734375" style="2" customWidth="1"/>
    <col min="13832" max="13832" width="5.21875" style="2" customWidth="1"/>
    <col min="13833" max="13833" width="7" style="2" customWidth="1"/>
    <col min="13834" max="13834" width="5.21875" style="2" customWidth="1"/>
    <col min="13835" max="13835" width="7" style="2" customWidth="1"/>
    <col min="13836" max="13836" width="4.21875" style="2" customWidth="1"/>
    <col min="13837" max="13837" width="6.77734375" style="2" customWidth="1"/>
    <col min="13838" max="13838" width="5.44140625" style="2" customWidth="1"/>
    <col min="13839" max="13839" width="7" style="2" customWidth="1"/>
    <col min="13840" max="13840" width="5.21875" style="2" customWidth="1"/>
    <col min="13841" max="13841" width="4.77734375" style="2" customWidth="1"/>
    <col min="13842" max="13842" width="5.77734375" style="2" customWidth="1"/>
    <col min="13843" max="13843" width="7.44140625" style="2" customWidth="1"/>
    <col min="13844" max="13844" width="4" style="2" customWidth="1"/>
    <col min="13845" max="13845" width="6.44140625" style="2" customWidth="1"/>
    <col min="13846" max="13846" width="5.77734375" style="2" customWidth="1"/>
    <col min="13847" max="13847" width="6.77734375" style="2" customWidth="1"/>
    <col min="13848" max="13848" width="4.21875" style="2" customWidth="1"/>
    <col min="13849" max="13849" width="7.21875" style="2" customWidth="1"/>
    <col min="13850" max="14080" width="8.77734375" style="2"/>
    <col min="14081" max="14081" width="4.5546875" style="2" customWidth="1"/>
    <col min="14082" max="14083" width="6.77734375" style="2" customWidth="1"/>
    <col min="14084" max="14084" width="3.21875" style="2" customWidth="1"/>
    <col min="14085" max="14085" width="4.21875" style="2" customWidth="1"/>
    <col min="14086" max="14086" width="5.44140625" style="2" customWidth="1"/>
    <col min="14087" max="14087" width="7.77734375" style="2" customWidth="1"/>
    <col min="14088" max="14088" width="5.21875" style="2" customWidth="1"/>
    <col min="14089" max="14089" width="7" style="2" customWidth="1"/>
    <col min="14090" max="14090" width="5.21875" style="2" customWidth="1"/>
    <col min="14091" max="14091" width="7" style="2" customWidth="1"/>
    <col min="14092" max="14092" width="4.21875" style="2" customWidth="1"/>
    <col min="14093" max="14093" width="6.77734375" style="2" customWidth="1"/>
    <col min="14094" max="14094" width="5.44140625" style="2" customWidth="1"/>
    <col min="14095" max="14095" width="7" style="2" customWidth="1"/>
    <col min="14096" max="14096" width="5.21875" style="2" customWidth="1"/>
    <col min="14097" max="14097" width="4.77734375" style="2" customWidth="1"/>
    <col min="14098" max="14098" width="5.77734375" style="2" customWidth="1"/>
    <col min="14099" max="14099" width="7.44140625" style="2" customWidth="1"/>
    <col min="14100" max="14100" width="4" style="2" customWidth="1"/>
    <col min="14101" max="14101" width="6.44140625" style="2" customWidth="1"/>
    <col min="14102" max="14102" width="5.77734375" style="2" customWidth="1"/>
    <col min="14103" max="14103" width="6.77734375" style="2" customWidth="1"/>
    <col min="14104" max="14104" width="4.21875" style="2" customWidth="1"/>
    <col min="14105" max="14105" width="7.21875" style="2" customWidth="1"/>
    <col min="14106" max="14336" width="8.77734375" style="2"/>
    <col min="14337" max="14337" width="4.5546875" style="2" customWidth="1"/>
    <col min="14338" max="14339" width="6.77734375" style="2" customWidth="1"/>
    <col min="14340" max="14340" width="3.21875" style="2" customWidth="1"/>
    <col min="14341" max="14341" width="4.21875" style="2" customWidth="1"/>
    <col min="14342" max="14342" width="5.44140625" style="2" customWidth="1"/>
    <col min="14343" max="14343" width="7.77734375" style="2" customWidth="1"/>
    <col min="14344" max="14344" width="5.21875" style="2" customWidth="1"/>
    <col min="14345" max="14345" width="7" style="2" customWidth="1"/>
    <col min="14346" max="14346" width="5.21875" style="2" customWidth="1"/>
    <col min="14347" max="14347" width="7" style="2" customWidth="1"/>
    <col min="14348" max="14348" width="4.21875" style="2" customWidth="1"/>
    <col min="14349" max="14349" width="6.77734375" style="2" customWidth="1"/>
    <col min="14350" max="14350" width="5.44140625" style="2" customWidth="1"/>
    <col min="14351" max="14351" width="7" style="2" customWidth="1"/>
    <col min="14352" max="14352" width="5.21875" style="2" customWidth="1"/>
    <col min="14353" max="14353" width="4.77734375" style="2" customWidth="1"/>
    <col min="14354" max="14354" width="5.77734375" style="2" customWidth="1"/>
    <col min="14355" max="14355" width="7.44140625" style="2" customWidth="1"/>
    <col min="14356" max="14356" width="4" style="2" customWidth="1"/>
    <col min="14357" max="14357" width="6.44140625" style="2" customWidth="1"/>
    <col min="14358" max="14358" width="5.77734375" style="2" customWidth="1"/>
    <col min="14359" max="14359" width="6.77734375" style="2" customWidth="1"/>
    <col min="14360" max="14360" width="4.21875" style="2" customWidth="1"/>
    <col min="14361" max="14361" width="7.21875" style="2" customWidth="1"/>
    <col min="14362" max="14592" width="8.77734375" style="2"/>
    <col min="14593" max="14593" width="4.5546875" style="2" customWidth="1"/>
    <col min="14594" max="14595" width="6.77734375" style="2" customWidth="1"/>
    <col min="14596" max="14596" width="3.21875" style="2" customWidth="1"/>
    <col min="14597" max="14597" width="4.21875" style="2" customWidth="1"/>
    <col min="14598" max="14598" width="5.44140625" style="2" customWidth="1"/>
    <col min="14599" max="14599" width="7.77734375" style="2" customWidth="1"/>
    <col min="14600" max="14600" width="5.21875" style="2" customWidth="1"/>
    <col min="14601" max="14601" width="7" style="2" customWidth="1"/>
    <col min="14602" max="14602" width="5.21875" style="2" customWidth="1"/>
    <col min="14603" max="14603" width="7" style="2" customWidth="1"/>
    <col min="14604" max="14604" width="4.21875" style="2" customWidth="1"/>
    <col min="14605" max="14605" width="6.77734375" style="2" customWidth="1"/>
    <col min="14606" max="14606" width="5.44140625" style="2" customWidth="1"/>
    <col min="14607" max="14607" width="7" style="2" customWidth="1"/>
    <col min="14608" max="14608" width="5.21875" style="2" customWidth="1"/>
    <col min="14609" max="14609" width="4.77734375" style="2" customWidth="1"/>
    <col min="14610" max="14610" width="5.77734375" style="2" customWidth="1"/>
    <col min="14611" max="14611" width="7.44140625" style="2" customWidth="1"/>
    <col min="14612" max="14612" width="4" style="2" customWidth="1"/>
    <col min="14613" max="14613" width="6.44140625" style="2" customWidth="1"/>
    <col min="14614" max="14614" width="5.77734375" style="2" customWidth="1"/>
    <col min="14615" max="14615" width="6.77734375" style="2" customWidth="1"/>
    <col min="14616" max="14616" width="4.21875" style="2" customWidth="1"/>
    <col min="14617" max="14617" width="7.21875" style="2" customWidth="1"/>
    <col min="14618" max="14848" width="8.77734375" style="2"/>
    <col min="14849" max="14849" width="4.5546875" style="2" customWidth="1"/>
    <col min="14850" max="14851" width="6.77734375" style="2" customWidth="1"/>
    <col min="14852" max="14852" width="3.21875" style="2" customWidth="1"/>
    <col min="14853" max="14853" width="4.21875" style="2" customWidth="1"/>
    <col min="14854" max="14854" width="5.44140625" style="2" customWidth="1"/>
    <col min="14855" max="14855" width="7.77734375" style="2" customWidth="1"/>
    <col min="14856" max="14856" width="5.21875" style="2" customWidth="1"/>
    <col min="14857" max="14857" width="7" style="2" customWidth="1"/>
    <col min="14858" max="14858" width="5.21875" style="2" customWidth="1"/>
    <col min="14859" max="14859" width="7" style="2" customWidth="1"/>
    <col min="14860" max="14860" width="4.21875" style="2" customWidth="1"/>
    <col min="14861" max="14861" width="6.77734375" style="2" customWidth="1"/>
    <col min="14862" max="14862" width="5.44140625" style="2" customWidth="1"/>
    <col min="14863" max="14863" width="7" style="2" customWidth="1"/>
    <col min="14864" max="14864" width="5.21875" style="2" customWidth="1"/>
    <col min="14865" max="14865" width="4.77734375" style="2" customWidth="1"/>
    <col min="14866" max="14866" width="5.77734375" style="2" customWidth="1"/>
    <col min="14867" max="14867" width="7.44140625" style="2" customWidth="1"/>
    <col min="14868" max="14868" width="4" style="2" customWidth="1"/>
    <col min="14869" max="14869" width="6.44140625" style="2" customWidth="1"/>
    <col min="14870" max="14870" width="5.77734375" style="2" customWidth="1"/>
    <col min="14871" max="14871" width="6.77734375" style="2" customWidth="1"/>
    <col min="14872" max="14872" width="4.21875" style="2" customWidth="1"/>
    <col min="14873" max="14873" width="7.21875" style="2" customWidth="1"/>
    <col min="14874" max="15104" width="8.77734375" style="2"/>
    <col min="15105" max="15105" width="4.5546875" style="2" customWidth="1"/>
    <col min="15106" max="15107" width="6.77734375" style="2" customWidth="1"/>
    <col min="15108" max="15108" width="3.21875" style="2" customWidth="1"/>
    <col min="15109" max="15109" width="4.21875" style="2" customWidth="1"/>
    <col min="15110" max="15110" width="5.44140625" style="2" customWidth="1"/>
    <col min="15111" max="15111" width="7.77734375" style="2" customWidth="1"/>
    <col min="15112" max="15112" width="5.21875" style="2" customWidth="1"/>
    <col min="15113" max="15113" width="7" style="2" customWidth="1"/>
    <col min="15114" max="15114" width="5.21875" style="2" customWidth="1"/>
    <col min="15115" max="15115" width="7" style="2" customWidth="1"/>
    <col min="15116" max="15116" width="4.21875" style="2" customWidth="1"/>
    <col min="15117" max="15117" width="6.77734375" style="2" customWidth="1"/>
    <col min="15118" max="15118" width="5.44140625" style="2" customWidth="1"/>
    <col min="15119" max="15119" width="7" style="2" customWidth="1"/>
    <col min="15120" max="15120" width="5.21875" style="2" customWidth="1"/>
    <col min="15121" max="15121" width="4.77734375" style="2" customWidth="1"/>
    <col min="15122" max="15122" width="5.77734375" style="2" customWidth="1"/>
    <col min="15123" max="15123" width="7.44140625" style="2" customWidth="1"/>
    <col min="15124" max="15124" width="4" style="2" customWidth="1"/>
    <col min="15125" max="15125" width="6.44140625" style="2" customWidth="1"/>
    <col min="15126" max="15126" width="5.77734375" style="2" customWidth="1"/>
    <col min="15127" max="15127" width="6.77734375" style="2" customWidth="1"/>
    <col min="15128" max="15128" width="4.21875" style="2" customWidth="1"/>
    <col min="15129" max="15129" width="7.21875" style="2" customWidth="1"/>
    <col min="15130" max="15360" width="8.77734375" style="2"/>
    <col min="15361" max="15361" width="4.5546875" style="2" customWidth="1"/>
    <col min="15362" max="15363" width="6.77734375" style="2" customWidth="1"/>
    <col min="15364" max="15364" width="3.21875" style="2" customWidth="1"/>
    <col min="15365" max="15365" width="4.21875" style="2" customWidth="1"/>
    <col min="15366" max="15366" width="5.44140625" style="2" customWidth="1"/>
    <col min="15367" max="15367" width="7.77734375" style="2" customWidth="1"/>
    <col min="15368" max="15368" width="5.21875" style="2" customWidth="1"/>
    <col min="15369" max="15369" width="7" style="2" customWidth="1"/>
    <col min="15370" max="15370" width="5.21875" style="2" customWidth="1"/>
    <col min="15371" max="15371" width="7" style="2" customWidth="1"/>
    <col min="15372" max="15372" width="4.21875" style="2" customWidth="1"/>
    <col min="15373" max="15373" width="6.77734375" style="2" customWidth="1"/>
    <col min="15374" max="15374" width="5.44140625" style="2" customWidth="1"/>
    <col min="15375" max="15375" width="7" style="2" customWidth="1"/>
    <col min="15376" max="15376" width="5.21875" style="2" customWidth="1"/>
    <col min="15377" max="15377" width="4.77734375" style="2" customWidth="1"/>
    <col min="15378" max="15378" width="5.77734375" style="2" customWidth="1"/>
    <col min="15379" max="15379" width="7.44140625" style="2" customWidth="1"/>
    <col min="15380" max="15380" width="4" style="2" customWidth="1"/>
    <col min="15381" max="15381" width="6.44140625" style="2" customWidth="1"/>
    <col min="15382" max="15382" width="5.77734375" style="2" customWidth="1"/>
    <col min="15383" max="15383" width="6.77734375" style="2" customWidth="1"/>
    <col min="15384" max="15384" width="4.21875" style="2" customWidth="1"/>
    <col min="15385" max="15385" width="7.21875" style="2" customWidth="1"/>
    <col min="15386" max="15616" width="8.77734375" style="2"/>
    <col min="15617" max="15617" width="4.5546875" style="2" customWidth="1"/>
    <col min="15618" max="15619" width="6.77734375" style="2" customWidth="1"/>
    <col min="15620" max="15620" width="3.21875" style="2" customWidth="1"/>
    <col min="15621" max="15621" width="4.21875" style="2" customWidth="1"/>
    <col min="15622" max="15622" width="5.44140625" style="2" customWidth="1"/>
    <col min="15623" max="15623" width="7.77734375" style="2" customWidth="1"/>
    <col min="15624" max="15624" width="5.21875" style="2" customWidth="1"/>
    <col min="15625" max="15625" width="7" style="2" customWidth="1"/>
    <col min="15626" max="15626" width="5.21875" style="2" customWidth="1"/>
    <col min="15627" max="15627" width="7" style="2" customWidth="1"/>
    <col min="15628" max="15628" width="4.21875" style="2" customWidth="1"/>
    <col min="15629" max="15629" width="6.77734375" style="2" customWidth="1"/>
    <col min="15630" max="15630" width="5.44140625" style="2" customWidth="1"/>
    <col min="15631" max="15631" width="7" style="2" customWidth="1"/>
    <col min="15632" max="15632" width="5.21875" style="2" customWidth="1"/>
    <col min="15633" max="15633" width="4.77734375" style="2" customWidth="1"/>
    <col min="15634" max="15634" width="5.77734375" style="2" customWidth="1"/>
    <col min="15635" max="15635" width="7.44140625" style="2" customWidth="1"/>
    <col min="15636" max="15636" width="4" style="2" customWidth="1"/>
    <col min="15637" max="15637" width="6.44140625" style="2" customWidth="1"/>
    <col min="15638" max="15638" width="5.77734375" style="2" customWidth="1"/>
    <col min="15639" max="15639" width="6.77734375" style="2" customWidth="1"/>
    <col min="15640" max="15640" width="4.21875" style="2" customWidth="1"/>
    <col min="15641" max="15641" width="7.21875" style="2" customWidth="1"/>
    <col min="15642" max="15872" width="8.77734375" style="2"/>
    <col min="15873" max="15873" width="4.5546875" style="2" customWidth="1"/>
    <col min="15874" max="15875" width="6.77734375" style="2" customWidth="1"/>
    <col min="15876" max="15876" width="3.21875" style="2" customWidth="1"/>
    <col min="15877" max="15877" width="4.21875" style="2" customWidth="1"/>
    <col min="15878" max="15878" width="5.44140625" style="2" customWidth="1"/>
    <col min="15879" max="15879" width="7.77734375" style="2" customWidth="1"/>
    <col min="15880" max="15880" width="5.21875" style="2" customWidth="1"/>
    <col min="15881" max="15881" width="7" style="2" customWidth="1"/>
    <col min="15882" max="15882" width="5.21875" style="2" customWidth="1"/>
    <col min="15883" max="15883" width="7" style="2" customWidth="1"/>
    <col min="15884" max="15884" width="4.21875" style="2" customWidth="1"/>
    <col min="15885" max="15885" width="6.77734375" style="2" customWidth="1"/>
    <col min="15886" max="15886" width="5.44140625" style="2" customWidth="1"/>
    <col min="15887" max="15887" width="7" style="2" customWidth="1"/>
    <col min="15888" max="15888" width="5.21875" style="2" customWidth="1"/>
    <col min="15889" max="15889" width="4.77734375" style="2" customWidth="1"/>
    <col min="15890" max="15890" width="5.77734375" style="2" customWidth="1"/>
    <col min="15891" max="15891" width="7.44140625" style="2" customWidth="1"/>
    <col min="15892" max="15892" width="4" style="2" customWidth="1"/>
    <col min="15893" max="15893" width="6.44140625" style="2" customWidth="1"/>
    <col min="15894" max="15894" width="5.77734375" style="2" customWidth="1"/>
    <col min="15895" max="15895" width="6.77734375" style="2" customWidth="1"/>
    <col min="15896" max="15896" width="4.21875" style="2" customWidth="1"/>
    <col min="15897" max="15897" width="7.21875" style="2" customWidth="1"/>
    <col min="15898" max="16128" width="8.77734375" style="2"/>
    <col min="16129" max="16129" width="4.5546875" style="2" customWidth="1"/>
    <col min="16130" max="16131" width="6.77734375" style="2" customWidth="1"/>
    <col min="16132" max="16132" width="3.21875" style="2" customWidth="1"/>
    <col min="16133" max="16133" width="4.21875" style="2" customWidth="1"/>
    <col min="16134" max="16134" width="5.44140625" style="2" customWidth="1"/>
    <col min="16135" max="16135" width="7.77734375" style="2" customWidth="1"/>
    <col min="16136" max="16136" width="5.21875" style="2" customWidth="1"/>
    <col min="16137" max="16137" width="7" style="2" customWidth="1"/>
    <col min="16138" max="16138" width="5.21875" style="2" customWidth="1"/>
    <col min="16139" max="16139" width="7" style="2" customWidth="1"/>
    <col min="16140" max="16140" width="4.21875" style="2" customWidth="1"/>
    <col min="16141" max="16141" width="6.77734375" style="2" customWidth="1"/>
    <col min="16142" max="16142" width="5.44140625" style="2" customWidth="1"/>
    <col min="16143" max="16143" width="7" style="2" customWidth="1"/>
    <col min="16144" max="16144" width="5.21875" style="2" customWidth="1"/>
    <col min="16145" max="16145" width="4.77734375" style="2" customWidth="1"/>
    <col min="16146" max="16146" width="5.77734375" style="2" customWidth="1"/>
    <col min="16147" max="16147" width="7.44140625" style="2" customWidth="1"/>
    <col min="16148" max="16148" width="4" style="2" customWidth="1"/>
    <col min="16149" max="16149" width="6.44140625" style="2" customWidth="1"/>
    <col min="16150" max="16150" width="5.77734375" style="2" customWidth="1"/>
    <col min="16151" max="16151" width="6.77734375" style="2" customWidth="1"/>
    <col min="16152" max="16152" width="4.21875" style="2" customWidth="1"/>
    <col min="16153" max="16153" width="7.21875" style="2" customWidth="1"/>
    <col min="16154" max="16384" width="8.77734375" style="2"/>
  </cols>
  <sheetData>
    <row r="1" spans="1:28">
      <c r="A1" s="32" t="s">
        <v>103</v>
      </c>
      <c r="B1" s="32"/>
      <c r="C1" s="32"/>
      <c r="D1" s="32"/>
      <c r="E1" s="32" t="s">
        <v>104</v>
      </c>
      <c r="F1" s="32"/>
      <c r="G1" s="32"/>
      <c r="H1" s="32"/>
      <c r="I1" s="32" t="s">
        <v>105</v>
      </c>
      <c r="J1" s="32"/>
      <c r="K1" s="32"/>
      <c r="L1" s="32"/>
      <c r="M1" s="32" t="s">
        <v>106</v>
      </c>
      <c r="N1" s="32"/>
      <c r="O1" s="32"/>
      <c r="P1" s="32"/>
      <c r="Q1" s="32" t="s">
        <v>75</v>
      </c>
      <c r="R1" s="32"/>
      <c r="S1" s="32"/>
      <c r="T1" s="32"/>
      <c r="U1" s="32" t="s">
        <v>34</v>
      </c>
      <c r="V1" s="32"/>
      <c r="W1" s="32"/>
      <c r="X1" s="32"/>
      <c r="Y1" s="32" t="s">
        <v>107</v>
      </c>
      <c r="Z1" s="32"/>
      <c r="AA1" s="32"/>
      <c r="AB1" s="32"/>
    </row>
    <row r="2" spans="1:28">
      <c r="A2" s="58" t="s">
        <v>108</v>
      </c>
      <c r="B2" s="58" t="s">
        <v>109</v>
      </c>
      <c r="C2" s="58" t="s">
        <v>110</v>
      </c>
      <c r="D2" s="32"/>
      <c r="E2" s="58" t="s">
        <v>108</v>
      </c>
      <c r="F2" s="58" t="s">
        <v>109</v>
      </c>
      <c r="G2" s="58" t="s">
        <v>110</v>
      </c>
      <c r="H2" s="32"/>
      <c r="I2" s="58" t="s">
        <v>108</v>
      </c>
      <c r="J2" s="58" t="s">
        <v>109</v>
      </c>
      <c r="K2" s="58" t="s">
        <v>110</v>
      </c>
      <c r="L2" s="32"/>
      <c r="M2" s="58" t="s">
        <v>108</v>
      </c>
      <c r="N2" s="58" t="s">
        <v>109</v>
      </c>
      <c r="O2" s="58" t="s">
        <v>110</v>
      </c>
      <c r="P2" s="58"/>
      <c r="Q2" s="58" t="s">
        <v>108</v>
      </c>
      <c r="R2" s="58" t="s">
        <v>109</v>
      </c>
      <c r="S2" s="58" t="s">
        <v>110</v>
      </c>
      <c r="T2" s="32"/>
      <c r="U2" s="58" t="s">
        <v>108</v>
      </c>
      <c r="V2" s="58" t="s">
        <v>109</v>
      </c>
      <c r="W2" s="58" t="s">
        <v>110</v>
      </c>
      <c r="X2" s="32"/>
      <c r="Y2" s="58" t="s">
        <v>111</v>
      </c>
      <c r="Z2" s="58" t="s">
        <v>112</v>
      </c>
      <c r="AA2" s="58" t="s">
        <v>110</v>
      </c>
      <c r="AB2" s="32"/>
    </row>
    <row r="3" spans="1:28">
      <c r="A3" s="59">
        <v>0</v>
      </c>
      <c r="B3" s="59">
        <v>0</v>
      </c>
      <c r="C3" s="59">
        <v>0</v>
      </c>
      <c r="D3" s="32"/>
      <c r="E3" s="59">
        <v>0</v>
      </c>
      <c r="F3" s="59">
        <v>0</v>
      </c>
      <c r="G3" s="59">
        <v>0</v>
      </c>
      <c r="H3" s="32"/>
      <c r="I3" s="59">
        <v>0</v>
      </c>
      <c r="J3" s="59">
        <v>0</v>
      </c>
      <c r="K3" s="59">
        <v>0</v>
      </c>
      <c r="L3" s="32"/>
      <c r="M3" s="59">
        <v>0</v>
      </c>
      <c r="N3" s="59">
        <v>0</v>
      </c>
      <c r="O3" s="59">
        <v>0</v>
      </c>
      <c r="P3" s="58"/>
      <c r="Q3" s="59">
        <v>0</v>
      </c>
      <c r="R3" s="59">
        <v>0</v>
      </c>
      <c r="S3" s="59">
        <v>0</v>
      </c>
      <c r="T3" s="32"/>
      <c r="U3" s="59">
        <v>0</v>
      </c>
      <c r="V3" s="59">
        <v>0</v>
      </c>
      <c r="W3" s="59">
        <v>0</v>
      </c>
      <c r="X3" s="32"/>
      <c r="Y3" s="59">
        <v>8</v>
      </c>
      <c r="Z3" s="59">
        <v>16</v>
      </c>
      <c r="AA3" s="59">
        <v>0</v>
      </c>
      <c r="AB3" s="32"/>
    </row>
    <row r="4" spans="1:28">
      <c r="A4" s="32">
        <v>1</v>
      </c>
      <c r="B4" s="32">
        <v>0</v>
      </c>
      <c r="C4" s="32">
        <v>0</v>
      </c>
      <c r="D4" s="32"/>
      <c r="E4" s="32">
        <v>1</v>
      </c>
      <c r="F4" s="32">
        <v>12</v>
      </c>
      <c r="G4" s="32">
        <v>1</v>
      </c>
      <c r="H4" s="32"/>
      <c r="I4" s="32">
        <v>1</v>
      </c>
      <c r="J4" s="32">
        <v>12</v>
      </c>
      <c r="K4" s="32">
        <v>1</v>
      </c>
      <c r="L4" s="32"/>
      <c r="M4" s="32">
        <v>1</v>
      </c>
      <c r="N4" s="32">
        <v>12</v>
      </c>
      <c r="O4" s="32">
        <v>1</v>
      </c>
      <c r="P4" s="32"/>
      <c r="Q4" s="32">
        <v>1</v>
      </c>
      <c r="R4" s="32">
        <v>12</v>
      </c>
      <c r="S4" s="32">
        <v>0</v>
      </c>
      <c r="T4" s="32"/>
      <c r="U4" s="32">
        <v>1</v>
      </c>
      <c r="V4" s="32">
        <v>14.5</v>
      </c>
      <c r="W4" s="32">
        <v>0.25</v>
      </c>
      <c r="X4" s="32"/>
      <c r="Y4" s="32">
        <v>9</v>
      </c>
      <c r="Z4" s="32">
        <v>14</v>
      </c>
      <c r="AA4" s="32">
        <v>0</v>
      </c>
      <c r="AB4" s="32"/>
    </row>
    <row r="5" spans="1:28">
      <c r="A5" s="32">
        <v>8</v>
      </c>
      <c r="B5" s="32">
        <v>40</v>
      </c>
      <c r="C5" s="32">
        <v>0.5</v>
      </c>
      <c r="D5" s="32"/>
      <c r="E5" s="32">
        <v>16.600000000000001</v>
      </c>
      <c r="F5" s="32">
        <v>12</v>
      </c>
      <c r="G5" s="32">
        <v>1.4</v>
      </c>
      <c r="H5" s="32"/>
      <c r="I5" s="32">
        <v>16.600000000000001</v>
      </c>
      <c r="J5" s="32">
        <v>12</v>
      </c>
      <c r="K5" s="32">
        <v>1.4</v>
      </c>
      <c r="L5" s="32"/>
      <c r="M5" s="32">
        <v>17</v>
      </c>
      <c r="N5" s="32">
        <v>12</v>
      </c>
      <c r="O5" s="32">
        <v>1.4</v>
      </c>
      <c r="P5" s="32"/>
      <c r="Q5" s="32">
        <v>100</v>
      </c>
      <c r="R5" s="32">
        <v>12</v>
      </c>
      <c r="S5" s="32">
        <v>9</v>
      </c>
      <c r="T5" s="32"/>
      <c r="U5" s="32">
        <v>4</v>
      </c>
      <c r="V5" s="32">
        <v>14.5</v>
      </c>
      <c r="W5" s="32">
        <v>0.5</v>
      </c>
      <c r="X5" s="32"/>
      <c r="Y5" s="32">
        <v>12</v>
      </c>
      <c r="Z5" s="32">
        <v>0</v>
      </c>
      <c r="AA5" s="32">
        <v>8</v>
      </c>
      <c r="AB5" s="32"/>
    </row>
    <row r="6" spans="1:28">
      <c r="A6" s="32">
        <v>16</v>
      </c>
      <c r="B6" s="32">
        <v>40</v>
      </c>
      <c r="C6" s="32">
        <v>0.6</v>
      </c>
      <c r="D6" s="32"/>
      <c r="E6" s="32">
        <v>33.6</v>
      </c>
      <c r="F6" s="32">
        <v>13</v>
      </c>
      <c r="G6" s="32">
        <v>2.8</v>
      </c>
      <c r="H6" s="32"/>
      <c r="I6" s="32">
        <v>33.6</v>
      </c>
      <c r="J6" s="32">
        <v>13</v>
      </c>
      <c r="K6" s="32">
        <v>2.8</v>
      </c>
      <c r="L6" s="32"/>
      <c r="M6" s="32">
        <v>34</v>
      </c>
      <c r="N6" s="32">
        <v>13</v>
      </c>
      <c r="O6" s="32">
        <v>2.8</v>
      </c>
      <c r="P6" s="32"/>
      <c r="Q6" s="32">
        <v>200</v>
      </c>
      <c r="R6" s="32">
        <v>13.5</v>
      </c>
      <c r="S6" s="32">
        <v>17</v>
      </c>
      <c r="T6" s="32"/>
      <c r="U6" s="32">
        <v>8</v>
      </c>
      <c r="V6" s="32">
        <v>14.5</v>
      </c>
      <c r="W6" s="32">
        <v>0.75</v>
      </c>
      <c r="X6" s="32"/>
      <c r="Y6" s="32"/>
      <c r="Z6" s="32"/>
      <c r="AA6" s="32"/>
      <c r="AB6" s="32"/>
    </row>
    <row r="7" spans="1:28">
      <c r="A7" s="32">
        <v>21</v>
      </c>
      <c r="B7" s="32">
        <v>40</v>
      </c>
      <c r="C7" s="32">
        <v>0.75</v>
      </c>
      <c r="D7" s="32"/>
      <c r="E7" s="32">
        <v>51.7</v>
      </c>
      <c r="F7" s="32">
        <v>15</v>
      </c>
      <c r="G7" s="32">
        <v>4</v>
      </c>
      <c r="H7" s="32"/>
      <c r="I7" s="32">
        <v>51.7</v>
      </c>
      <c r="J7" s="32">
        <v>15</v>
      </c>
      <c r="K7" s="32">
        <v>4</v>
      </c>
      <c r="L7" s="32"/>
      <c r="M7" s="32">
        <v>52</v>
      </c>
      <c r="N7" s="32">
        <v>15</v>
      </c>
      <c r="O7" s="32">
        <v>4</v>
      </c>
      <c r="P7" s="32"/>
      <c r="Q7" s="32">
        <v>300</v>
      </c>
      <c r="R7" s="32">
        <v>14.5</v>
      </c>
      <c r="S7" s="32">
        <v>22</v>
      </c>
      <c r="T7" s="32"/>
      <c r="U7" s="32">
        <v>12</v>
      </c>
      <c r="V7" s="32">
        <v>14.5</v>
      </c>
      <c r="W7" s="32">
        <v>1</v>
      </c>
      <c r="X7" s="32"/>
      <c r="Y7" s="32"/>
      <c r="Z7" s="32"/>
      <c r="AA7" s="32"/>
      <c r="AB7" s="32"/>
    </row>
    <row r="8" spans="1:28">
      <c r="A8" s="32">
        <v>26</v>
      </c>
      <c r="B8" s="32">
        <v>40</v>
      </c>
      <c r="C8" s="32">
        <v>0.85</v>
      </c>
      <c r="D8" s="32"/>
      <c r="E8" s="32">
        <v>71.099999999999994</v>
      </c>
      <c r="F8" s="32">
        <v>16</v>
      </c>
      <c r="G8" s="32">
        <v>4.7</v>
      </c>
      <c r="H8" s="32"/>
      <c r="I8" s="32">
        <v>71.099999999999994</v>
      </c>
      <c r="J8" s="32">
        <v>16</v>
      </c>
      <c r="K8" s="32">
        <v>4.7</v>
      </c>
      <c r="L8" s="32"/>
      <c r="M8" s="32">
        <v>71</v>
      </c>
      <c r="N8" s="32">
        <v>16</v>
      </c>
      <c r="O8" s="32">
        <v>4.7</v>
      </c>
      <c r="P8" s="32"/>
      <c r="Q8" s="32">
        <v>400</v>
      </c>
      <c r="R8" s="32">
        <v>16</v>
      </c>
      <c r="S8" s="32">
        <v>28</v>
      </c>
      <c r="T8" s="32"/>
      <c r="U8" s="32">
        <v>14</v>
      </c>
      <c r="V8" s="32">
        <v>14.5</v>
      </c>
      <c r="W8" s="32">
        <v>1</v>
      </c>
      <c r="X8" s="32"/>
      <c r="Y8" s="32"/>
      <c r="Z8" s="32"/>
      <c r="AA8" s="32"/>
      <c r="AB8" s="32"/>
    </row>
    <row r="9" spans="1:28">
      <c r="A9" s="32">
        <v>31</v>
      </c>
      <c r="B9" s="32">
        <v>40</v>
      </c>
      <c r="C9" s="32">
        <v>1</v>
      </c>
      <c r="D9" s="32"/>
      <c r="E9" s="32">
        <v>110</v>
      </c>
      <c r="F9" s="32">
        <v>19</v>
      </c>
      <c r="G9" s="32">
        <v>6.8</v>
      </c>
      <c r="H9" s="32"/>
      <c r="I9" s="32">
        <v>110</v>
      </c>
      <c r="J9" s="32">
        <v>19</v>
      </c>
      <c r="K9" s="32">
        <v>6.8</v>
      </c>
      <c r="L9" s="32"/>
      <c r="M9" s="32">
        <v>110</v>
      </c>
      <c r="N9" s="32">
        <v>19</v>
      </c>
      <c r="O9" s="32">
        <v>6.8</v>
      </c>
      <c r="P9" s="32"/>
      <c r="Q9" s="32">
        <v>750</v>
      </c>
      <c r="R9" s="32">
        <v>18.5</v>
      </c>
      <c r="S9" s="32">
        <v>47</v>
      </c>
      <c r="T9" s="32"/>
      <c r="U9" s="32"/>
      <c r="V9" s="32"/>
      <c r="W9" s="32"/>
      <c r="X9" s="32"/>
      <c r="Y9" s="32"/>
      <c r="Z9" s="32"/>
      <c r="AA9" s="32"/>
      <c r="AB9" s="32"/>
    </row>
    <row r="10" spans="1:28">
      <c r="A10" s="32">
        <v>41</v>
      </c>
      <c r="B10" s="32">
        <v>40</v>
      </c>
      <c r="C10" s="32">
        <v>1</v>
      </c>
      <c r="D10" s="32"/>
      <c r="E10" s="32">
        <v>160</v>
      </c>
      <c r="F10" s="32">
        <v>20</v>
      </c>
      <c r="G10" s="32">
        <v>8.4</v>
      </c>
      <c r="H10" s="32"/>
      <c r="I10" s="32">
        <v>160</v>
      </c>
      <c r="J10" s="32">
        <v>20</v>
      </c>
      <c r="K10" s="32">
        <v>8.4</v>
      </c>
      <c r="L10" s="32"/>
      <c r="M10" s="32">
        <v>160</v>
      </c>
      <c r="N10" s="32">
        <v>20</v>
      </c>
      <c r="O10" s="32">
        <v>8.4</v>
      </c>
      <c r="P10" s="32"/>
      <c r="Q10" s="32"/>
      <c r="R10" s="32"/>
      <c r="S10" s="32"/>
      <c r="T10" s="32"/>
      <c r="U10" s="32"/>
      <c r="V10" s="32"/>
      <c r="W10" s="32"/>
      <c r="X10" s="32"/>
      <c r="Y10" s="32"/>
      <c r="Z10" s="32"/>
      <c r="AA10" s="32"/>
      <c r="AB10" s="32"/>
    </row>
    <row r="11" spans="1:28">
      <c r="A11" s="32"/>
      <c r="B11" s="32"/>
      <c r="C11" s="32"/>
      <c r="D11" s="32"/>
      <c r="E11" s="32">
        <v>300</v>
      </c>
      <c r="F11" s="32">
        <v>20</v>
      </c>
      <c r="G11" s="32">
        <v>15</v>
      </c>
      <c r="H11" s="32"/>
      <c r="I11" s="32">
        <v>300</v>
      </c>
      <c r="J11" s="32">
        <v>23</v>
      </c>
      <c r="K11" s="32">
        <v>15</v>
      </c>
      <c r="L11" s="32"/>
      <c r="M11" s="32">
        <v>300</v>
      </c>
      <c r="N11" s="32">
        <v>23</v>
      </c>
      <c r="O11" s="32">
        <v>15</v>
      </c>
      <c r="P11" s="32"/>
      <c r="Q11" s="32"/>
      <c r="R11" s="32"/>
      <c r="S11" s="32"/>
      <c r="T11" s="32"/>
      <c r="U11" s="32"/>
      <c r="V11" s="32"/>
      <c r="W11" s="32"/>
      <c r="X11" s="32"/>
      <c r="Y11" s="32"/>
      <c r="Z11" s="32"/>
      <c r="AA11" s="32"/>
      <c r="AB11" s="32"/>
    </row>
    <row r="12" spans="1:28">
      <c r="A12" s="32"/>
      <c r="B12" s="32"/>
      <c r="C12" s="32"/>
      <c r="D12" s="32"/>
      <c r="E12" s="32"/>
      <c r="F12" s="32"/>
      <c r="G12" s="32"/>
      <c r="H12" s="32"/>
      <c r="I12" s="32"/>
      <c r="J12" s="32"/>
      <c r="K12" s="32"/>
      <c r="L12" s="32"/>
      <c r="M12" s="32"/>
      <c r="N12" s="32"/>
      <c r="O12" s="32"/>
      <c r="P12" s="32"/>
      <c r="Q12" s="32"/>
      <c r="R12" s="32"/>
      <c r="S12" s="32"/>
      <c r="T12" s="32"/>
      <c r="U12" s="32"/>
      <c r="V12" s="32"/>
      <c r="W12" s="32"/>
      <c r="X12" s="32"/>
      <c r="Y12" s="32"/>
      <c r="Z12" s="32"/>
      <c r="AA12" s="32"/>
      <c r="AB12" s="32"/>
    </row>
  </sheetData>
  <sheetProtection password="CDD6" sheet="1" objects="1" scenarios="1"/>
  <pageMargins left="0.75" right="0.75" top="1" bottom="1" header="0.5" footer="0.5"/>
  <pageSetup orientation="portrait" r:id="rId1"/>
  <headerFooter alignWithMargins="0">
    <oddFooter>&amp;L&amp;F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tabColor indexed="12"/>
  </sheetPr>
  <dimension ref="A1:H24"/>
  <sheetViews>
    <sheetView workbookViewId="0">
      <selection activeCell="C10" sqref="C10"/>
    </sheetView>
  </sheetViews>
  <sheetFormatPr defaultRowHeight="13.2"/>
  <cols>
    <col min="1" max="1" width="9.21875" style="2"/>
    <col min="2" max="2" width="24" style="2" customWidth="1"/>
    <col min="3" max="3" width="13.5546875" style="2" customWidth="1"/>
    <col min="4" max="4" width="3.21875" style="2" customWidth="1"/>
    <col min="5" max="5" width="14.77734375" style="2" customWidth="1"/>
    <col min="6" max="6" width="3.21875" style="2" customWidth="1"/>
    <col min="7" max="7" width="14.5546875" style="2" customWidth="1"/>
    <col min="8" max="8" width="3.21875" style="2" customWidth="1"/>
    <col min="9" max="257" width="9.21875" style="2"/>
    <col min="258" max="258" width="24" style="2" customWidth="1"/>
    <col min="259" max="259" width="13.5546875" style="2" customWidth="1"/>
    <col min="260" max="260" width="3.21875" style="2" customWidth="1"/>
    <col min="261" max="261" width="14.77734375" style="2" customWidth="1"/>
    <col min="262" max="262" width="3.21875" style="2" customWidth="1"/>
    <col min="263" max="263" width="14.5546875" style="2" customWidth="1"/>
    <col min="264" max="264" width="3.21875" style="2" customWidth="1"/>
    <col min="265" max="513" width="9.21875" style="2"/>
    <col min="514" max="514" width="24" style="2" customWidth="1"/>
    <col min="515" max="515" width="13.5546875" style="2" customWidth="1"/>
    <col min="516" max="516" width="3.21875" style="2" customWidth="1"/>
    <col min="517" max="517" width="14.77734375" style="2" customWidth="1"/>
    <col min="518" max="518" width="3.21875" style="2" customWidth="1"/>
    <col min="519" max="519" width="14.5546875" style="2" customWidth="1"/>
    <col min="520" max="520" width="3.21875" style="2" customWidth="1"/>
    <col min="521" max="769" width="9.21875" style="2"/>
    <col min="770" max="770" width="24" style="2" customWidth="1"/>
    <col min="771" max="771" width="13.5546875" style="2" customWidth="1"/>
    <col min="772" max="772" width="3.21875" style="2" customWidth="1"/>
    <col min="773" max="773" width="14.77734375" style="2" customWidth="1"/>
    <col min="774" max="774" width="3.21875" style="2" customWidth="1"/>
    <col min="775" max="775" width="14.5546875" style="2" customWidth="1"/>
    <col min="776" max="776" width="3.21875" style="2" customWidth="1"/>
    <col min="777" max="1025" width="9.21875" style="2"/>
    <col min="1026" max="1026" width="24" style="2" customWidth="1"/>
    <col min="1027" max="1027" width="13.5546875" style="2" customWidth="1"/>
    <col min="1028" max="1028" width="3.21875" style="2" customWidth="1"/>
    <col min="1029" max="1029" width="14.77734375" style="2" customWidth="1"/>
    <col min="1030" max="1030" width="3.21875" style="2" customWidth="1"/>
    <col min="1031" max="1031" width="14.5546875" style="2" customWidth="1"/>
    <col min="1032" max="1032" width="3.21875" style="2" customWidth="1"/>
    <col min="1033" max="1281" width="9.21875" style="2"/>
    <col min="1282" max="1282" width="24" style="2" customWidth="1"/>
    <col min="1283" max="1283" width="13.5546875" style="2" customWidth="1"/>
    <col min="1284" max="1284" width="3.21875" style="2" customWidth="1"/>
    <col min="1285" max="1285" width="14.77734375" style="2" customWidth="1"/>
    <col min="1286" max="1286" width="3.21875" style="2" customWidth="1"/>
    <col min="1287" max="1287" width="14.5546875" style="2" customWidth="1"/>
    <col min="1288" max="1288" width="3.21875" style="2" customWidth="1"/>
    <col min="1289" max="1537" width="9.21875" style="2"/>
    <col min="1538" max="1538" width="24" style="2" customWidth="1"/>
    <col min="1539" max="1539" width="13.5546875" style="2" customWidth="1"/>
    <col min="1540" max="1540" width="3.21875" style="2" customWidth="1"/>
    <col min="1541" max="1541" width="14.77734375" style="2" customWidth="1"/>
    <col min="1542" max="1542" width="3.21875" style="2" customWidth="1"/>
    <col min="1543" max="1543" width="14.5546875" style="2" customWidth="1"/>
    <col min="1544" max="1544" width="3.21875" style="2" customWidth="1"/>
    <col min="1545" max="1793" width="9.21875" style="2"/>
    <col min="1794" max="1794" width="24" style="2" customWidth="1"/>
    <col min="1795" max="1795" width="13.5546875" style="2" customWidth="1"/>
    <col min="1796" max="1796" width="3.21875" style="2" customWidth="1"/>
    <col min="1797" max="1797" width="14.77734375" style="2" customWidth="1"/>
    <col min="1798" max="1798" width="3.21875" style="2" customWidth="1"/>
    <col min="1799" max="1799" width="14.5546875" style="2" customWidth="1"/>
    <col min="1800" max="1800" width="3.21875" style="2" customWidth="1"/>
    <col min="1801" max="2049" width="9.21875" style="2"/>
    <col min="2050" max="2050" width="24" style="2" customWidth="1"/>
    <col min="2051" max="2051" width="13.5546875" style="2" customWidth="1"/>
    <col min="2052" max="2052" width="3.21875" style="2" customWidth="1"/>
    <col min="2053" max="2053" width="14.77734375" style="2" customWidth="1"/>
    <col min="2054" max="2054" width="3.21875" style="2" customWidth="1"/>
    <col min="2055" max="2055" width="14.5546875" style="2" customWidth="1"/>
    <col min="2056" max="2056" width="3.21875" style="2" customWidth="1"/>
    <col min="2057" max="2305" width="9.21875" style="2"/>
    <col min="2306" max="2306" width="24" style="2" customWidth="1"/>
    <col min="2307" max="2307" width="13.5546875" style="2" customWidth="1"/>
    <col min="2308" max="2308" width="3.21875" style="2" customWidth="1"/>
    <col min="2309" max="2309" width="14.77734375" style="2" customWidth="1"/>
    <col min="2310" max="2310" width="3.21875" style="2" customWidth="1"/>
    <col min="2311" max="2311" width="14.5546875" style="2" customWidth="1"/>
    <col min="2312" max="2312" width="3.21875" style="2" customWidth="1"/>
    <col min="2313" max="2561" width="9.21875" style="2"/>
    <col min="2562" max="2562" width="24" style="2" customWidth="1"/>
    <col min="2563" max="2563" width="13.5546875" style="2" customWidth="1"/>
    <col min="2564" max="2564" width="3.21875" style="2" customWidth="1"/>
    <col min="2565" max="2565" width="14.77734375" style="2" customWidth="1"/>
    <col min="2566" max="2566" width="3.21875" style="2" customWidth="1"/>
    <col min="2567" max="2567" width="14.5546875" style="2" customWidth="1"/>
    <col min="2568" max="2568" width="3.21875" style="2" customWidth="1"/>
    <col min="2569" max="2817" width="9.21875" style="2"/>
    <col min="2818" max="2818" width="24" style="2" customWidth="1"/>
    <col min="2819" max="2819" width="13.5546875" style="2" customWidth="1"/>
    <col min="2820" max="2820" width="3.21875" style="2" customWidth="1"/>
    <col min="2821" max="2821" width="14.77734375" style="2" customWidth="1"/>
    <col min="2822" max="2822" width="3.21875" style="2" customWidth="1"/>
    <col min="2823" max="2823" width="14.5546875" style="2" customWidth="1"/>
    <col min="2824" max="2824" width="3.21875" style="2" customWidth="1"/>
    <col min="2825" max="3073" width="9.21875" style="2"/>
    <col min="3074" max="3074" width="24" style="2" customWidth="1"/>
    <col min="3075" max="3075" width="13.5546875" style="2" customWidth="1"/>
    <col min="3076" max="3076" width="3.21875" style="2" customWidth="1"/>
    <col min="3077" max="3077" width="14.77734375" style="2" customWidth="1"/>
    <col min="3078" max="3078" width="3.21875" style="2" customWidth="1"/>
    <col min="3079" max="3079" width="14.5546875" style="2" customWidth="1"/>
    <col min="3080" max="3080" width="3.21875" style="2" customWidth="1"/>
    <col min="3081" max="3329" width="9.21875" style="2"/>
    <col min="3330" max="3330" width="24" style="2" customWidth="1"/>
    <col min="3331" max="3331" width="13.5546875" style="2" customWidth="1"/>
    <col min="3332" max="3332" width="3.21875" style="2" customWidth="1"/>
    <col min="3333" max="3333" width="14.77734375" style="2" customWidth="1"/>
    <col min="3334" max="3334" width="3.21875" style="2" customWidth="1"/>
    <col min="3335" max="3335" width="14.5546875" style="2" customWidth="1"/>
    <col min="3336" max="3336" width="3.21875" style="2" customWidth="1"/>
    <col min="3337" max="3585" width="9.21875" style="2"/>
    <col min="3586" max="3586" width="24" style="2" customWidth="1"/>
    <col min="3587" max="3587" width="13.5546875" style="2" customWidth="1"/>
    <col min="3588" max="3588" width="3.21875" style="2" customWidth="1"/>
    <col min="3589" max="3589" width="14.77734375" style="2" customWidth="1"/>
    <col min="3590" max="3590" width="3.21875" style="2" customWidth="1"/>
    <col min="3591" max="3591" width="14.5546875" style="2" customWidth="1"/>
    <col min="3592" max="3592" width="3.21875" style="2" customWidth="1"/>
    <col min="3593" max="3841" width="9.21875" style="2"/>
    <col min="3842" max="3842" width="24" style="2" customWidth="1"/>
    <col min="3843" max="3843" width="13.5546875" style="2" customWidth="1"/>
    <col min="3844" max="3844" width="3.21875" style="2" customWidth="1"/>
    <col min="3845" max="3845" width="14.77734375" style="2" customWidth="1"/>
    <col min="3846" max="3846" width="3.21875" style="2" customWidth="1"/>
    <col min="3847" max="3847" width="14.5546875" style="2" customWidth="1"/>
    <col min="3848" max="3848" width="3.21875" style="2" customWidth="1"/>
    <col min="3849" max="4097" width="9.21875" style="2"/>
    <col min="4098" max="4098" width="24" style="2" customWidth="1"/>
    <col min="4099" max="4099" width="13.5546875" style="2" customWidth="1"/>
    <col min="4100" max="4100" width="3.21875" style="2" customWidth="1"/>
    <col min="4101" max="4101" width="14.77734375" style="2" customWidth="1"/>
    <col min="4102" max="4102" width="3.21875" style="2" customWidth="1"/>
    <col min="4103" max="4103" width="14.5546875" style="2" customWidth="1"/>
    <col min="4104" max="4104" width="3.21875" style="2" customWidth="1"/>
    <col min="4105" max="4353" width="9.21875" style="2"/>
    <col min="4354" max="4354" width="24" style="2" customWidth="1"/>
    <col min="4355" max="4355" width="13.5546875" style="2" customWidth="1"/>
    <col min="4356" max="4356" width="3.21875" style="2" customWidth="1"/>
    <col min="4357" max="4357" width="14.77734375" style="2" customWidth="1"/>
    <col min="4358" max="4358" width="3.21875" style="2" customWidth="1"/>
    <col min="4359" max="4359" width="14.5546875" style="2" customWidth="1"/>
    <col min="4360" max="4360" width="3.21875" style="2" customWidth="1"/>
    <col min="4361" max="4609" width="9.21875" style="2"/>
    <col min="4610" max="4610" width="24" style="2" customWidth="1"/>
    <col min="4611" max="4611" width="13.5546875" style="2" customWidth="1"/>
    <col min="4612" max="4612" width="3.21875" style="2" customWidth="1"/>
    <col min="4613" max="4613" width="14.77734375" style="2" customWidth="1"/>
    <col min="4614" max="4614" width="3.21875" style="2" customWidth="1"/>
    <col min="4615" max="4615" width="14.5546875" style="2" customWidth="1"/>
    <col min="4616" max="4616" width="3.21875" style="2" customWidth="1"/>
    <col min="4617" max="4865" width="9.21875" style="2"/>
    <col min="4866" max="4866" width="24" style="2" customWidth="1"/>
    <col min="4867" max="4867" width="13.5546875" style="2" customWidth="1"/>
    <col min="4868" max="4868" width="3.21875" style="2" customWidth="1"/>
    <col min="4869" max="4869" width="14.77734375" style="2" customWidth="1"/>
    <col min="4870" max="4870" width="3.21875" style="2" customWidth="1"/>
    <col min="4871" max="4871" width="14.5546875" style="2" customWidth="1"/>
    <col min="4872" max="4872" width="3.21875" style="2" customWidth="1"/>
    <col min="4873" max="5121" width="9.21875" style="2"/>
    <col min="5122" max="5122" width="24" style="2" customWidth="1"/>
    <col min="5123" max="5123" width="13.5546875" style="2" customWidth="1"/>
    <col min="5124" max="5124" width="3.21875" style="2" customWidth="1"/>
    <col min="5125" max="5125" width="14.77734375" style="2" customWidth="1"/>
    <col min="5126" max="5126" width="3.21875" style="2" customWidth="1"/>
    <col min="5127" max="5127" width="14.5546875" style="2" customWidth="1"/>
    <col min="5128" max="5128" width="3.21875" style="2" customWidth="1"/>
    <col min="5129" max="5377" width="9.21875" style="2"/>
    <col min="5378" max="5378" width="24" style="2" customWidth="1"/>
    <col min="5379" max="5379" width="13.5546875" style="2" customWidth="1"/>
    <col min="5380" max="5380" width="3.21875" style="2" customWidth="1"/>
    <col min="5381" max="5381" width="14.77734375" style="2" customWidth="1"/>
    <col min="5382" max="5382" width="3.21875" style="2" customWidth="1"/>
    <col min="5383" max="5383" width="14.5546875" style="2" customWidth="1"/>
    <col min="5384" max="5384" width="3.21875" style="2" customWidth="1"/>
    <col min="5385" max="5633" width="9.21875" style="2"/>
    <col min="5634" max="5634" width="24" style="2" customWidth="1"/>
    <col min="5635" max="5635" width="13.5546875" style="2" customWidth="1"/>
    <col min="5636" max="5636" width="3.21875" style="2" customWidth="1"/>
    <col min="5637" max="5637" width="14.77734375" style="2" customWidth="1"/>
    <col min="5638" max="5638" width="3.21875" style="2" customWidth="1"/>
    <col min="5639" max="5639" width="14.5546875" style="2" customWidth="1"/>
    <col min="5640" max="5640" width="3.21875" style="2" customWidth="1"/>
    <col min="5641" max="5889" width="9.21875" style="2"/>
    <col min="5890" max="5890" width="24" style="2" customWidth="1"/>
    <col min="5891" max="5891" width="13.5546875" style="2" customWidth="1"/>
    <col min="5892" max="5892" width="3.21875" style="2" customWidth="1"/>
    <col min="5893" max="5893" width="14.77734375" style="2" customWidth="1"/>
    <col min="5894" max="5894" width="3.21875" style="2" customWidth="1"/>
    <col min="5895" max="5895" width="14.5546875" style="2" customWidth="1"/>
    <col min="5896" max="5896" width="3.21875" style="2" customWidth="1"/>
    <col min="5897" max="6145" width="9.21875" style="2"/>
    <col min="6146" max="6146" width="24" style="2" customWidth="1"/>
    <col min="6147" max="6147" width="13.5546875" style="2" customWidth="1"/>
    <col min="6148" max="6148" width="3.21875" style="2" customWidth="1"/>
    <col min="6149" max="6149" width="14.77734375" style="2" customWidth="1"/>
    <col min="6150" max="6150" width="3.21875" style="2" customWidth="1"/>
    <col min="6151" max="6151" width="14.5546875" style="2" customWidth="1"/>
    <col min="6152" max="6152" width="3.21875" style="2" customWidth="1"/>
    <col min="6153" max="6401" width="9.21875" style="2"/>
    <col min="6402" max="6402" width="24" style="2" customWidth="1"/>
    <col min="6403" max="6403" width="13.5546875" style="2" customWidth="1"/>
    <col min="6404" max="6404" width="3.21875" style="2" customWidth="1"/>
    <col min="6405" max="6405" width="14.77734375" style="2" customWidth="1"/>
    <col min="6406" max="6406" width="3.21875" style="2" customWidth="1"/>
    <col min="6407" max="6407" width="14.5546875" style="2" customWidth="1"/>
    <col min="6408" max="6408" width="3.21875" style="2" customWidth="1"/>
    <col min="6409" max="6657" width="9.21875" style="2"/>
    <col min="6658" max="6658" width="24" style="2" customWidth="1"/>
    <col min="6659" max="6659" width="13.5546875" style="2" customWidth="1"/>
    <col min="6660" max="6660" width="3.21875" style="2" customWidth="1"/>
    <col min="6661" max="6661" width="14.77734375" style="2" customWidth="1"/>
    <col min="6662" max="6662" width="3.21875" style="2" customWidth="1"/>
    <col min="6663" max="6663" width="14.5546875" style="2" customWidth="1"/>
    <col min="6664" max="6664" width="3.21875" style="2" customWidth="1"/>
    <col min="6665" max="6913" width="9.21875" style="2"/>
    <col min="6914" max="6914" width="24" style="2" customWidth="1"/>
    <col min="6915" max="6915" width="13.5546875" style="2" customWidth="1"/>
    <col min="6916" max="6916" width="3.21875" style="2" customWidth="1"/>
    <col min="6917" max="6917" width="14.77734375" style="2" customWidth="1"/>
    <col min="6918" max="6918" width="3.21875" style="2" customWidth="1"/>
    <col min="6919" max="6919" width="14.5546875" style="2" customWidth="1"/>
    <col min="6920" max="6920" width="3.21875" style="2" customWidth="1"/>
    <col min="6921" max="7169" width="9.21875" style="2"/>
    <col min="7170" max="7170" width="24" style="2" customWidth="1"/>
    <col min="7171" max="7171" width="13.5546875" style="2" customWidth="1"/>
    <col min="7172" max="7172" width="3.21875" style="2" customWidth="1"/>
    <col min="7173" max="7173" width="14.77734375" style="2" customWidth="1"/>
    <col min="7174" max="7174" width="3.21875" style="2" customWidth="1"/>
    <col min="7175" max="7175" width="14.5546875" style="2" customWidth="1"/>
    <col min="7176" max="7176" width="3.21875" style="2" customWidth="1"/>
    <col min="7177" max="7425" width="9.21875" style="2"/>
    <col min="7426" max="7426" width="24" style="2" customWidth="1"/>
    <col min="7427" max="7427" width="13.5546875" style="2" customWidth="1"/>
    <col min="7428" max="7428" width="3.21875" style="2" customWidth="1"/>
    <col min="7429" max="7429" width="14.77734375" style="2" customWidth="1"/>
    <col min="7430" max="7430" width="3.21875" style="2" customWidth="1"/>
    <col min="7431" max="7431" width="14.5546875" style="2" customWidth="1"/>
    <col min="7432" max="7432" width="3.21875" style="2" customWidth="1"/>
    <col min="7433" max="7681" width="9.21875" style="2"/>
    <col min="7682" max="7682" width="24" style="2" customWidth="1"/>
    <col min="7683" max="7683" width="13.5546875" style="2" customWidth="1"/>
    <col min="7684" max="7684" width="3.21875" style="2" customWidth="1"/>
    <col min="7685" max="7685" width="14.77734375" style="2" customWidth="1"/>
    <col min="7686" max="7686" width="3.21875" style="2" customWidth="1"/>
    <col min="7687" max="7687" width="14.5546875" style="2" customWidth="1"/>
    <col min="7688" max="7688" width="3.21875" style="2" customWidth="1"/>
    <col min="7689" max="7937" width="9.21875" style="2"/>
    <col min="7938" max="7938" width="24" style="2" customWidth="1"/>
    <col min="7939" max="7939" width="13.5546875" style="2" customWidth="1"/>
    <col min="7940" max="7940" width="3.21875" style="2" customWidth="1"/>
    <col min="7941" max="7941" width="14.77734375" style="2" customWidth="1"/>
    <col min="7942" max="7942" width="3.21875" style="2" customWidth="1"/>
    <col min="7943" max="7943" width="14.5546875" style="2" customWidth="1"/>
    <col min="7944" max="7944" width="3.21875" style="2" customWidth="1"/>
    <col min="7945" max="8193" width="9.21875" style="2"/>
    <col min="8194" max="8194" width="24" style="2" customWidth="1"/>
    <col min="8195" max="8195" width="13.5546875" style="2" customWidth="1"/>
    <col min="8196" max="8196" width="3.21875" style="2" customWidth="1"/>
    <col min="8197" max="8197" width="14.77734375" style="2" customWidth="1"/>
    <col min="8198" max="8198" width="3.21875" style="2" customWidth="1"/>
    <col min="8199" max="8199" width="14.5546875" style="2" customWidth="1"/>
    <col min="8200" max="8200" width="3.21875" style="2" customWidth="1"/>
    <col min="8201" max="8449" width="9.21875" style="2"/>
    <col min="8450" max="8450" width="24" style="2" customWidth="1"/>
    <col min="8451" max="8451" width="13.5546875" style="2" customWidth="1"/>
    <col min="8452" max="8452" width="3.21875" style="2" customWidth="1"/>
    <col min="8453" max="8453" width="14.77734375" style="2" customWidth="1"/>
    <col min="8454" max="8454" width="3.21875" style="2" customWidth="1"/>
    <col min="8455" max="8455" width="14.5546875" style="2" customWidth="1"/>
    <col min="8456" max="8456" width="3.21875" style="2" customWidth="1"/>
    <col min="8457" max="8705" width="9.21875" style="2"/>
    <col min="8706" max="8706" width="24" style="2" customWidth="1"/>
    <col min="8707" max="8707" width="13.5546875" style="2" customWidth="1"/>
    <col min="8708" max="8708" width="3.21875" style="2" customWidth="1"/>
    <col min="8709" max="8709" width="14.77734375" style="2" customWidth="1"/>
    <col min="8710" max="8710" width="3.21875" style="2" customWidth="1"/>
    <col min="8711" max="8711" width="14.5546875" style="2" customWidth="1"/>
    <col min="8712" max="8712" width="3.21875" style="2" customWidth="1"/>
    <col min="8713" max="8961" width="9.21875" style="2"/>
    <col min="8962" max="8962" width="24" style="2" customWidth="1"/>
    <col min="8963" max="8963" width="13.5546875" style="2" customWidth="1"/>
    <col min="8964" max="8964" width="3.21875" style="2" customWidth="1"/>
    <col min="8965" max="8965" width="14.77734375" style="2" customWidth="1"/>
    <col min="8966" max="8966" width="3.21875" style="2" customWidth="1"/>
    <col min="8967" max="8967" width="14.5546875" style="2" customWidth="1"/>
    <col min="8968" max="8968" width="3.21875" style="2" customWidth="1"/>
    <col min="8969" max="9217" width="9.21875" style="2"/>
    <col min="9218" max="9218" width="24" style="2" customWidth="1"/>
    <col min="9219" max="9219" width="13.5546875" style="2" customWidth="1"/>
    <col min="9220" max="9220" width="3.21875" style="2" customWidth="1"/>
    <col min="9221" max="9221" width="14.77734375" style="2" customWidth="1"/>
    <col min="9222" max="9222" width="3.21875" style="2" customWidth="1"/>
    <col min="9223" max="9223" width="14.5546875" style="2" customWidth="1"/>
    <col min="9224" max="9224" width="3.21875" style="2" customWidth="1"/>
    <col min="9225" max="9473" width="9.21875" style="2"/>
    <col min="9474" max="9474" width="24" style="2" customWidth="1"/>
    <col min="9475" max="9475" width="13.5546875" style="2" customWidth="1"/>
    <col min="9476" max="9476" width="3.21875" style="2" customWidth="1"/>
    <col min="9477" max="9477" width="14.77734375" style="2" customWidth="1"/>
    <col min="9478" max="9478" width="3.21875" style="2" customWidth="1"/>
    <col min="9479" max="9479" width="14.5546875" style="2" customWidth="1"/>
    <col min="9480" max="9480" width="3.21875" style="2" customWidth="1"/>
    <col min="9481" max="9729" width="9.21875" style="2"/>
    <col min="9730" max="9730" width="24" style="2" customWidth="1"/>
    <col min="9731" max="9731" width="13.5546875" style="2" customWidth="1"/>
    <col min="9732" max="9732" width="3.21875" style="2" customWidth="1"/>
    <col min="9733" max="9733" width="14.77734375" style="2" customWidth="1"/>
    <col min="9734" max="9734" width="3.21875" style="2" customWidth="1"/>
    <col min="9735" max="9735" width="14.5546875" style="2" customWidth="1"/>
    <col min="9736" max="9736" width="3.21875" style="2" customWidth="1"/>
    <col min="9737" max="9985" width="9.21875" style="2"/>
    <col min="9986" max="9986" width="24" style="2" customWidth="1"/>
    <col min="9987" max="9987" width="13.5546875" style="2" customWidth="1"/>
    <col min="9988" max="9988" width="3.21875" style="2" customWidth="1"/>
    <col min="9989" max="9989" width="14.77734375" style="2" customWidth="1"/>
    <col min="9990" max="9990" width="3.21875" style="2" customWidth="1"/>
    <col min="9991" max="9991" width="14.5546875" style="2" customWidth="1"/>
    <col min="9992" max="9992" width="3.21875" style="2" customWidth="1"/>
    <col min="9993" max="10241" width="9.21875" style="2"/>
    <col min="10242" max="10242" width="24" style="2" customWidth="1"/>
    <col min="10243" max="10243" width="13.5546875" style="2" customWidth="1"/>
    <col min="10244" max="10244" width="3.21875" style="2" customWidth="1"/>
    <col min="10245" max="10245" width="14.77734375" style="2" customWidth="1"/>
    <col min="10246" max="10246" width="3.21875" style="2" customWidth="1"/>
    <col min="10247" max="10247" width="14.5546875" style="2" customWidth="1"/>
    <col min="10248" max="10248" width="3.21875" style="2" customWidth="1"/>
    <col min="10249" max="10497" width="9.21875" style="2"/>
    <col min="10498" max="10498" width="24" style="2" customWidth="1"/>
    <col min="10499" max="10499" width="13.5546875" style="2" customWidth="1"/>
    <col min="10500" max="10500" width="3.21875" style="2" customWidth="1"/>
    <col min="10501" max="10501" width="14.77734375" style="2" customWidth="1"/>
    <col min="10502" max="10502" width="3.21875" style="2" customWidth="1"/>
    <col min="10503" max="10503" width="14.5546875" style="2" customWidth="1"/>
    <col min="10504" max="10504" width="3.21875" style="2" customWidth="1"/>
    <col min="10505" max="10753" width="9.21875" style="2"/>
    <col min="10754" max="10754" width="24" style="2" customWidth="1"/>
    <col min="10755" max="10755" width="13.5546875" style="2" customWidth="1"/>
    <col min="10756" max="10756" width="3.21875" style="2" customWidth="1"/>
    <col min="10757" max="10757" width="14.77734375" style="2" customWidth="1"/>
    <col min="10758" max="10758" width="3.21875" style="2" customWidth="1"/>
    <col min="10759" max="10759" width="14.5546875" style="2" customWidth="1"/>
    <col min="10760" max="10760" width="3.21875" style="2" customWidth="1"/>
    <col min="10761" max="11009" width="9.21875" style="2"/>
    <col min="11010" max="11010" width="24" style="2" customWidth="1"/>
    <col min="11011" max="11011" width="13.5546875" style="2" customWidth="1"/>
    <col min="11012" max="11012" width="3.21875" style="2" customWidth="1"/>
    <col min="11013" max="11013" width="14.77734375" style="2" customWidth="1"/>
    <col min="11014" max="11014" width="3.21875" style="2" customWidth="1"/>
    <col min="11015" max="11015" width="14.5546875" style="2" customWidth="1"/>
    <col min="11016" max="11016" width="3.21875" style="2" customWidth="1"/>
    <col min="11017" max="11265" width="9.21875" style="2"/>
    <col min="11266" max="11266" width="24" style="2" customWidth="1"/>
    <col min="11267" max="11267" width="13.5546875" style="2" customWidth="1"/>
    <col min="11268" max="11268" width="3.21875" style="2" customWidth="1"/>
    <col min="11269" max="11269" width="14.77734375" style="2" customWidth="1"/>
    <col min="11270" max="11270" width="3.21875" style="2" customWidth="1"/>
    <col min="11271" max="11271" width="14.5546875" style="2" customWidth="1"/>
    <col min="11272" max="11272" width="3.21875" style="2" customWidth="1"/>
    <col min="11273" max="11521" width="9.21875" style="2"/>
    <col min="11522" max="11522" width="24" style="2" customWidth="1"/>
    <col min="11523" max="11523" width="13.5546875" style="2" customWidth="1"/>
    <col min="11524" max="11524" width="3.21875" style="2" customWidth="1"/>
    <col min="11525" max="11525" width="14.77734375" style="2" customWidth="1"/>
    <col min="11526" max="11526" width="3.21875" style="2" customWidth="1"/>
    <col min="11527" max="11527" width="14.5546875" style="2" customWidth="1"/>
    <col min="11528" max="11528" width="3.21875" style="2" customWidth="1"/>
    <col min="11529" max="11777" width="9.21875" style="2"/>
    <col min="11778" max="11778" width="24" style="2" customWidth="1"/>
    <col min="11779" max="11779" width="13.5546875" style="2" customWidth="1"/>
    <col min="11780" max="11780" width="3.21875" style="2" customWidth="1"/>
    <col min="11781" max="11781" width="14.77734375" style="2" customWidth="1"/>
    <col min="11782" max="11782" width="3.21875" style="2" customWidth="1"/>
    <col min="11783" max="11783" width="14.5546875" style="2" customWidth="1"/>
    <col min="11784" max="11784" width="3.21875" style="2" customWidth="1"/>
    <col min="11785" max="12033" width="9.21875" style="2"/>
    <col min="12034" max="12034" width="24" style="2" customWidth="1"/>
    <col min="12035" max="12035" width="13.5546875" style="2" customWidth="1"/>
    <col min="12036" max="12036" width="3.21875" style="2" customWidth="1"/>
    <col min="12037" max="12037" width="14.77734375" style="2" customWidth="1"/>
    <col min="12038" max="12038" width="3.21875" style="2" customWidth="1"/>
    <col min="12039" max="12039" width="14.5546875" style="2" customWidth="1"/>
    <col min="12040" max="12040" width="3.21875" style="2" customWidth="1"/>
    <col min="12041" max="12289" width="9.21875" style="2"/>
    <col min="12290" max="12290" width="24" style="2" customWidth="1"/>
    <col min="12291" max="12291" width="13.5546875" style="2" customWidth="1"/>
    <col min="12292" max="12292" width="3.21875" style="2" customWidth="1"/>
    <col min="12293" max="12293" width="14.77734375" style="2" customWidth="1"/>
    <col min="12294" max="12294" width="3.21875" style="2" customWidth="1"/>
    <col min="12295" max="12295" width="14.5546875" style="2" customWidth="1"/>
    <col min="12296" max="12296" width="3.21875" style="2" customWidth="1"/>
    <col min="12297" max="12545" width="9.21875" style="2"/>
    <col min="12546" max="12546" width="24" style="2" customWidth="1"/>
    <col min="12547" max="12547" width="13.5546875" style="2" customWidth="1"/>
    <col min="12548" max="12548" width="3.21875" style="2" customWidth="1"/>
    <col min="12549" max="12549" width="14.77734375" style="2" customWidth="1"/>
    <col min="12550" max="12550" width="3.21875" style="2" customWidth="1"/>
    <col min="12551" max="12551" width="14.5546875" style="2" customWidth="1"/>
    <col min="12552" max="12552" width="3.21875" style="2" customWidth="1"/>
    <col min="12553" max="12801" width="9.21875" style="2"/>
    <col min="12802" max="12802" width="24" style="2" customWidth="1"/>
    <col min="12803" max="12803" width="13.5546875" style="2" customWidth="1"/>
    <col min="12804" max="12804" width="3.21875" style="2" customWidth="1"/>
    <col min="12805" max="12805" width="14.77734375" style="2" customWidth="1"/>
    <col min="12806" max="12806" width="3.21875" style="2" customWidth="1"/>
    <col min="12807" max="12807" width="14.5546875" style="2" customWidth="1"/>
    <col min="12808" max="12808" width="3.21875" style="2" customWidth="1"/>
    <col min="12809" max="13057" width="9.21875" style="2"/>
    <col min="13058" max="13058" width="24" style="2" customWidth="1"/>
    <col min="13059" max="13059" width="13.5546875" style="2" customWidth="1"/>
    <col min="13060" max="13060" width="3.21875" style="2" customWidth="1"/>
    <col min="13061" max="13061" width="14.77734375" style="2" customWidth="1"/>
    <col min="13062" max="13062" width="3.21875" style="2" customWidth="1"/>
    <col min="13063" max="13063" width="14.5546875" style="2" customWidth="1"/>
    <col min="13064" max="13064" width="3.21875" style="2" customWidth="1"/>
    <col min="13065" max="13313" width="9.21875" style="2"/>
    <col min="13314" max="13314" width="24" style="2" customWidth="1"/>
    <col min="13315" max="13315" width="13.5546875" style="2" customWidth="1"/>
    <col min="13316" max="13316" width="3.21875" style="2" customWidth="1"/>
    <col min="13317" max="13317" width="14.77734375" style="2" customWidth="1"/>
    <col min="13318" max="13318" width="3.21875" style="2" customWidth="1"/>
    <col min="13319" max="13319" width="14.5546875" style="2" customWidth="1"/>
    <col min="13320" max="13320" width="3.21875" style="2" customWidth="1"/>
    <col min="13321" max="13569" width="9.21875" style="2"/>
    <col min="13570" max="13570" width="24" style="2" customWidth="1"/>
    <col min="13571" max="13571" width="13.5546875" style="2" customWidth="1"/>
    <col min="13572" max="13572" width="3.21875" style="2" customWidth="1"/>
    <col min="13573" max="13573" width="14.77734375" style="2" customWidth="1"/>
    <col min="13574" max="13574" width="3.21875" style="2" customWidth="1"/>
    <col min="13575" max="13575" width="14.5546875" style="2" customWidth="1"/>
    <col min="13576" max="13576" width="3.21875" style="2" customWidth="1"/>
    <col min="13577" max="13825" width="9.21875" style="2"/>
    <col min="13826" max="13826" width="24" style="2" customWidth="1"/>
    <col min="13827" max="13827" width="13.5546875" style="2" customWidth="1"/>
    <col min="13828" max="13828" width="3.21875" style="2" customWidth="1"/>
    <col min="13829" max="13829" width="14.77734375" style="2" customWidth="1"/>
    <col min="13830" max="13830" width="3.21875" style="2" customWidth="1"/>
    <col min="13831" max="13831" width="14.5546875" style="2" customWidth="1"/>
    <col min="13832" max="13832" width="3.21875" style="2" customWidth="1"/>
    <col min="13833" max="14081" width="9.21875" style="2"/>
    <col min="14082" max="14082" width="24" style="2" customWidth="1"/>
    <col min="14083" max="14083" width="13.5546875" style="2" customWidth="1"/>
    <col min="14084" max="14084" width="3.21875" style="2" customWidth="1"/>
    <col min="14085" max="14085" width="14.77734375" style="2" customWidth="1"/>
    <col min="14086" max="14086" width="3.21875" style="2" customWidth="1"/>
    <col min="14087" max="14087" width="14.5546875" style="2" customWidth="1"/>
    <col min="14088" max="14088" width="3.21875" style="2" customWidth="1"/>
    <col min="14089" max="14337" width="9.21875" style="2"/>
    <col min="14338" max="14338" width="24" style="2" customWidth="1"/>
    <col min="14339" max="14339" width="13.5546875" style="2" customWidth="1"/>
    <col min="14340" max="14340" width="3.21875" style="2" customWidth="1"/>
    <col min="14341" max="14341" width="14.77734375" style="2" customWidth="1"/>
    <col min="14342" max="14342" width="3.21875" style="2" customWidth="1"/>
    <col min="14343" max="14343" width="14.5546875" style="2" customWidth="1"/>
    <col min="14344" max="14344" width="3.21875" style="2" customWidth="1"/>
    <col min="14345" max="14593" width="9.21875" style="2"/>
    <col min="14594" max="14594" width="24" style="2" customWidth="1"/>
    <col min="14595" max="14595" width="13.5546875" style="2" customWidth="1"/>
    <col min="14596" max="14596" width="3.21875" style="2" customWidth="1"/>
    <col min="14597" max="14597" width="14.77734375" style="2" customWidth="1"/>
    <col min="14598" max="14598" width="3.21875" style="2" customWidth="1"/>
    <col min="14599" max="14599" width="14.5546875" style="2" customWidth="1"/>
    <col min="14600" max="14600" width="3.21875" style="2" customWidth="1"/>
    <col min="14601" max="14849" width="9.21875" style="2"/>
    <col min="14850" max="14850" width="24" style="2" customWidth="1"/>
    <col min="14851" max="14851" width="13.5546875" style="2" customWidth="1"/>
    <col min="14852" max="14852" width="3.21875" style="2" customWidth="1"/>
    <col min="14853" max="14853" width="14.77734375" style="2" customWidth="1"/>
    <col min="14854" max="14854" width="3.21875" style="2" customWidth="1"/>
    <col min="14855" max="14855" width="14.5546875" style="2" customWidth="1"/>
    <col min="14856" max="14856" width="3.21875" style="2" customWidth="1"/>
    <col min="14857" max="15105" width="9.21875" style="2"/>
    <col min="15106" max="15106" width="24" style="2" customWidth="1"/>
    <col min="15107" max="15107" width="13.5546875" style="2" customWidth="1"/>
    <col min="15108" max="15108" width="3.21875" style="2" customWidth="1"/>
    <col min="15109" max="15109" width="14.77734375" style="2" customWidth="1"/>
    <col min="15110" max="15110" width="3.21875" style="2" customWidth="1"/>
    <col min="15111" max="15111" width="14.5546875" style="2" customWidth="1"/>
    <col min="15112" max="15112" width="3.21875" style="2" customWidth="1"/>
    <col min="15113" max="15361" width="9.21875" style="2"/>
    <col min="15362" max="15362" width="24" style="2" customWidth="1"/>
    <col min="15363" max="15363" width="13.5546875" style="2" customWidth="1"/>
    <col min="15364" max="15364" width="3.21875" style="2" customWidth="1"/>
    <col min="15365" max="15365" width="14.77734375" style="2" customWidth="1"/>
    <col min="15366" max="15366" width="3.21875" style="2" customWidth="1"/>
    <col min="15367" max="15367" width="14.5546875" style="2" customWidth="1"/>
    <col min="15368" max="15368" width="3.21875" style="2" customWidth="1"/>
    <col min="15369" max="15617" width="9.21875" style="2"/>
    <col min="15618" max="15618" width="24" style="2" customWidth="1"/>
    <col min="15619" max="15619" width="13.5546875" style="2" customWidth="1"/>
    <col min="15620" max="15620" width="3.21875" style="2" customWidth="1"/>
    <col min="15621" max="15621" width="14.77734375" style="2" customWidth="1"/>
    <col min="15622" max="15622" width="3.21875" style="2" customWidth="1"/>
    <col min="15623" max="15623" width="14.5546875" style="2" customWidth="1"/>
    <col min="15624" max="15624" width="3.21875" style="2" customWidth="1"/>
    <col min="15625" max="15873" width="9.21875" style="2"/>
    <col min="15874" max="15874" width="24" style="2" customWidth="1"/>
    <col min="15875" max="15875" width="13.5546875" style="2" customWidth="1"/>
    <col min="15876" max="15876" width="3.21875" style="2" customWidth="1"/>
    <col min="15877" max="15877" width="14.77734375" style="2" customWidth="1"/>
    <col min="15878" max="15878" width="3.21875" style="2" customWidth="1"/>
    <col min="15879" max="15879" width="14.5546875" style="2" customWidth="1"/>
    <col min="15880" max="15880" width="3.21875" style="2" customWidth="1"/>
    <col min="15881" max="16129" width="9.21875" style="2"/>
    <col min="16130" max="16130" width="24" style="2" customWidth="1"/>
    <col min="16131" max="16131" width="13.5546875" style="2" customWidth="1"/>
    <col min="16132" max="16132" width="3.21875" style="2" customWidth="1"/>
    <col min="16133" max="16133" width="14.77734375" style="2" customWidth="1"/>
    <col min="16134" max="16134" width="3.21875" style="2" customWidth="1"/>
    <col min="16135" max="16135" width="14.5546875" style="2" customWidth="1"/>
    <col min="16136" max="16136" width="3.21875" style="2" customWidth="1"/>
    <col min="16137" max="16384" width="9.21875" style="2"/>
  </cols>
  <sheetData>
    <row r="1" spans="1:8" ht="20.399999999999999">
      <c r="A1" s="1" t="s">
        <v>1</v>
      </c>
      <c r="E1" s="3"/>
      <c r="G1" s="3"/>
    </row>
    <row r="2" spans="1:8" ht="15.75" customHeight="1">
      <c r="A2" s="1216" t="s">
        <v>2</v>
      </c>
      <c r="B2" s="1216"/>
      <c r="C2" s="1217" t="s">
        <v>3</v>
      </c>
      <c r="D2" s="4"/>
      <c r="E2" s="1217" t="s">
        <v>4</v>
      </c>
      <c r="F2" s="4"/>
      <c r="G2" s="1217" t="s">
        <v>5</v>
      </c>
      <c r="H2" s="4"/>
    </row>
    <row r="3" spans="1:8" ht="22.5" customHeight="1">
      <c r="A3" s="4"/>
      <c r="B3" s="4"/>
      <c r="C3" s="1217"/>
      <c r="D3" s="4"/>
      <c r="E3" s="1217"/>
      <c r="F3" s="4"/>
      <c r="G3" s="1217"/>
      <c r="H3" s="4"/>
    </row>
    <row r="4" spans="1:8" ht="13.8" thickBot="1">
      <c r="A4" s="5" t="s">
        <v>6</v>
      </c>
      <c r="C4" s="6">
        <f>+'Master Budget Sheet'!Y64</f>
        <v>0</v>
      </c>
      <c r="D4" s="4"/>
      <c r="E4" s="7">
        <f>+C4*'Master Budget Sheet'!$Y$8</f>
        <v>0</v>
      </c>
      <c r="F4" s="4"/>
      <c r="G4" s="8">
        <f>+E4</f>
        <v>0</v>
      </c>
      <c r="H4" s="4"/>
    </row>
    <row r="5" spans="1:8">
      <c r="A5" s="4"/>
      <c r="B5" s="4"/>
      <c r="C5" s="4"/>
      <c r="D5" s="4"/>
      <c r="E5" s="9"/>
      <c r="F5" s="4"/>
      <c r="G5" s="10"/>
      <c r="H5" s="4"/>
    </row>
    <row r="6" spans="1:8">
      <c r="A6" s="5" t="s">
        <v>7</v>
      </c>
      <c r="C6" s="11"/>
      <c r="D6" s="4"/>
      <c r="E6" s="9"/>
      <c r="F6" s="4"/>
      <c r="G6" s="10"/>
      <c r="H6" s="4"/>
    </row>
    <row r="7" spans="1:8" ht="14.4" thickBot="1">
      <c r="B7" s="12" t="s">
        <v>8</v>
      </c>
      <c r="C7" s="6">
        <f>SUM('Master Budget Sheet'!Y65:Y67)</f>
        <v>0</v>
      </c>
      <c r="D7" s="4"/>
      <c r="E7" s="7">
        <f>+C7*'Master Budget Sheet'!$Y$8</f>
        <v>0</v>
      </c>
      <c r="F7" s="4"/>
      <c r="G7" s="8">
        <f>+E7</f>
        <v>0</v>
      </c>
      <c r="H7" s="4"/>
    </row>
    <row r="8" spans="1:8" ht="14.4" thickBot="1">
      <c r="B8" s="12" t="s">
        <v>9</v>
      </c>
      <c r="C8" s="13">
        <f>SUM('Master Budget Sheet'!Y68:Y70)</f>
        <v>60</v>
      </c>
      <c r="D8" s="4"/>
      <c r="E8" s="7">
        <f>+C8*'Master Budget Sheet'!$Y$8</f>
        <v>57</v>
      </c>
      <c r="F8" s="4"/>
      <c r="G8" s="8">
        <f>+E8</f>
        <v>57</v>
      </c>
      <c r="H8" s="4"/>
    </row>
    <row r="9" spans="1:8">
      <c r="A9" s="4"/>
      <c r="B9" s="4"/>
      <c r="C9" s="4"/>
      <c r="D9" s="4"/>
      <c r="E9" s="14">
        <f>IF(E8+E7=0,0,E8+E7)</f>
        <v>57</v>
      </c>
      <c r="F9" s="4"/>
      <c r="G9" s="14">
        <f>IF(G8+G7=0,0,G8+G7)</f>
        <v>57</v>
      </c>
      <c r="H9" s="4"/>
    </row>
    <row r="10" spans="1:8" ht="13.8" thickBot="1">
      <c r="A10" s="5" t="s">
        <v>10</v>
      </c>
      <c r="C10" s="6">
        <f>SUM('Master Budget Sheet'!Y71:Y76)</f>
        <v>82</v>
      </c>
      <c r="D10" s="4"/>
      <c r="E10" s="7">
        <f>+C10*'Master Budget Sheet'!$Y$8</f>
        <v>77.899999999999991</v>
      </c>
      <c r="F10" s="4"/>
      <c r="G10" s="8">
        <f>+E10</f>
        <v>77.899999999999991</v>
      </c>
      <c r="H10" s="4"/>
    </row>
    <row r="11" spans="1:8">
      <c r="A11" s="15"/>
      <c r="B11" s="4"/>
      <c r="C11" s="16"/>
      <c r="D11" s="4"/>
      <c r="E11" s="17"/>
      <c r="F11" s="4"/>
      <c r="G11" s="18"/>
      <c r="H11" s="4"/>
    </row>
    <row r="12" spans="1:8">
      <c r="A12" s="4"/>
      <c r="B12" s="1218" t="s">
        <v>11</v>
      </c>
      <c r="C12" s="1218"/>
      <c r="D12" s="1218"/>
      <c r="E12" s="1218"/>
      <c r="F12" s="1218"/>
      <c r="G12" s="1218"/>
      <c r="H12" s="4"/>
    </row>
    <row r="13" spans="1:8">
      <c r="A13" s="4"/>
      <c r="B13" s="4"/>
      <c r="C13" s="1215"/>
      <c r="D13" s="1215"/>
      <c r="E13" s="19"/>
      <c r="F13" s="20"/>
      <c r="G13" s="19"/>
      <c r="H13" s="20"/>
    </row>
    <row r="14" spans="1:8" ht="13.8" thickBot="1">
      <c r="A14" s="21" t="s">
        <v>12</v>
      </c>
      <c r="C14" s="11"/>
      <c r="D14" s="4"/>
      <c r="E14" s="7"/>
      <c r="F14" s="4"/>
      <c r="G14" s="8"/>
      <c r="H14" s="4"/>
    </row>
    <row r="15" spans="1:8">
      <c r="A15" s="21" t="s">
        <v>13</v>
      </c>
      <c r="C15" s="11"/>
      <c r="D15" s="4"/>
      <c r="E15" s="22"/>
      <c r="F15" s="4"/>
      <c r="G15" s="10"/>
      <c r="H15" s="4"/>
    </row>
    <row r="16" spans="1:8">
      <c r="A16" s="23"/>
      <c r="B16" s="4"/>
      <c r="C16" s="11"/>
      <c r="D16" s="4"/>
      <c r="E16" s="17"/>
      <c r="F16" s="4"/>
      <c r="G16" s="10"/>
      <c r="H16" s="4"/>
    </row>
    <row r="17" spans="1:8">
      <c r="A17" s="21" t="s">
        <v>14</v>
      </c>
      <c r="C17" s="11"/>
      <c r="D17" s="4"/>
      <c r="E17" s="11"/>
      <c r="F17" s="4"/>
      <c r="G17" s="10"/>
      <c r="H17" s="4"/>
    </row>
    <row r="18" spans="1:8" ht="27" thickBot="1">
      <c r="A18" s="21"/>
      <c r="B18" s="24" t="s">
        <v>15</v>
      </c>
      <c r="C18" s="11"/>
      <c r="D18" s="4"/>
      <c r="E18" s="25"/>
      <c r="F18" s="4"/>
      <c r="G18" s="10"/>
      <c r="H18" s="4"/>
    </row>
    <row r="19" spans="1:8" ht="40.200000000000003" thickBot="1">
      <c r="A19" s="21"/>
      <c r="B19" s="24" t="s">
        <v>16</v>
      </c>
      <c r="C19" s="11"/>
      <c r="D19" s="4"/>
      <c r="E19" s="26"/>
      <c r="F19" s="4"/>
      <c r="G19" s="10"/>
      <c r="H19" s="4"/>
    </row>
    <row r="20" spans="1:8">
      <c r="A20" s="4"/>
      <c r="B20" s="4"/>
      <c r="C20" s="11"/>
      <c r="D20" s="4"/>
      <c r="E20" s="11"/>
      <c r="F20" s="4"/>
      <c r="G20" s="10"/>
      <c r="H20" s="4"/>
    </row>
    <row r="21" spans="1:8">
      <c r="A21" s="27" t="s">
        <v>17</v>
      </c>
      <c r="E21" s="4"/>
      <c r="F21" s="11"/>
      <c r="G21" s="11"/>
      <c r="H21" s="11"/>
    </row>
    <row r="22" spans="1:8" ht="13.8" thickBot="1">
      <c r="A22" s="28"/>
      <c r="B22" s="2" t="s">
        <v>18</v>
      </c>
      <c r="C22" s="29"/>
      <c r="D22" s="11"/>
      <c r="E22" s="11"/>
      <c r="F22" s="11"/>
      <c r="G22" s="11"/>
      <c r="H22" s="11"/>
    </row>
    <row r="23" spans="1:8" ht="13.8" thickBot="1">
      <c r="B23" s="2" t="s">
        <v>19</v>
      </c>
      <c r="C23" s="29"/>
      <c r="D23" s="11"/>
      <c r="E23" s="11"/>
      <c r="F23" s="11"/>
      <c r="G23" s="11"/>
      <c r="H23" s="11"/>
    </row>
    <row r="24" spans="1:8">
      <c r="A24" s="11"/>
      <c r="B24" s="11"/>
      <c r="C24" s="11"/>
      <c r="D24" s="11"/>
      <c r="E24" s="11"/>
      <c r="F24" s="11"/>
      <c r="G24" s="11"/>
      <c r="H24" s="11"/>
    </row>
  </sheetData>
  <sheetProtection password="CC16" sheet="1"/>
  <mergeCells count="6">
    <mergeCell ref="C13:D13"/>
    <mergeCell ref="A2:B2"/>
    <mergeCell ref="C2:C3"/>
    <mergeCell ref="E2:E3"/>
    <mergeCell ref="G2:G3"/>
    <mergeCell ref="B12:G12"/>
  </mergeCells>
  <conditionalFormatting sqref="F13 H13">
    <cfRule type="expression" dxfId="48" priority="1" stopIfTrue="1">
      <formula>E10=0</formula>
    </cfRule>
    <cfRule type="expression" dxfId="47" priority="2" stopIfTrue="1">
      <formula>E13="Grade 7 thru"</formula>
    </cfRule>
    <cfRule type="expression" dxfId="46" priority="3" stopIfTrue="1">
      <formula>E10&gt;99.99</formula>
    </cfRule>
  </conditionalFormatting>
  <pageMargins left="0.75" right="0.75" top="1" bottom="1" header="0.5" footer="0.5"/>
  <pageSetup orientation="portrait" r:id="rId1"/>
  <headerFooter alignWithMargins="0">
    <oddFooter>&amp;L&amp;F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4"/>
  <dimension ref="A1:Q37"/>
  <sheetViews>
    <sheetView showGridLines="0" zoomScale="90" zoomScaleNormal="100" workbookViewId="0">
      <selection activeCell="C4" sqref="C4"/>
    </sheetView>
  </sheetViews>
  <sheetFormatPr defaultRowHeight="13.2"/>
  <cols>
    <col min="1" max="1" width="4.21875" style="30" customWidth="1"/>
    <col min="2" max="2" width="2.5546875" style="2" customWidth="1"/>
    <col min="3" max="4" width="9.21875" style="2"/>
    <col min="5" max="5" width="5.77734375" style="2" customWidth="1"/>
    <col min="6" max="6" width="8.77734375" style="2" customWidth="1"/>
    <col min="7" max="7" width="3.21875" style="2" customWidth="1"/>
    <col min="8" max="8" width="10.21875" style="2" customWidth="1"/>
    <col min="9" max="9" width="3.77734375" style="2" customWidth="1"/>
    <col min="10" max="10" width="8.21875" style="2" customWidth="1"/>
    <col min="11" max="11" width="6.21875" style="2" customWidth="1"/>
    <col min="12" max="12" width="5.5546875" style="2" customWidth="1"/>
    <col min="13" max="13" width="10.77734375" style="2" customWidth="1"/>
    <col min="14" max="14" width="8.21875" style="2" customWidth="1"/>
    <col min="15" max="15" width="12.21875" style="2" customWidth="1"/>
    <col min="16" max="16" width="10.21875" style="2" customWidth="1"/>
    <col min="17" max="17" width="9.21875" style="32" customWidth="1"/>
    <col min="18" max="256" width="9.21875" style="2"/>
    <col min="257" max="257" width="4.21875" style="2" customWidth="1"/>
    <col min="258" max="258" width="2.5546875" style="2" customWidth="1"/>
    <col min="259" max="260" width="9.21875" style="2"/>
    <col min="261" max="261" width="5.77734375" style="2" customWidth="1"/>
    <col min="262" max="262" width="8.77734375" style="2" customWidth="1"/>
    <col min="263" max="263" width="3.21875" style="2" customWidth="1"/>
    <col min="264" max="264" width="10.21875" style="2" customWidth="1"/>
    <col min="265" max="265" width="3.77734375" style="2" customWidth="1"/>
    <col min="266" max="266" width="8.21875" style="2" customWidth="1"/>
    <col min="267" max="267" width="6.21875" style="2" customWidth="1"/>
    <col min="268" max="268" width="5.5546875" style="2" customWidth="1"/>
    <col min="269" max="269" width="10.77734375" style="2" customWidth="1"/>
    <col min="270" max="270" width="8.21875" style="2" customWidth="1"/>
    <col min="271" max="271" width="12.21875" style="2" customWidth="1"/>
    <col min="272" max="272" width="10.21875" style="2" customWidth="1"/>
    <col min="273" max="273" width="9.21875" style="2" customWidth="1"/>
    <col min="274" max="512" width="9.21875" style="2"/>
    <col min="513" max="513" width="4.21875" style="2" customWidth="1"/>
    <col min="514" max="514" width="2.5546875" style="2" customWidth="1"/>
    <col min="515" max="516" width="9.21875" style="2"/>
    <col min="517" max="517" width="5.77734375" style="2" customWidth="1"/>
    <col min="518" max="518" width="8.77734375" style="2" customWidth="1"/>
    <col min="519" max="519" width="3.21875" style="2" customWidth="1"/>
    <col min="520" max="520" width="10.21875" style="2" customWidth="1"/>
    <col min="521" max="521" width="3.77734375" style="2" customWidth="1"/>
    <col min="522" max="522" width="8.21875" style="2" customWidth="1"/>
    <col min="523" max="523" width="6.21875" style="2" customWidth="1"/>
    <col min="524" max="524" width="5.5546875" style="2" customWidth="1"/>
    <col min="525" max="525" width="10.77734375" style="2" customWidth="1"/>
    <col min="526" max="526" width="8.21875" style="2" customWidth="1"/>
    <col min="527" max="527" width="12.21875" style="2" customWidth="1"/>
    <col min="528" max="528" width="10.21875" style="2" customWidth="1"/>
    <col min="529" max="529" width="9.21875" style="2" customWidth="1"/>
    <col min="530" max="768" width="9.21875" style="2"/>
    <col min="769" max="769" width="4.21875" style="2" customWidth="1"/>
    <col min="770" max="770" width="2.5546875" style="2" customWidth="1"/>
    <col min="771" max="772" width="9.21875" style="2"/>
    <col min="773" max="773" width="5.77734375" style="2" customWidth="1"/>
    <col min="774" max="774" width="8.77734375" style="2" customWidth="1"/>
    <col min="775" max="775" width="3.21875" style="2" customWidth="1"/>
    <col min="776" max="776" width="10.21875" style="2" customWidth="1"/>
    <col min="777" max="777" width="3.77734375" style="2" customWidth="1"/>
    <col min="778" max="778" width="8.21875" style="2" customWidth="1"/>
    <col min="779" max="779" width="6.21875" style="2" customWidth="1"/>
    <col min="780" max="780" width="5.5546875" style="2" customWidth="1"/>
    <col min="781" max="781" width="10.77734375" style="2" customWidth="1"/>
    <col min="782" max="782" width="8.21875" style="2" customWidth="1"/>
    <col min="783" max="783" width="12.21875" style="2" customWidth="1"/>
    <col min="784" max="784" width="10.21875" style="2" customWidth="1"/>
    <col min="785" max="785" width="9.21875" style="2" customWidth="1"/>
    <col min="786" max="1024" width="9.21875" style="2"/>
    <col min="1025" max="1025" width="4.21875" style="2" customWidth="1"/>
    <col min="1026" max="1026" width="2.5546875" style="2" customWidth="1"/>
    <col min="1027" max="1028" width="9.21875" style="2"/>
    <col min="1029" max="1029" width="5.77734375" style="2" customWidth="1"/>
    <col min="1030" max="1030" width="8.77734375" style="2" customWidth="1"/>
    <col min="1031" max="1031" width="3.21875" style="2" customWidth="1"/>
    <col min="1032" max="1032" width="10.21875" style="2" customWidth="1"/>
    <col min="1033" max="1033" width="3.77734375" style="2" customWidth="1"/>
    <col min="1034" max="1034" width="8.21875" style="2" customWidth="1"/>
    <col min="1035" max="1035" width="6.21875" style="2" customWidth="1"/>
    <col min="1036" max="1036" width="5.5546875" style="2" customWidth="1"/>
    <col min="1037" max="1037" width="10.77734375" style="2" customWidth="1"/>
    <col min="1038" max="1038" width="8.21875" style="2" customWidth="1"/>
    <col min="1039" max="1039" width="12.21875" style="2" customWidth="1"/>
    <col min="1040" max="1040" width="10.21875" style="2" customWidth="1"/>
    <col min="1041" max="1041" width="9.21875" style="2" customWidth="1"/>
    <col min="1042" max="1280" width="9.21875" style="2"/>
    <col min="1281" max="1281" width="4.21875" style="2" customWidth="1"/>
    <col min="1282" max="1282" width="2.5546875" style="2" customWidth="1"/>
    <col min="1283" max="1284" width="9.21875" style="2"/>
    <col min="1285" max="1285" width="5.77734375" style="2" customWidth="1"/>
    <col min="1286" max="1286" width="8.77734375" style="2" customWidth="1"/>
    <col min="1287" max="1287" width="3.21875" style="2" customWidth="1"/>
    <col min="1288" max="1288" width="10.21875" style="2" customWidth="1"/>
    <col min="1289" max="1289" width="3.77734375" style="2" customWidth="1"/>
    <col min="1290" max="1290" width="8.21875" style="2" customWidth="1"/>
    <col min="1291" max="1291" width="6.21875" style="2" customWidth="1"/>
    <col min="1292" max="1292" width="5.5546875" style="2" customWidth="1"/>
    <col min="1293" max="1293" width="10.77734375" style="2" customWidth="1"/>
    <col min="1294" max="1294" width="8.21875" style="2" customWidth="1"/>
    <col min="1295" max="1295" width="12.21875" style="2" customWidth="1"/>
    <col min="1296" max="1296" width="10.21875" style="2" customWidth="1"/>
    <col min="1297" max="1297" width="9.21875" style="2" customWidth="1"/>
    <col min="1298" max="1536" width="9.21875" style="2"/>
    <col min="1537" max="1537" width="4.21875" style="2" customWidth="1"/>
    <col min="1538" max="1538" width="2.5546875" style="2" customWidth="1"/>
    <col min="1539" max="1540" width="9.21875" style="2"/>
    <col min="1541" max="1541" width="5.77734375" style="2" customWidth="1"/>
    <col min="1542" max="1542" width="8.77734375" style="2" customWidth="1"/>
    <col min="1543" max="1543" width="3.21875" style="2" customWidth="1"/>
    <col min="1544" max="1544" width="10.21875" style="2" customWidth="1"/>
    <col min="1545" max="1545" width="3.77734375" style="2" customWidth="1"/>
    <col min="1546" max="1546" width="8.21875" style="2" customWidth="1"/>
    <col min="1547" max="1547" width="6.21875" style="2" customWidth="1"/>
    <col min="1548" max="1548" width="5.5546875" style="2" customWidth="1"/>
    <col min="1549" max="1549" width="10.77734375" style="2" customWidth="1"/>
    <col min="1550" max="1550" width="8.21875" style="2" customWidth="1"/>
    <col min="1551" max="1551" width="12.21875" style="2" customWidth="1"/>
    <col min="1552" max="1552" width="10.21875" style="2" customWidth="1"/>
    <col min="1553" max="1553" width="9.21875" style="2" customWidth="1"/>
    <col min="1554" max="1792" width="9.21875" style="2"/>
    <col min="1793" max="1793" width="4.21875" style="2" customWidth="1"/>
    <col min="1794" max="1794" width="2.5546875" style="2" customWidth="1"/>
    <col min="1795" max="1796" width="9.21875" style="2"/>
    <col min="1797" max="1797" width="5.77734375" style="2" customWidth="1"/>
    <col min="1798" max="1798" width="8.77734375" style="2" customWidth="1"/>
    <col min="1799" max="1799" width="3.21875" style="2" customWidth="1"/>
    <col min="1800" max="1800" width="10.21875" style="2" customWidth="1"/>
    <col min="1801" max="1801" width="3.77734375" style="2" customWidth="1"/>
    <col min="1802" max="1802" width="8.21875" style="2" customWidth="1"/>
    <col min="1803" max="1803" width="6.21875" style="2" customWidth="1"/>
    <col min="1804" max="1804" width="5.5546875" style="2" customWidth="1"/>
    <col min="1805" max="1805" width="10.77734375" style="2" customWidth="1"/>
    <col min="1806" max="1806" width="8.21875" style="2" customWidth="1"/>
    <col min="1807" max="1807" width="12.21875" style="2" customWidth="1"/>
    <col min="1808" max="1808" width="10.21875" style="2" customWidth="1"/>
    <col min="1809" max="1809" width="9.21875" style="2" customWidth="1"/>
    <col min="1810" max="2048" width="9.21875" style="2"/>
    <col min="2049" max="2049" width="4.21875" style="2" customWidth="1"/>
    <col min="2050" max="2050" width="2.5546875" style="2" customWidth="1"/>
    <col min="2051" max="2052" width="9.21875" style="2"/>
    <col min="2053" max="2053" width="5.77734375" style="2" customWidth="1"/>
    <col min="2054" max="2054" width="8.77734375" style="2" customWidth="1"/>
    <col min="2055" max="2055" width="3.21875" style="2" customWidth="1"/>
    <col min="2056" max="2056" width="10.21875" style="2" customWidth="1"/>
    <col min="2057" max="2057" width="3.77734375" style="2" customWidth="1"/>
    <col min="2058" max="2058" width="8.21875" style="2" customWidth="1"/>
    <col min="2059" max="2059" width="6.21875" style="2" customWidth="1"/>
    <col min="2060" max="2060" width="5.5546875" style="2" customWidth="1"/>
    <col min="2061" max="2061" width="10.77734375" style="2" customWidth="1"/>
    <col min="2062" max="2062" width="8.21875" style="2" customWidth="1"/>
    <col min="2063" max="2063" width="12.21875" style="2" customWidth="1"/>
    <col min="2064" max="2064" width="10.21875" style="2" customWidth="1"/>
    <col min="2065" max="2065" width="9.21875" style="2" customWidth="1"/>
    <col min="2066" max="2304" width="9.21875" style="2"/>
    <col min="2305" max="2305" width="4.21875" style="2" customWidth="1"/>
    <col min="2306" max="2306" width="2.5546875" style="2" customWidth="1"/>
    <col min="2307" max="2308" width="9.21875" style="2"/>
    <col min="2309" max="2309" width="5.77734375" style="2" customWidth="1"/>
    <col min="2310" max="2310" width="8.77734375" style="2" customWidth="1"/>
    <col min="2311" max="2311" width="3.21875" style="2" customWidth="1"/>
    <col min="2312" max="2312" width="10.21875" style="2" customWidth="1"/>
    <col min="2313" max="2313" width="3.77734375" style="2" customWidth="1"/>
    <col min="2314" max="2314" width="8.21875" style="2" customWidth="1"/>
    <col min="2315" max="2315" width="6.21875" style="2" customWidth="1"/>
    <col min="2316" max="2316" width="5.5546875" style="2" customWidth="1"/>
    <col min="2317" max="2317" width="10.77734375" style="2" customWidth="1"/>
    <col min="2318" max="2318" width="8.21875" style="2" customWidth="1"/>
    <col min="2319" max="2319" width="12.21875" style="2" customWidth="1"/>
    <col min="2320" max="2320" width="10.21875" style="2" customWidth="1"/>
    <col min="2321" max="2321" width="9.21875" style="2" customWidth="1"/>
    <col min="2322" max="2560" width="9.21875" style="2"/>
    <col min="2561" max="2561" width="4.21875" style="2" customWidth="1"/>
    <col min="2562" max="2562" width="2.5546875" style="2" customWidth="1"/>
    <col min="2563" max="2564" width="9.21875" style="2"/>
    <col min="2565" max="2565" width="5.77734375" style="2" customWidth="1"/>
    <col min="2566" max="2566" width="8.77734375" style="2" customWidth="1"/>
    <col min="2567" max="2567" width="3.21875" style="2" customWidth="1"/>
    <col min="2568" max="2568" width="10.21875" style="2" customWidth="1"/>
    <col min="2569" max="2569" width="3.77734375" style="2" customWidth="1"/>
    <col min="2570" max="2570" width="8.21875" style="2" customWidth="1"/>
    <col min="2571" max="2571" width="6.21875" style="2" customWidth="1"/>
    <col min="2572" max="2572" width="5.5546875" style="2" customWidth="1"/>
    <col min="2573" max="2573" width="10.77734375" style="2" customWidth="1"/>
    <col min="2574" max="2574" width="8.21875" style="2" customWidth="1"/>
    <col min="2575" max="2575" width="12.21875" style="2" customWidth="1"/>
    <col min="2576" max="2576" width="10.21875" style="2" customWidth="1"/>
    <col min="2577" max="2577" width="9.21875" style="2" customWidth="1"/>
    <col min="2578" max="2816" width="9.21875" style="2"/>
    <col min="2817" max="2817" width="4.21875" style="2" customWidth="1"/>
    <col min="2818" max="2818" width="2.5546875" style="2" customWidth="1"/>
    <col min="2819" max="2820" width="9.21875" style="2"/>
    <col min="2821" max="2821" width="5.77734375" style="2" customWidth="1"/>
    <col min="2822" max="2822" width="8.77734375" style="2" customWidth="1"/>
    <col min="2823" max="2823" width="3.21875" style="2" customWidth="1"/>
    <col min="2824" max="2824" width="10.21875" style="2" customWidth="1"/>
    <col min="2825" max="2825" width="3.77734375" style="2" customWidth="1"/>
    <col min="2826" max="2826" width="8.21875" style="2" customWidth="1"/>
    <col min="2827" max="2827" width="6.21875" style="2" customWidth="1"/>
    <col min="2828" max="2828" width="5.5546875" style="2" customWidth="1"/>
    <col min="2829" max="2829" width="10.77734375" style="2" customWidth="1"/>
    <col min="2830" max="2830" width="8.21875" style="2" customWidth="1"/>
    <col min="2831" max="2831" width="12.21875" style="2" customWidth="1"/>
    <col min="2832" max="2832" width="10.21875" style="2" customWidth="1"/>
    <col min="2833" max="2833" width="9.21875" style="2" customWidth="1"/>
    <col min="2834" max="3072" width="9.21875" style="2"/>
    <col min="3073" max="3073" width="4.21875" style="2" customWidth="1"/>
    <col min="3074" max="3074" width="2.5546875" style="2" customWidth="1"/>
    <col min="3075" max="3076" width="9.21875" style="2"/>
    <col min="3077" max="3077" width="5.77734375" style="2" customWidth="1"/>
    <col min="3078" max="3078" width="8.77734375" style="2" customWidth="1"/>
    <col min="3079" max="3079" width="3.21875" style="2" customWidth="1"/>
    <col min="3080" max="3080" width="10.21875" style="2" customWidth="1"/>
    <col min="3081" max="3081" width="3.77734375" style="2" customWidth="1"/>
    <col min="3082" max="3082" width="8.21875" style="2" customWidth="1"/>
    <col min="3083" max="3083" width="6.21875" style="2" customWidth="1"/>
    <col min="3084" max="3084" width="5.5546875" style="2" customWidth="1"/>
    <col min="3085" max="3085" width="10.77734375" style="2" customWidth="1"/>
    <col min="3086" max="3086" width="8.21875" style="2" customWidth="1"/>
    <col min="3087" max="3087" width="12.21875" style="2" customWidth="1"/>
    <col min="3088" max="3088" width="10.21875" style="2" customWidth="1"/>
    <col min="3089" max="3089" width="9.21875" style="2" customWidth="1"/>
    <col min="3090" max="3328" width="9.21875" style="2"/>
    <col min="3329" max="3329" width="4.21875" style="2" customWidth="1"/>
    <col min="3330" max="3330" width="2.5546875" style="2" customWidth="1"/>
    <col min="3331" max="3332" width="9.21875" style="2"/>
    <col min="3333" max="3333" width="5.77734375" style="2" customWidth="1"/>
    <col min="3334" max="3334" width="8.77734375" style="2" customWidth="1"/>
    <col min="3335" max="3335" width="3.21875" style="2" customWidth="1"/>
    <col min="3336" max="3336" width="10.21875" style="2" customWidth="1"/>
    <col min="3337" max="3337" width="3.77734375" style="2" customWidth="1"/>
    <col min="3338" max="3338" width="8.21875" style="2" customWidth="1"/>
    <col min="3339" max="3339" width="6.21875" style="2" customWidth="1"/>
    <col min="3340" max="3340" width="5.5546875" style="2" customWidth="1"/>
    <col min="3341" max="3341" width="10.77734375" style="2" customWidth="1"/>
    <col min="3342" max="3342" width="8.21875" style="2" customWidth="1"/>
    <col min="3343" max="3343" width="12.21875" style="2" customWidth="1"/>
    <col min="3344" max="3344" width="10.21875" style="2" customWidth="1"/>
    <col min="3345" max="3345" width="9.21875" style="2" customWidth="1"/>
    <col min="3346" max="3584" width="9.21875" style="2"/>
    <col min="3585" max="3585" width="4.21875" style="2" customWidth="1"/>
    <col min="3586" max="3586" width="2.5546875" style="2" customWidth="1"/>
    <col min="3587" max="3588" width="9.21875" style="2"/>
    <col min="3589" max="3589" width="5.77734375" style="2" customWidth="1"/>
    <col min="3590" max="3590" width="8.77734375" style="2" customWidth="1"/>
    <col min="3591" max="3591" width="3.21875" style="2" customWidth="1"/>
    <col min="3592" max="3592" width="10.21875" style="2" customWidth="1"/>
    <col min="3593" max="3593" width="3.77734375" style="2" customWidth="1"/>
    <col min="3594" max="3594" width="8.21875" style="2" customWidth="1"/>
    <col min="3595" max="3595" width="6.21875" style="2" customWidth="1"/>
    <col min="3596" max="3596" width="5.5546875" style="2" customWidth="1"/>
    <col min="3597" max="3597" width="10.77734375" style="2" customWidth="1"/>
    <col min="3598" max="3598" width="8.21875" style="2" customWidth="1"/>
    <col min="3599" max="3599" width="12.21875" style="2" customWidth="1"/>
    <col min="3600" max="3600" width="10.21875" style="2" customWidth="1"/>
    <col min="3601" max="3601" width="9.21875" style="2" customWidth="1"/>
    <col min="3602" max="3840" width="9.21875" style="2"/>
    <col min="3841" max="3841" width="4.21875" style="2" customWidth="1"/>
    <col min="3842" max="3842" width="2.5546875" style="2" customWidth="1"/>
    <col min="3843" max="3844" width="9.21875" style="2"/>
    <col min="3845" max="3845" width="5.77734375" style="2" customWidth="1"/>
    <col min="3846" max="3846" width="8.77734375" style="2" customWidth="1"/>
    <col min="3847" max="3847" width="3.21875" style="2" customWidth="1"/>
    <col min="3848" max="3848" width="10.21875" style="2" customWidth="1"/>
    <col min="3849" max="3849" width="3.77734375" style="2" customWidth="1"/>
    <col min="3850" max="3850" width="8.21875" style="2" customWidth="1"/>
    <col min="3851" max="3851" width="6.21875" style="2" customWidth="1"/>
    <col min="3852" max="3852" width="5.5546875" style="2" customWidth="1"/>
    <col min="3853" max="3853" width="10.77734375" style="2" customWidth="1"/>
    <col min="3854" max="3854" width="8.21875" style="2" customWidth="1"/>
    <col min="3855" max="3855" width="12.21875" style="2" customWidth="1"/>
    <col min="3856" max="3856" width="10.21875" style="2" customWidth="1"/>
    <col min="3857" max="3857" width="9.21875" style="2" customWidth="1"/>
    <col min="3858" max="4096" width="9.21875" style="2"/>
    <col min="4097" max="4097" width="4.21875" style="2" customWidth="1"/>
    <col min="4098" max="4098" width="2.5546875" style="2" customWidth="1"/>
    <col min="4099" max="4100" width="9.21875" style="2"/>
    <col min="4101" max="4101" width="5.77734375" style="2" customWidth="1"/>
    <col min="4102" max="4102" width="8.77734375" style="2" customWidth="1"/>
    <col min="4103" max="4103" width="3.21875" style="2" customWidth="1"/>
    <col min="4104" max="4104" width="10.21875" style="2" customWidth="1"/>
    <col min="4105" max="4105" width="3.77734375" style="2" customWidth="1"/>
    <col min="4106" max="4106" width="8.21875" style="2" customWidth="1"/>
    <col min="4107" max="4107" width="6.21875" style="2" customWidth="1"/>
    <col min="4108" max="4108" width="5.5546875" style="2" customWidth="1"/>
    <col min="4109" max="4109" width="10.77734375" style="2" customWidth="1"/>
    <col min="4110" max="4110" width="8.21875" style="2" customWidth="1"/>
    <col min="4111" max="4111" width="12.21875" style="2" customWidth="1"/>
    <col min="4112" max="4112" width="10.21875" style="2" customWidth="1"/>
    <col min="4113" max="4113" width="9.21875" style="2" customWidth="1"/>
    <col min="4114" max="4352" width="9.21875" style="2"/>
    <col min="4353" max="4353" width="4.21875" style="2" customWidth="1"/>
    <col min="4354" max="4354" width="2.5546875" style="2" customWidth="1"/>
    <col min="4355" max="4356" width="9.21875" style="2"/>
    <col min="4357" max="4357" width="5.77734375" style="2" customWidth="1"/>
    <col min="4358" max="4358" width="8.77734375" style="2" customWidth="1"/>
    <col min="4359" max="4359" width="3.21875" style="2" customWidth="1"/>
    <col min="4360" max="4360" width="10.21875" style="2" customWidth="1"/>
    <col min="4361" max="4361" width="3.77734375" style="2" customWidth="1"/>
    <col min="4362" max="4362" width="8.21875" style="2" customWidth="1"/>
    <col min="4363" max="4363" width="6.21875" style="2" customWidth="1"/>
    <col min="4364" max="4364" width="5.5546875" style="2" customWidth="1"/>
    <col min="4365" max="4365" width="10.77734375" style="2" customWidth="1"/>
    <col min="4366" max="4366" width="8.21875" style="2" customWidth="1"/>
    <col min="4367" max="4367" width="12.21875" style="2" customWidth="1"/>
    <col min="4368" max="4368" width="10.21875" style="2" customWidth="1"/>
    <col min="4369" max="4369" width="9.21875" style="2" customWidth="1"/>
    <col min="4370" max="4608" width="9.21875" style="2"/>
    <col min="4609" max="4609" width="4.21875" style="2" customWidth="1"/>
    <col min="4610" max="4610" width="2.5546875" style="2" customWidth="1"/>
    <col min="4611" max="4612" width="9.21875" style="2"/>
    <col min="4613" max="4613" width="5.77734375" style="2" customWidth="1"/>
    <col min="4614" max="4614" width="8.77734375" style="2" customWidth="1"/>
    <col min="4615" max="4615" width="3.21875" style="2" customWidth="1"/>
    <col min="4616" max="4616" width="10.21875" style="2" customWidth="1"/>
    <col min="4617" max="4617" width="3.77734375" style="2" customWidth="1"/>
    <col min="4618" max="4618" width="8.21875" style="2" customWidth="1"/>
    <col min="4619" max="4619" width="6.21875" style="2" customWidth="1"/>
    <col min="4620" max="4620" width="5.5546875" style="2" customWidth="1"/>
    <col min="4621" max="4621" width="10.77734375" style="2" customWidth="1"/>
    <col min="4622" max="4622" width="8.21875" style="2" customWidth="1"/>
    <col min="4623" max="4623" width="12.21875" style="2" customWidth="1"/>
    <col min="4624" max="4624" width="10.21875" style="2" customWidth="1"/>
    <col min="4625" max="4625" width="9.21875" style="2" customWidth="1"/>
    <col min="4626" max="4864" width="9.21875" style="2"/>
    <col min="4865" max="4865" width="4.21875" style="2" customWidth="1"/>
    <col min="4866" max="4866" width="2.5546875" style="2" customWidth="1"/>
    <col min="4867" max="4868" width="9.21875" style="2"/>
    <col min="4869" max="4869" width="5.77734375" style="2" customWidth="1"/>
    <col min="4870" max="4870" width="8.77734375" style="2" customWidth="1"/>
    <col min="4871" max="4871" width="3.21875" style="2" customWidth="1"/>
    <col min="4872" max="4872" width="10.21875" style="2" customWidth="1"/>
    <col min="4873" max="4873" width="3.77734375" style="2" customWidth="1"/>
    <col min="4874" max="4874" width="8.21875" style="2" customWidth="1"/>
    <col min="4875" max="4875" width="6.21875" style="2" customWidth="1"/>
    <col min="4876" max="4876" width="5.5546875" style="2" customWidth="1"/>
    <col min="4877" max="4877" width="10.77734375" style="2" customWidth="1"/>
    <col min="4878" max="4878" width="8.21875" style="2" customWidth="1"/>
    <col min="4879" max="4879" width="12.21875" style="2" customWidth="1"/>
    <col min="4880" max="4880" width="10.21875" style="2" customWidth="1"/>
    <col min="4881" max="4881" width="9.21875" style="2" customWidth="1"/>
    <col min="4882" max="5120" width="9.21875" style="2"/>
    <col min="5121" max="5121" width="4.21875" style="2" customWidth="1"/>
    <col min="5122" max="5122" width="2.5546875" style="2" customWidth="1"/>
    <col min="5123" max="5124" width="9.21875" style="2"/>
    <col min="5125" max="5125" width="5.77734375" style="2" customWidth="1"/>
    <col min="5126" max="5126" width="8.77734375" style="2" customWidth="1"/>
    <col min="5127" max="5127" width="3.21875" style="2" customWidth="1"/>
    <col min="5128" max="5128" width="10.21875" style="2" customWidth="1"/>
    <col min="5129" max="5129" width="3.77734375" style="2" customWidth="1"/>
    <col min="5130" max="5130" width="8.21875" style="2" customWidth="1"/>
    <col min="5131" max="5131" width="6.21875" style="2" customWidth="1"/>
    <col min="5132" max="5132" width="5.5546875" style="2" customWidth="1"/>
    <col min="5133" max="5133" width="10.77734375" style="2" customWidth="1"/>
    <col min="5134" max="5134" width="8.21875" style="2" customWidth="1"/>
    <col min="5135" max="5135" width="12.21875" style="2" customWidth="1"/>
    <col min="5136" max="5136" width="10.21875" style="2" customWidth="1"/>
    <col min="5137" max="5137" width="9.21875" style="2" customWidth="1"/>
    <col min="5138" max="5376" width="9.21875" style="2"/>
    <col min="5377" max="5377" width="4.21875" style="2" customWidth="1"/>
    <col min="5378" max="5378" width="2.5546875" style="2" customWidth="1"/>
    <col min="5379" max="5380" width="9.21875" style="2"/>
    <col min="5381" max="5381" width="5.77734375" style="2" customWidth="1"/>
    <col min="5382" max="5382" width="8.77734375" style="2" customWidth="1"/>
    <col min="5383" max="5383" width="3.21875" style="2" customWidth="1"/>
    <col min="5384" max="5384" width="10.21875" style="2" customWidth="1"/>
    <col min="5385" max="5385" width="3.77734375" style="2" customWidth="1"/>
    <col min="5386" max="5386" width="8.21875" style="2" customWidth="1"/>
    <col min="5387" max="5387" width="6.21875" style="2" customWidth="1"/>
    <col min="5388" max="5388" width="5.5546875" style="2" customWidth="1"/>
    <col min="5389" max="5389" width="10.77734375" style="2" customWidth="1"/>
    <col min="5390" max="5390" width="8.21875" style="2" customWidth="1"/>
    <col min="5391" max="5391" width="12.21875" style="2" customWidth="1"/>
    <col min="5392" max="5392" width="10.21875" style="2" customWidth="1"/>
    <col min="5393" max="5393" width="9.21875" style="2" customWidth="1"/>
    <col min="5394" max="5632" width="9.21875" style="2"/>
    <col min="5633" max="5633" width="4.21875" style="2" customWidth="1"/>
    <col min="5634" max="5634" width="2.5546875" style="2" customWidth="1"/>
    <col min="5635" max="5636" width="9.21875" style="2"/>
    <col min="5637" max="5637" width="5.77734375" style="2" customWidth="1"/>
    <col min="5638" max="5638" width="8.77734375" style="2" customWidth="1"/>
    <col min="5639" max="5639" width="3.21875" style="2" customWidth="1"/>
    <col min="5640" max="5640" width="10.21875" style="2" customWidth="1"/>
    <col min="5641" max="5641" width="3.77734375" style="2" customWidth="1"/>
    <col min="5642" max="5642" width="8.21875" style="2" customWidth="1"/>
    <col min="5643" max="5643" width="6.21875" style="2" customWidth="1"/>
    <col min="5644" max="5644" width="5.5546875" style="2" customWidth="1"/>
    <col min="5645" max="5645" width="10.77734375" style="2" customWidth="1"/>
    <col min="5646" max="5646" width="8.21875" style="2" customWidth="1"/>
    <col min="5647" max="5647" width="12.21875" style="2" customWidth="1"/>
    <col min="5648" max="5648" width="10.21875" style="2" customWidth="1"/>
    <col min="5649" max="5649" width="9.21875" style="2" customWidth="1"/>
    <col min="5650" max="5888" width="9.21875" style="2"/>
    <col min="5889" max="5889" width="4.21875" style="2" customWidth="1"/>
    <col min="5890" max="5890" width="2.5546875" style="2" customWidth="1"/>
    <col min="5891" max="5892" width="9.21875" style="2"/>
    <col min="5893" max="5893" width="5.77734375" style="2" customWidth="1"/>
    <col min="5894" max="5894" width="8.77734375" style="2" customWidth="1"/>
    <col min="5895" max="5895" width="3.21875" style="2" customWidth="1"/>
    <col min="5896" max="5896" width="10.21875" style="2" customWidth="1"/>
    <col min="5897" max="5897" width="3.77734375" style="2" customWidth="1"/>
    <col min="5898" max="5898" width="8.21875" style="2" customWidth="1"/>
    <col min="5899" max="5899" width="6.21875" style="2" customWidth="1"/>
    <col min="5900" max="5900" width="5.5546875" style="2" customWidth="1"/>
    <col min="5901" max="5901" width="10.77734375" style="2" customWidth="1"/>
    <col min="5902" max="5902" width="8.21875" style="2" customWidth="1"/>
    <col min="5903" max="5903" width="12.21875" style="2" customWidth="1"/>
    <col min="5904" max="5904" width="10.21875" style="2" customWidth="1"/>
    <col min="5905" max="5905" width="9.21875" style="2" customWidth="1"/>
    <col min="5906" max="6144" width="9.21875" style="2"/>
    <col min="6145" max="6145" width="4.21875" style="2" customWidth="1"/>
    <col min="6146" max="6146" width="2.5546875" style="2" customWidth="1"/>
    <col min="6147" max="6148" width="9.21875" style="2"/>
    <col min="6149" max="6149" width="5.77734375" style="2" customWidth="1"/>
    <col min="6150" max="6150" width="8.77734375" style="2" customWidth="1"/>
    <col min="6151" max="6151" width="3.21875" style="2" customWidth="1"/>
    <col min="6152" max="6152" width="10.21875" style="2" customWidth="1"/>
    <col min="6153" max="6153" width="3.77734375" style="2" customWidth="1"/>
    <col min="6154" max="6154" width="8.21875" style="2" customWidth="1"/>
    <col min="6155" max="6155" width="6.21875" style="2" customWidth="1"/>
    <col min="6156" max="6156" width="5.5546875" style="2" customWidth="1"/>
    <col min="6157" max="6157" width="10.77734375" style="2" customWidth="1"/>
    <col min="6158" max="6158" width="8.21875" style="2" customWidth="1"/>
    <col min="6159" max="6159" width="12.21875" style="2" customWidth="1"/>
    <col min="6160" max="6160" width="10.21875" style="2" customWidth="1"/>
    <col min="6161" max="6161" width="9.21875" style="2" customWidth="1"/>
    <col min="6162" max="6400" width="9.21875" style="2"/>
    <col min="6401" max="6401" width="4.21875" style="2" customWidth="1"/>
    <col min="6402" max="6402" width="2.5546875" style="2" customWidth="1"/>
    <col min="6403" max="6404" width="9.21875" style="2"/>
    <col min="6405" max="6405" width="5.77734375" style="2" customWidth="1"/>
    <col min="6406" max="6406" width="8.77734375" style="2" customWidth="1"/>
    <col min="6407" max="6407" width="3.21875" style="2" customWidth="1"/>
    <col min="6408" max="6408" width="10.21875" style="2" customWidth="1"/>
    <col min="6409" max="6409" width="3.77734375" style="2" customWidth="1"/>
    <col min="6410" max="6410" width="8.21875" style="2" customWidth="1"/>
    <col min="6411" max="6411" width="6.21875" style="2" customWidth="1"/>
    <col min="6412" max="6412" width="5.5546875" style="2" customWidth="1"/>
    <col min="6413" max="6413" width="10.77734375" style="2" customWidth="1"/>
    <col min="6414" max="6414" width="8.21875" style="2" customWidth="1"/>
    <col min="6415" max="6415" width="12.21875" style="2" customWidth="1"/>
    <col min="6416" max="6416" width="10.21875" style="2" customWidth="1"/>
    <col min="6417" max="6417" width="9.21875" style="2" customWidth="1"/>
    <col min="6418" max="6656" width="9.21875" style="2"/>
    <col min="6657" max="6657" width="4.21875" style="2" customWidth="1"/>
    <col min="6658" max="6658" width="2.5546875" style="2" customWidth="1"/>
    <col min="6659" max="6660" width="9.21875" style="2"/>
    <col min="6661" max="6661" width="5.77734375" style="2" customWidth="1"/>
    <col min="6662" max="6662" width="8.77734375" style="2" customWidth="1"/>
    <col min="6663" max="6663" width="3.21875" style="2" customWidth="1"/>
    <col min="6664" max="6664" width="10.21875" style="2" customWidth="1"/>
    <col min="6665" max="6665" width="3.77734375" style="2" customWidth="1"/>
    <col min="6666" max="6666" width="8.21875" style="2" customWidth="1"/>
    <col min="6667" max="6667" width="6.21875" style="2" customWidth="1"/>
    <col min="6668" max="6668" width="5.5546875" style="2" customWidth="1"/>
    <col min="6669" max="6669" width="10.77734375" style="2" customWidth="1"/>
    <col min="6670" max="6670" width="8.21875" style="2" customWidth="1"/>
    <col min="6671" max="6671" width="12.21875" style="2" customWidth="1"/>
    <col min="6672" max="6672" width="10.21875" style="2" customWidth="1"/>
    <col min="6673" max="6673" width="9.21875" style="2" customWidth="1"/>
    <col min="6674" max="6912" width="9.21875" style="2"/>
    <col min="6913" max="6913" width="4.21875" style="2" customWidth="1"/>
    <col min="6914" max="6914" width="2.5546875" style="2" customWidth="1"/>
    <col min="6915" max="6916" width="9.21875" style="2"/>
    <col min="6917" max="6917" width="5.77734375" style="2" customWidth="1"/>
    <col min="6918" max="6918" width="8.77734375" style="2" customWidth="1"/>
    <col min="6919" max="6919" width="3.21875" style="2" customWidth="1"/>
    <col min="6920" max="6920" width="10.21875" style="2" customWidth="1"/>
    <col min="6921" max="6921" width="3.77734375" style="2" customWidth="1"/>
    <col min="6922" max="6922" width="8.21875" style="2" customWidth="1"/>
    <col min="6923" max="6923" width="6.21875" style="2" customWidth="1"/>
    <col min="6924" max="6924" width="5.5546875" style="2" customWidth="1"/>
    <col min="6925" max="6925" width="10.77734375" style="2" customWidth="1"/>
    <col min="6926" max="6926" width="8.21875" style="2" customWidth="1"/>
    <col min="6927" max="6927" width="12.21875" style="2" customWidth="1"/>
    <col min="6928" max="6928" width="10.21875" style="2" customWidth="1"/>
    <col min="6929" max="6929" width="9.21875" style="2" customWidth="1"/>
    <col min="6930" max="7168" width="9.21875" style="2"/>
    <col min="7169" max="7169" width="4.21875" style="2" customWidth="1"/>
    <col min="7170" max="7170" width="2.5546875" style="2" customWidth="1"/>
    <col min="7171" max="7172" width="9.21875" style="2"/>
    <col min="7173" max="7173" width="5.77734375" style="2" customWidth="1"/>
    <col min="7174" max="7174" width="8.77734375" style="2" customWidth="1"/>
    <col min="7175" max="7175" width="3.21875" style="2" customWidth="1"/>
    <col min="7176" max="7176" width="10.21875" style="2" customWidth="1"/>
    <col min="7177" max="7177" width="3.77734375" style="2" customWidth="1"/>
    <col min="7178" max="7178" width="8.21875" style="2" customWidth="1"/>
    <col min="7179" max="7179" width="6.21875" style="2" customWidth="1"/>
    <col min="7180" max="7180" width="5.5546875" style="2" customWidth="1"/>
    <col min="7181" max="7181" width="10.77734375" style="2" customWidth="1"/>
    <col min="7182" max="7182" width="8.21875" style="2" customWidth="1"/>
    <col min="7183" max="7183" width="12.21875" style="2" customWidth="1"/>
    <col min="7184" max="7184" width="10.21875" style="2" customWidth="1"/>
    <col min="7185" max="7185" width="9.21875" style="2" customWidth="1"/>
    <col min="7186" max="7424" width="9.21875" style="2"/>
    <col min="7425" max="7425" width="4.21875" style="2" customWidth="1"/>
    <col min="7426" max="7426" width="2.5546875" style="2" customWidth="1"/>
    <col min="7427" max="7428" width="9.21875" style="2"/>
    <col min="7429" max="7429" width="5.77734375" style="2" customWidth="1"/>
    <col min="7430" max="7430" width="8.77734375" style="2" customWidth="1"/>
    <col min="7431" max="7431" width="3.21875" style="2" customWidth="1"/>
    <col min="7432" max="7432" width="10.21875" style="2" customWidth="1"/>
    <col min="7433" max="7433" width="3.77734375" style="2" customWidth="1"/>
    <col min="7434" max="7434" width="8.21875" style="2" customWidth="1"/>
    <col min="7435" max="7435" width="6.21875" style="2" customWidth="1"/>
    <col min="7436" max="7436" width="5.5546875" style="2" customWidth="1"/>
    <col min="7437" max="7437" width="10.77734375" style="2" customWidth="1"/>
    <col min="7438" max="7438" width="8.21875" style="2" customWidth="1"/>
    <col min="7439" max="7439" width="12.21875" style="2" customWidth="1"/>
    <col min="7440" max="7440" width="10.21875" style="2" customWidth="1"/>
    <col min="7441" max="7441" width="9.21875" style="2" customWidth="1"/>
    <col min="7442" max="7680" width="9.21875" style="2"/>
    <col min="7681" max="7681" width="4.21875" style="2" customWidth="1"/>
    <col min="7682" max="7682" width="2.5546875" style="2" customWidth="1"/>
    <col min="7683" max="7684" width="9.21875" style="2"/>
    <col min="7685" max="7685" width="5.77734375" style="2" customWidth="1"/>
    <col min="7686" max="7686" width="8.77734375" style="2" customWidth="1"/>
    <col min="7687" max="7687" width="3.21875" style="2" customWidth="1"/>
    <col min="7688" max="7688" width="10.21875" style="2" customWidth="1"/>
    <col min="7689" max="7689" width="3.77734375" style="2" customWidth="1"/>
    <col min="7690" max="7690" width="8.21875" style="2" customWidth="1"/>
    <col min="7691" max="7691" width="6.21875" style="2" customWidth="1"/>
    <col min="7692" max="7692" width="5.5546875" style="2" customWidth="1"/>
    <col min="7693" max="7693" width="10.77734375" style="2" customWidth="1"/>
    <col min="7694" max="7694" width="8.21875" style="2" customWidth="1"/>
    <col min="7695" max="7695" width="12.21875" style="2" customWidth="1"/>
    <col min="7696" max="7696" width="10.21875" style="2" customWidth="1"/>
    <col min="7697" max="7697" width="9.21875" style="2" customWidth="1"/>
    <col min="7698" max="7936" width="9.21875" style="2"/>
    <col min="7937" max="7937" width="4.21875" style="2" customWidth="1"/>
    <col min="7938" max="7938" width="2.5546875" style="2" customWidth="1"/>
    <col min="7939" max="7940" width="9.21875" style="2"/>
    <col min="7941" max="7941" width="5.77734375" style="2" customWidth="1"/>
    <col min="7942" max="7942" width="8.77734375" style="2" customWidth="1"/>
    <col min="7943" max="7943" width="3.21875" style="2" customWidth="1"/>
    <col min="7944" max="7944" width="10.21875" style="2" customWidth="1"/>
    <col min="7945" max="7945" width="3.77734375" style="2" customWidth="1"/>
    <col min="7946" max="7946" width="8.21875" style="2" customWidth="1"/>
    <col min="7947" max="7947" width="6.21875" style="2" customWidth="1"/>
    <col min="7948" max="7948" width="5.5546875" style="2" customWidth="1"/>
    <col min="7949" max="7949" width="10.77734375" style="2" customWidth="1"/>
    <col min="7950" max="7950" width="8.21875" style="2" customWidth="1"/>
    <col min="7951" max="7951" width="12.21875" style="2" customWidth="1"/>
    <col min="7952" max="7952" width="10.21875" style="2" customWidth="1"/>
    <col min="7953" max="7953" width="9.21875" style="2" customWidth="1"/>
    <col min="7954" max="8192" width="9.21875" style="2"/>
    <col min="8193" max="8193" width="4.21875" style="2" customWidth="1"/>
    <col min="8194" max="8194" width="2.5546875" style="2" customWidth="1"/>
    <col min="8195" max="8196" width="9.21875" style="2"/>
    <col min="8197" max="8197" width="5.77734375" style="2" customWidth="1"/>
    <col min="8198" max="8198" width="8.77734375" style="2" customWidth="1"/>
    <col min="8199" max="8199" width="3.21875" style="2" customWidth="1"/>
    <col min="8200" max="8200" width="10.21875" style="2" customWidth="1"/>
    <col min="8201" max="8201" width="3.77734375" style="2" customWidth="1"/>
    <col min="8202" max="8202" width="8.21875" style="2" customWidth="1"/>
    <col min="8203" max="8203" width="6.21875" style="2" customWidth="1"/>
    <col min="8204" max="8204" width="5.5546875" style="2" customWidth="1"/>
    <col min="8205" max="8205" width="10.77734375" style="2" customWidth="1"/>
    <col min="8206" max="8206" width="8.21875" style="2" customWidth="1"/>
    <col min="8207" max="8207" width="12.21875" style="2" customWidth="1"/>
    <col min="8208" max="8208" width="10.21875" style="2" customWidth="1"/>
    <col min="8209" max="8209" width="9.21875" style="2" customWidth="1"/>
    <col min="8210" max="8448" width="9.21875" style="2"/>
    <col min="8449" max="8449" width="4.21875" style="2" customWidth="1"/>
    <col min="8450" max="8450" width="2.5546875" style="2" customWidth="1"/>
    <col min="8451" max="8452" width="9.21875" style="2"/>
    <col min="8453" max="8453" width="5.77734375" style="2" customWidth="1"/>
    <col min="8454" max="8454" width="8.77734375" style="2" customWidth="1"/>
    <col min="8455" max="8455" width="3.21875" style="2" customWidth="1"/>
    <col min="8456" max="8456" width="10.21875" style="2" customWidth="1"/>
    <col min="8457" max="8457" width="3.77734375" style="2" customWidth="1"/>
    <col min="8458" max="8458" width="8.21875" style="2" customWidth="1"/>
    <col min="8459" max="8459" width="6.21875" style="2" customWidth="1"/>
    <col min="8460" max="8460" width="5.5546875" style="2" customWidth="1"/>
    <col min="8461" max="8461" width="10.77734375" style="2" customWidth="1"/>
    <col min="8462" max="8462" width="8.21875" style="2" customWidth="1"/>
    <col min="8463" max="8463" width="12.21875" style="2" customWidth="1"/>
    <col min="8464" max="8464" width="10.21875" style="2" customWidth="1"/>
    <col min="8465" max="8465" width="9.21875" style="2" customWidth="1"/>
    <col min="8466" max="8704" width="9.21875" style="2"/>
    <col min="8705" max="8705" width="4.21875" style="2" customWidth="1"/>
    <col min="8706" max="8706" width="2.5546875" style="2" customWidth="1"/>
    <col min="8707" max="8708" width="9.21875" style="2"/>
    <col min="8709" max="8709" width="5.77734375" style="2" customWidth="1"/>
    <col min="8710" max="8710" width="8.77734375" style="2" customWidth="1"/>
    <col min="8711" max="8711" width="3.21875" style="2" customWidth="1"/>
    <col min="8712" max="8712" width="10.21875" style="2" customWidth="1"/>
    <col min="8713" max="8713" width="3.77734375" style="2" customWidth="1"/>
    <col min="8714" max="8714" width="8.21875" style="2" customWidth="1"/>
    <col min="8715" max="8715" width="6.21875" style="2" customWidth="1"/>
    <col min="8716" max="8716" width="5.5546875" style="2" customWidth="1"/>
    <col min="8717" max="8717" width="10.77734375" style="2" customWidth="1"/>
    <col min="8718" max="8718" width="8.21875" style="2" customWidth="1"/>
    <col min="8719" max="8719" width="12.21875" style="2" customWidth="1"/>
    <col min="8720" max="8720" width="10.21875" style="2" customWidth="1"/>
    <col min="8721" max="8721" width="9.21875" style="2" customWidth="1"/>
    <col min="8722" max="8960" width="9.21875" style="2"/>
    <col min="8961" max="8961" width="4.21875" style="2" customWidth="1"/>
    <col min="8962" max="8962" width="2.5546875" style="2" customWidth="1"/>
    <col min="8963" max="8964" width="9.21875" style="2"/>
    <col min="8965" max="8965" width="5.77734375" style="2" customWidth="1"/>
    <col min="8966" max="8966" width="8.77734375" style="2" customWidth="1"/>
    <col min="8967" max="8967" width="3.21875" style="2" customWidth="1"/>
    <col min="8968" max="8968" width="10.21875" style="2" customWidth="1"/>
    <col min="8969" max="8969" width="3.77734375" style="2" customWidth="1"/>
    <col min="8970" max="8970" width="8.21875" style="2" customWidth="1"/>
    <col min="8971" max="8971" width="6.21875" style="2" customWidth="1"/>
    <col min="8972" max="8972" width="5.5546875" style="2" customWidth="1"/>
    <col min="8973" max="8973" width="10.77734375" style="2" customWidth="1"/>
    <col min="8974" max="8974" width="8.21875" style="2" customWidth="1"/>
    <col min="8975" max="8975" width="12.21875" style="2" customWidth="1"/>
    <col min="8976" max="8976" width="10.21875" style="2" customWidth="1"/>
    <col min="8977" max="8977" width="9.21875" style="2" customWidth="1"/>
    <col min="8978" max="9216" width="9.21875" style="2"/>
    <col min="9217" max="9217" width="4.21875" style="2" customWidth="1"/>
    <col min="9218" max="9218" width="2.5546875" style="2" customWidth="1"/>
    <col min="9219" max="9220" width="9.21875" style="2"/>
    <col min="9221" max="9221" width="5.77734375" style="2" customWidth="1"/>
    <col min="9222" max="9222" width="8.77734375" style="2" customWidth="1"/>
    <col min="9223" max="9223" width="3.21875" style="2" customWidth="1"/>
    <col min="9224" max="9224" width="10.21875" style="2" customWidth="1"/>
    <col min="9225" max="9225" width="3.77734375" style="2" customWidth="1"/>
    <col min="9226" max="9226" width="8.21875" style="2" customWidth="1"/>
    <col min="9227" max="9227" width="6.21875" style="2" customWidth="1"/>
    <col min="9228" max="9228" width="5.5546875" style="2" customWidth="1"/>
    <col min="9229" max="9229" width="10.77734375" style="2" customWidth="1"/>
    <col min="9230" max="9230" width="8.21875" style="2" customWidth="1"/>
    <col min="9231" max="9231" width="12.21875" style="2" customWidth="1"/>
    <col min="9232" max="9232" width="10.21875" style="2" customWidth="1"/>
    <col min="9233" max="9233" width="9.21875" style="2" customWidth="1"/>
    <col min="9234" max="9472" width="9.21875" style="2"/>
    <col min="9473" max="9473" width="4.21875" style="2" customWidth="1"/>
    <col min="9474" max="9474" width="2.5546875" style="2" customWidth="1"/>
    <col min="9475" max="9476" width="9.21875" style="2"/>
    <col min="9477" max="9477" width="5.77734375" style="2" customWidth="1"/>
    <col min="9478" max="9478" width="8.77734375" style="2" customWidth="1"/>
    <col min="9479" max="9479" width="3.21875" style="2" customWidth="1"/>
    <col min="9480" max="9480" width="10.21875" style="2" customWidth="1"/>
    <col min="9481" max="9481" width="3.77734375" style="2" customWidth="1"/>
    <col min="9482" max="9482" width="8.21875" style="2" customWidth="1"/>
    <col min="9483" max="9483" width="6.21875" style="2" customWidth="1"/>
    <col min="9484" max="9484" width="5.5546875" style="2" customWidth="1"/>
    <col min="9485" max="9485" width="10.77734375" style="2" customWidth="1"/>
    <col min="9486" max="9486" width="8.21875" style="2" customWidth="1"/>
    <col min="9487" max="9487" width="12.21875" style="2" customWidth="1"/>
    <col min="9488" max="9488" width="10.21875" style="2" customWidth="1"/>
    <col min="9489" max="9489" width="9.21875" style="2" customWidth="1"/>
    <col min="9490" max="9728" width="9.21875" style="2"/>
    <col min="9729" max="9729" width="4.21875" style="2" customWidth="1"/>
    <col min="9730" max="9730" width="2.5546875" style="2" customWidth="1"/>
    <col min="9731" max="9732" width="9.21875" style="2"/>
    <col min="9733" max="9733" width="5.77734375" style="2" customWidth="1"/>
    <col min="9734" max="9734" width="8.77734375" style="2" customWidth="1"/>
    <col min="9735" max="9735" width="3.21875" style="2" customWidth="1"/>
    <col min="9736" max="9736" width="10.21875" style="2" customWidth="1"/>
    <col min="9737" max="9737" width="3.77734375" style="2" customWidth="1"/>
    <col min="9738" max="9738" width="8.21875" style="2" customWidth="1"/>
    <col min="9739" max="9739" width="6.21875" style="2" customWidth="1"/>
    <col min="9740" max="9740" width="5.5546875" style="2" customWidth="1"/>
    <col min="9741" max="9741" width="10.77734375" style="2" customWidth="1"/>
    <col min="9742" max="9742" width="8.21875" style="2" customWidth="1"/>
    <col min="9743" max="9743" width="12.21875" style="2" customWidth="1"/>
    <col min="9744" max="9744" width="10.21875" style="2" customWidth="1"/>
    <col min="9745" max="9745" width="9.21875" style="2" customWidth="1"/>
    <col min="9746" max="9984" width="9.21875" style="2"/>
    <col min="9985" max="9985" width="4.21875" style="2" customWidth="1"/>
    <col min="9986" max="9986" width="2.5546875" style="2" customWidth="1"/>
    <col min="9987" max="9988" width="9.21875" style="2"/>
    <col min="9989" max="9989" width="5.77734375" style="2" customWidth="1"/>
    <col min="9990" max="9990" width="8.77734375" style="2" customWidth="1"/>
    <col min="9991" max="9991" width="3.21875" style="2" customWidth="1"/>
    <col min="9992" max="9992" width="10.21875" style="2" customWidth="1"/>
    <col min="9993" max="9993" width="3.77734375" style="2" customWidth="1"/>
    <col min="9994" max="9994" width="8.21875" style="2" customWidth="1"/>
    <col min="9995" max="9995" width="6.21875" style="2" customWidth="1"/>
    <col min="9996" max="9996" width="5.5546875" style="2" customWidth="1"/>
    <col min="9997" max="9997" width="10.77734375" style="2" customWidth="1"/>
    <col min="9998" max="9998" width="8.21875" style="2" customWidth="1"/>
    <col min="9999" max="9999" width="12.21875" style="2" customWidth="1"/>
    <col min="10000" max="10000" width="10.21875" style="2" customWidth="1"/>
    <col min="10001" max="10001" width="9.21875" style="2" customWidth="1"/>
    <col min="10002" max="10240" width="9.21875" style="2"/>
    <col min="10241" max="10241" width="4.21875" style="2" customWidth="1"/>
    <col min="10242" max="10242" width="2.5546875" style="2" customWidth="1"/>
    <col min="10243" max="10244" width="9.21875" style="2"/>
    <col min="10245" max="10245" width="5.77734375" style="2" customWidth="1"/>
    <col min="10246" max="10246" width="8.77734375" style="2" customWidth="1"/>
    <col min="10247" max="10247" width="3.21875" style="2" customWidth="1"/>
    <col min="10248" max="10248" width="10.21875" style="2" customWidth="1"/>
    <col min="10249" max="10249" width="3.77734375" style="2" customWidth="1"/>
    <col min="10250" max="10250" width="8.21875" style="2" customWidth="1"/>
    <col min="10251" max="10251" width="6.21875" style="2" customWidth="1"/>
    <col min="10252" max="10252" width="5.5546875" style="2" customWidth="1"/>
    <col min="10253" max="10253" width="10.77734375" style="2" customWidth="1"/>
    <col min="10254" max="10254" width="8.21875" style="2" customWidth="1"/>
    <col min="10255" max="10255" width="12.21875" style="2" customWidth="1"/>
    <col min="10256" max="10256" width="10.21875" style="2" customWidth="1"/>
    <col min="10257" max="10257" width="9.21875" style="2" customWidth="1"/>
    <col min="10258" max="10496" width="9.21875" style="2"/>
    <col min="10497" max="10497" width="4.21875" style="2" customWidth="1"/>
    <col min="10498" max="10498" width="2.5546875" style="2" customWidth="1"/>
    <col min="10499" max="10500" width="9.21875" style="2"/>
    <col min="10501" max="10501" width="5.77734375" style="2" customWidth="1"/>
    <col min="10502" max="10502" width="8.77734375" style="2" customWidth="1"/>
    <col min="10503" max="10503" width="3.21875" style="2" customWidth="1"/>
    <col min="10504" max="10504" width="10.21875" style="2" customWidth="1"/>
    <col min="10505" max="10505" width="3.77734375" style="2" customWidth="1"/>
    <col min="10506" max="10506" width="8.21875" style="2" customWidth="1"/>
    <col min="10507" max="10507" width="6.21875" style="2" customWidth="1"/>
    <col min="10508" max="10508" width="5.5546875" style="2" customWidth="1"/>
    <col min="10509" max="10509" width="10.77734375" style="2" customWidth="1"/>
    <col min="10510" max="10510" width="8.21875" style="2" customWidth="1"/>
    <col min="10511" max="10511" width="12.21875" style="2" customWidth="1"/>
    <col min="10512" max="10512" width="10.21875" style="2" customWidth="1"/>
    <col min="10513" max="10513" width="9.21875" style="2" customWidth="1"/>
    <col min="10514" max="10752" width="9.21875" style="2"/>
    <col min="10753" max="10753" width="4.21875" style="2" customWidth="1"/>
    <col min="10754" max="10754" width="2.5546875" style="2" customWidth="1"/>
    <col min="10755" max="10756" width="9.21875" style="2"/>
    <col min="10757" max="10757" width="5.77734375" style="2" customWidth="1"/>
    <col min="10758" max="10758" width="8.77734375" style="2" customWidth="1"/>
    <col min="10759" max="10759" width="3.21875" style="2" customWidth="1"/>
    <col min="10760" max="10760" width="10.21875" style="2" customWidth="1"/>
    <col min="10761" max="10761" width="3.77734375" style="2" customWidth="1"/>
    <col min="10762" max="10762" width="8.21875" style="2" customWidth="1"/>
    <col min="10763" max="10763" width="6.21875" style="2" customWidth="1"/>
    <col min="10764" max="10764" width="5.5546875" style="2" customWidth="1"/>
    <col min="10765" max="10765" width="10.77734375" style="2" customWidth="1"/>
    <col min="10766" max="10766" width="8.21875" style="2" customWidth="1"/>
    <col min="10767" max="10767" width="12.21875" style="2" customWidth="1"/>
    <col min="10768" max="10768" width="10.21875" style="2" customWidth="1"/>
    <col min="10769" max="10769" width="9.21875" style="2" customWidth="1"/>
    <col min="10770" max="11008" width="9.21875" style="2"/>
    <col min="11009" max="11009" width="4.21875" style="2" customWidth="1"/>
    <col min="11010" max="11010" width="2.5546875" style="2" customWidth="1"/>
    <col min="11011" max="11012" width="9.21875" style="2"/>
    <col min="11013" max="11013" width="5.77734375" style="2" customWidth="1"/>
    <col min="11014" max="11014" width="8.77734375" style="2" customWidth="1"/>
    <col min="11015" max="11015" width="3.21875" style="2" customWidth="1"/>
    <col min="11016" max="11016" width="10.21875" style="2" customWidth="1"/>
    <col min="11017" max="11017" width="3.77734375" style="2" customWidth="1"/>
    <col min="11018" max="11018" width="8.21875" style="2" customWidth="1"/>
    <col min="11019" max="11019" width="6.21875" style="2" customWidth="1"/>
    <col min="11020" max="11020" width="5.5546875" style="2" customWidth="1"/>
    <col min="11021" max="11021" width="10.77734375" style="2" customWidth="1"/>
    <col min="11022" max="11022" width="8.21875" style="2" customWidth="1"/>
    <col min="11023" max="11023" width="12.21875" style="2" customWidth="1"/>
    <col min="11024" max="11024" width="10.21875" style="2" customWidth="1"/>
    <col min="11025" max="11025" width="9.21875" style="2" customWidth="1"/>
    <col min="11026" max="11264" width="9.21875" style="2"/>
    <col min="11265" max="11265" width="4.21875" style="2" customWidth="1"/>
    <col min="11266" max="11266" width="2.5546875" style="2" customWidth="1"/>
    <col min="11267" max="11268" width="9.21875" style="2"/>
    <col min="11269" max="11269" width="5.77734375" style="2" customWidth="1"/>
    <col min="11270" max="11270" width="8.77734375" style="2" customWidth="1"/>
    <col min="11271" max="11271" width="3.21875" style="2" customWidth="1"/>
    <col min="11272" max="11272" width="10.21875" style="2" customWidth="1"/>
    <col min="11273" max="11273" width="3.77734375" style="2" customWidth="1"/>
    <col min="11274" max="11274" width="8.21875" style="2" customWidth="1"/>
    <col min="11275" max="11275" width="6.21875" style="2" customWidth="1"/>
    <col min="11276" max="11276" width="5.5546875" style="2" customWidth="1"/>
    <col min="11277" max="11277" width="10.77734375" style="2" customWidth="1"/>
    <col min="11278" max="11278" width="8.21875" style="2" customWidth="1"/>
    <col min="11279" max="11279" width="12.21875" style="2" customWidth="1"/>
    <col min="11280" max="11280" width="10.21875" style="2" customWidth="1"/>
    <col min="11281" max="11281" width="9.21875" style="2" customWidth="1"/>
    <col min="11282" max="11520" width="9.21875" style="2"/>
    <col min="11521" max="11521" width="4.21875" style="2" customWidth="1"/>
    <col min="11522" max="11522" width="2.5546875" style="2" customWidth="1"/>
    <col min="11523" max="11524" width="9.21875" style="2"/>
    <col min="11525" max="11525" width="5.77734375" style="2" customWidth="1"/>
    <col min="11526" max="11526" width="8.77734375" style="2" customWidth="1"/>
    <col min="11527" max="11527" width="3.21875" style="2" customWidth="1"/>
    <col min="11528" max="11528" width="10.21875" style="2" customWidth="1"/>
    <col min="11529" max="11529" width="3.77734375" style="2" customWidth="1"/>
    <col min="11530" max="11530" width="8.21875" style="2" customWidth="1"/>
    <col min="11531" max="11531" width="6.21875" style="2" customWidth="1"/>
    <col min="11532" max="11532" width="5.5546875" style="2" customWidth="1"/>
    <col min="11533" max="11533" width="10.77734375" style="2" customWidth="1"/>
    <col min="11534" max="11534" width="8.21875" style="2" customWidth="1"/>
    <col min="11535" max="11535" width="12.21875" style="2" customWidth="1"/>
    <col min="11536" max="11536" width="10.21875" style="2" customWidth="1"/>
    <col min="11537" max="11537" width="9.21875" style="2" customWidth="1"/>
    <col min="11538" max="11776" width="9.21875" style="2"/>
    <col min="11777" max="11777" width="4.21875" style="2" customWidth="1"/>
    <col min="11778" max="11778" width="2.5546875" style="2" customWidth="1"/>
    <col min="11779" max="11780" width="9.21875" style="2"/>
    <col min="11781" max="11781" width="5.77734375" style="2" customWidth="1"/>
    <col min="11782" max="11782" width="8.77734375" style="2" customWidth="1"/>
    <col min="11783" max="11783" width="3.21875" style="2" customWidth="1"/>
    <col min="11784" max="11784" width="10.21875" style="2" customWidth="1"/>
    <col min="11785" max="11785" width="3.77734375" style="2" customWidth="1"/>
    <col min="11786" max="11786" width="8.21875" style="2" customWidth="1"/>
    <col min="11787" max="11787" width="6.21875" style="2" customWidth="1"/>
    <col min="11788" max="11788" width="5.5546875" style="2" customWidth="1"/>
    <col min="11789" max="11789" width="10.77734375" style="2" customWidth="1"/>
    <col min="11790" max="11790" width="8.21875" style="2" customWidth="1"/>
    <col min="11791" max="11791" width="12.21875" style="2" customWidth="1"/>
    <col min="11792" max="11792" width="10.21875" style="2" customWidth="1"/>
    <col min="11793" max="11793" width="9.21875" style="2" customWidth="1"/>
    <col min="11794" max="12032" width="9.21875" style="2"/>
    <col min="12033" max="12033" width="4.21875" style="2" customWidth="1"/>
    <col min="12034" max="12034" width="2.5546875" style="2" customWidth="1"/>
    <col min="12035" max="12036" width="9.21875" style="2"/>
    <col min="12037" max="12037" width="5.77734375" style="2" customWidth="1"/>
    <col min="12038" max="12038" width="8.77734375" style="2" customWidth="1"/>
    <col min="12039" max="12039" width="3.21875" style="2" customWidth="1"/>
    <col min="12040" max="12040" width="10.21875" style="2" customWidth="1"/>
    <col min="12041" max="12041" width="3.77734375" style="2" customWidth="1"/>
    <col min="12042" max="12042" width="8.21875" style="2" customWidth="1"/>
    <col min="12043" max="12043" width="6.21875" style="2" customWidth="1"/>
    <col min="12044" max="12044" width="5.5546875" style="2" customWidth="1"/>
    <col min="12045" max="12045" width="10.77734375" style="2" customWidth="1"/>
    <col min="12046" max="12046" width="8.21875" style="2" customWidth="1"/>
    <col min="12047" max="12047" width="12.21875" style="2" customWidth="1"/>
    <col min="12048" max="12048" width="10.21875" style="2" customWidth="1"/>
    <col min="12049" max="12049" width="9.21875" style="2" customWidth="1"/>
    <col min="12050" max="12288" width="9.21875" style="2"/>
    <col min="12289" max="12289" width="4.21875" style="2" customWidth="1"/>
    <col min="12290" max="12290" width="2.5546875" style="2" customWidth="1"/>
    <col min="12291" max="12292" width="9.21875" style="2"/>
    <col min="12293" max="12293" width="5.77734375" style="2" customWidth="1"/>
    <col min="12294" max="12294" width="8.77734375" style="2" customWidth="1"/>
    <col min="12295" max="12295" width="3.21875" style="2" customWidth="1"/>
    <col min="12296" max="12296" width="10.21875" style="2" customWidth="1"/>
    <col min="12297" max="12297" width="3.77734375" style="2" customWidth="1"/>
    <col min="12298" max="12298" width="8.21875" style="2" customWidth="1"/>
    <col min="12299" max="12299" width="6.21875" style="2" customWidth="1"/>
    <col min="12300" max="12300" width="5.5546875" style="2" customWidth="1"/>
    <col min="12301" max="12301" width="10.77734375" style="2" customWidth="1"/>
    <col min="12302" max="12302" width="8.21875" style="2" customWidth="1"/>
    <col min="12303" max="12303" width="12.21875" style="2" customWidth="1"/>
    <col min="12304" max="12304" width="10.21875" style="2" customWidth="1"/>
    <col min="12305" max="12305" width="9.21875" style="2" customWidth="1"/>
    <col min="12306" max="12544" width="9.21875" style="2"/>
    <col min="12545" max="12545" width="4.21875" style="2" customWidth="1"/>
    <col min="12546" max="12546" width="2.5546875" style="2" customWidth="1"/>
    <col min="12547" max="12548" width="9.21875" style="2"/>
    <col min="12549" max="12549" width="5.77734375" style="2" customWidth="1"/>
    <col min="12550" max="12550" width="8.77734375" style="2" customWidth="1"/>
    <col min="12551" max="12551" width="3.21875" style="2" customWidth="1"/>
    <col min="12552" max="12552" width="10.21875" style="2" customWidth="1"/>
    <col min="12553" max="12553" width="3.77734375" style="2" customWidth="1"/>
    <col min="12554" max="12554" width="8.21875" style="2" customWidth="1"/>
    <col min="12555" max="12555" width="6.21875" style="2" customWidth="1"/>
    <col min="12556" max="12556" width="5.5546875" style="2" customWidth="1"/>
    <col min="12557" max="12557" width="10.77734375" style="2" customWidth="1"/>
    <col min="12558" max="12558" width="8.21875" style="2" customWidth="1"/>
    <col min="12559" max="12559" width="12.21875" style="2" customWidth="1"/>
    <col min="12560" max="12560" width="10.21875" style="2" customWidth="1"/>
    <col min="12561" max="12561" width="9.21875" style="2" customWidth="1"/>
    <col min="12562" max="12800" width="9.21875" style="2"/>
    <col min="12801" max="12801" width="4.21875" style="2" customWidth="1"/>
    <col min="12802" max="12802" width="2.5546875" style="2" customWidth="1"/>
    <col min="12803" max="12804" width="9.21875" style="2"/>
    <col min="12805" max="12805" width="5.77734375" style="2" customWidth="1"/>
    <col min="12806" max="12806" width="8.77734375" style="2" customWidth="1"/>
    <col min="12807" max="12807" width="3.21875" style="2" customWidth="1"/>
    <col min="12808" max="12808" width="10.21875" style="2" customWidth="1"/>
    <col min="12809" max="12809" width="3.77734375" style="2" customWidth="1"/>
    <col min="12810" max="12810" width="8.21875" style="2" customWidth="1"/>
    <col min="12811" max="12811" width="6.21875" style="2" customWidth="1"/>
    <col min="12812" max="12812" width="5.5546875" style="2" customWidth="1"/>
    <col min="12813" max="12813" width="10.77734375" style="2" customWidth="1"/>
    <col min="12814" max="12814" width="8.21875" style="2" customWidth="1"/>
    <col min="12815" max="12815" width="12.21875" style="2" customWidth="1"/>
    <col min="12816" max="12816" width="10.21875" style="2" customWidth="1"/>
    <col min="12817" max="12817" width="9.21875" style="2" customWidth="1"/>
    <col min="12818" max="13056" width="9.21875" style="2"/>
    <col min="13057" max="13057" width="4.21875" style="2" customWidth="1"/>
    <col min="13058" max="13058" width="2.5546875" style="2" customWidth="1"/>
    <col min="13059" max="13060" width="9.21875" style="2"/>
    <col min="13061" max="13061" width="5.77734375" style="2" customWidth="1"/>
    <col min="13062" max="13062" width="8.77734375" style="2" customWidth="1"/>
    <col min="13063" max="13063" width="3.21875" style="2" customWidth="1"/>
    <col min="13064" max="13064" width="10.21875" style="2" customWidth="1"/>
    <col min="13065" max="13065" width="3.77734375" style="2" customWidth="1"/>
    <col min="13066" max="13066" width="8.21875" style="2" customWidth="1"/>
    <col min="13067" max="13067" width="6.21875" style="2" customWidth="1"/>
    <col min="13068" max="13068" width="5.5546875" style="2" customWidth="1"/>
    <col min="13069" max="13069" width="10.77734375" style="2" customWidth="1"/>
    <col min="13070" max="13070" width="8.21875" style="2" customWidth="1"/>
    <col min="13071" max="13071" width="12.21875" style="2" customWidth="1"/>
    <col min="13072" max="13072" width="10.21875" style="2" customWidth="1"/>
    <col min="13073" max="13073" width="9.21875" style="2" customWidth="1"/>
    <col min="13074" max="13312" width="9.21875" style="2"/>
    <col min="13313" max="13313" width="4.21875" style="2" customWidth="1"/>
    <col min="13314" max="13314" width="2.5546875" style="2" customWidth="1"/>
    <col min="13315" max="13316" width="9.21875" style="2"/>
    <col min="13317" max="13317" width="5.77734375" style="2" customWidth="1"/>
    <col min="13318" max="13318" width="8.77734375" style="2" customWidth="1"/>
    <col min="13319" max="13319" width="3.21875" style="2" customWidth="1"/>
    <col min="13320" max="13320" width="10.21875" style="2" customWidth="1"/>
    <col min="13321" max="13321" width="3.77734375" style="2" customWidth="1"/>
    <col min="13322" max="13322" width="8.21875" style="2" customWidth="1"/>
    <col min="13323" max="13323" width="6.21875" style="2" customWidth="1"/>
    <col min="13324" max="13324" width="5.5546875" style="2" customWidth="1"/>
    <col min="13325" max="13325" width="10.77734375" style="2" customWidth="1"/>
    <col min="13326" max="13326" width="8.21875" style="2" customWidth="1"/>
    <col min="13327" max="13327" width="12.21875" style="2" customWidth="1"/>
    <col min="13328" max="13328" width="10.21875" style="2" customWidth="1"/>
    <col min="13329" max="13329" width="9.21875" style="2" customWidth="1"/>
    <col min="13330" max="13568" width="9.21875" style="2"/>
    <col min="13569" max="13569" width="4.21875" style="2" customWidth="1"/>
    <col min="13570" max="13570" width="2.5546875" style="2" customWidth="1"/>
    <col min="13571" max="13572" width="9.21875" style="2"/>
    <col min="13573" max="13573" width="5.77734375" style="2" customWidth="1"/>
    <col min="13574" max="13574" width="8.77734375" style="2" customWidth="1"/>
    <col min="13575" max="13575" width="3.21875" style="2" customWidth="1"/>
    <col min="13576" max="13576" width="10.21875" style="2" customWidth="1"/>
    <col min="13577" max="13577" width="3.77734375" style="2" customWidth="1"/>
    <col min="13578" max="13578" width="8.21875" style="2" customWidth="1"/>
    <col min="13579" max="13579" width="6.21875" style="2" customWidth="1"/>
    <col min="13580" max="13580" width="5.5546875" style="2" customWidth="1"/>
    <col min="13581" max="13581" width="10.77734375" style="2" customWidth="1"/>
    <col min="13582" max="13582" width="8.21875" style="2" customWidth="1"/>
    <col min="13583" max="13583" width="12.21875" style="2" customWidth="1"/>
    <col min="13584" max="13584" width="10.21875" style="2" customWidth="1"/>
    <col min="13585" max="13585" width="9.21875" style="2" customWidth="1"/>
    <col min="13586" max="13824" width="9.21875" style="2"/>
    <col min="13825" max="13825" width="4.21875" style="2" customWidth="1"/>
    <col min="13826" max="13826" width="2.5546875" style="2" customWidth="1"/>
    <col min="13827" max="13828" width="9.21875" style="2"/>
    <col min="13829" max="13829" width="5.77734375" style="2" customWidth="1"/>
    <col min="13830" max="13830" width="8.77734375" style="2" customWidth="1"/>
    <col min="13831" max="13831" width="3.21875" style="2" customWidth="1"/>
    <col min="13832" max="13832" width="10.21875" style="2" customWidth="1"/>
    <col min="13833" max="13833" width="3.77734375" style="2" customWidth="1"/>
    <col min="13834" max="13834" width="8.21875" style="2" customWidth="1"/>
    <col min="13835" max="13835" width="6.21875" style="2" customWidth="1"/>
    <col min="13836" max="13836" width="5.5546875" style="2" customWidth="1"/>
    <col min="13837" max="13837" width="10.77734375" style="2" customWidth="1"/>
    <col min="13838" max="13838" width="8.21875" style="2" customWidth="1"/>
    <col min="13839" max="13839" width="12.21875" style="2" customWidth="1"/>
    <col min="13840" max="13840" width="10.21875" style="2" customWidth="1"/>
    <col min="13841" max="13841" width="9.21875" style="2" customWidth="1"/>
    <col min="13842" max="14080" width="9.21875" style="2"/>
    <col min="14081" max="14081" width="4.21875" style="2" customWidth="1"/>
    <col min="14082" max="14082" width="2.5546875" style="2" customWidth="1"/>
    <col min="14083" max="14084" width="9.21875" style="2"/>
    <col min="14085" max="14085" width="5.77734375" style="2" customWidth="1"/>
    <col min="14086" max="14086" width="8.77734375" style="2" customWidth="1"/>
    <col min="14087" max="14087" width="3.21875" style="2" customWidth="1"/>
    <col min="14088" max="14088" width="10.21875" style="2" customWidth="1"/>
    <col min="14089" max="14089" width="3.77734375" style="2" customWidth="1"/>
    <col min="14090" max="14090" width="8.21875" style="2" customWidth="1"/>
    <col min="14091" max="14091" width="6.21875" style="2" customWidth="1"/>
    <col min="14092" max="14092" width="5.5546875" style="2" customWidth="1"/>
    <col min="14093" max="14093" width="10.77734375" style="2" customWidth="1"/>
    <col min="14094" max="14094" width="8.21875" style="2" customWidth="1"/>
    <col min="14095" max="14095" width="12.21875" style="2" customWidth="1"/>
    <col min="14096" max="14096" width="10.21875" style="2" customWidth="1"/>
    <col min="14097" max="14097" width="9.21875" style="2" customWidth="1"/>
    <col min="14098" max="14336" width="9.21875" style="2"/>
    <col min="14337" max="14337" width="4.21875" style="2" customWidth="1"/>
    <col min="14338" max="14338" width="2.5546875" style="2" customWidth="1"/>
    <col min="14339" max="14340" width="9.21875" style="2"/>
    <col min="14341" max="14341" width="5.77734375" style="2" customWidth="1"/>
    <col min="14342" max="14342" width="8.77734375" style="2" customWidth="1"/>
    <col min="14343" max="14343" width="3.21875" style="2" customWidth="1"/>
    <col min="14344" max="14344" width="10.21875" style="2" customWidth="1"/>
    <col min="14345" max="14345" width="3.77734375" style="2" customWidth="1"/>
    <col min="14346" max="14346" width="8.21875" style="2" customWidth="1"/>
    <col min="14347" max="14347" width="6.21875" style="2" customWidth="1"/>
    <col min="14348" max="14348" width="5.5546875" style="2" customWidth="1"/>
    <col min="14349" max="14349" width="10.77734375" style="2" customWidth="1"/>
    <col min="14350" max="14350" width="8.21875" style="2" customWidth="1"/>
    <col min="14351" max="14351" width="12.21875" style="2" customWidth="1"/>
    <col min="14352" max="14352" width="10.21875" style="2" customWidth="1"/>
    <col min="14353" max="14353" width="9.21875" style="2" customWidth="1"/>
    <col min="14354" max="14592" width="9.21875" style="2"/>
    <col min="14593" max="14593" width="4.21875" style="2" customWidth="1"/>
    <col min="14594" max="14594" width="2.5546875" style="2" customWidth="1"/>
    <col min="14595" max="14596" width="9.21875" style="2"/>
    <col min="14597" max="14597" width="5.77734375" style="2" customWidth="1"/>
    <col min="14598" max="14598" width="8.77734375" style="2" customWidth="1"/>
    <col min="14599" max="14599" width="3.21875" style="2" customWidth="1"/>
    <col min="14600" max="14600" width="10.21875" style="2" customWidth="1"/>
    <col min="14601" max="14601" width="3.77734375" style="2" customWidth="1"/>
    <col min="14602" max="14602" width="8.21875" style="2" customWidth="1"/>
    <col min="14603" max="14603" width="6.21875" style="2" customWidth="1"/>
    <col min="14604" max="14604" width="5.5546875" style="2" customWidth="1"/>
    <col min="14605" max="14605" width="10.77734375" style="2" customWidth="1"/>
    <col min="14606" max="14606" width="8.21875" style="2" customWidth="1"/>
    <col min="14607" max="14607" width="12.21875" style="2" customWidth="1"/>
    <col min="14608" max="14608" width="10.21875" style="2" customWidth="1"/>
    <col min="14609" max="14609" width="9.21875" style="2" customWidth="1"/>
    <col min="14610" max="14848" width="9.21875" style="2"/>
    <col min="14849" max="14849" width="4.21875" style="2" customWidth="1"/>
    <col min="14850" max="14850" width="2.5546875" style="2" customWidth="1"/>
    <col min="14851" max="14852" width="9.21875" style="2"/>
    <col min="14853" max="14853" width="5.77734375" style="2" customWidth="1"/>
    <col min="14854" max="14854" width="8.77734375" style="2" customWidth="1"/>
    <col min="14855" max="14855" width="3.21875" style="2" customWidth="1"/>
    <col min="14856" max="14856" width="10.21875" style="2" customWidth="1"/>
    <col min="14857" max="14857" width="3.77734375" style="2" customWidth="1"/>
    <col min="14858" max="14858" width="8.21875" style="2" customWidth="1"/>
    <col min="14859" max="14859" width="6.21875" style="2" customWidth="1"/>
    <col min="14860" max="14860" width="5.5546875" style="2" customWidth="1"/>
    <col min="14861" max="14861" width="10.77734375" style="2" customWidth="1"/>
    <col min="14862" max="14862" width="8.21875" style="2" customWidth="1"/>
    <col min="14863" max="14863" width="12.21875" style="2" customWidth="1"/>
    <col min="14864" max="14864" width="10.21875" style="2" customWidth="1"/>
    <col min="14865" max="14865" width="9.21875" style="2" customWidth="1"/>
    <col min="14866" max="15104" width="9.21875" style="2"/>
    <col min="15105" max="15105" width="4.21875" style="2" customWidth="1"/>
    <col min="15106" max="15106" width="2.5546875" style="2" customWidth="1"/>
    <col min="15107" max="15108" width="9.21875" style="2"/>
    <col min="15109" max="15109" width="5.77734375" style="2" customWidth="1"/>
    <col min="15110" max="15110" width="8.77734375" style="2" customWidth="1"/>
    <col min="15111" max="15111" width="3.21875" style="2" customWidth="1"/>
    <col min="15112" max="15112" width="10.21875" style="2" customWidth="1"/>
    <col min="15113" max="15113" width="3.77734375" style="2" customWidth="1"/>
    <col min="15114" max="15114" width="8.21875" style="2" customWidth="1"/>
    <col min="15115" max="15115" width="6.21875" style="2" customWidth="1"/>
    <col min="15116" max="15116" width="5.5546875" style="2" customWidth="1"/>
    <col min="15117" max="15117" width="10.77734375" style="2" customWidth="1"/>
    <col min="15118" max="15118" width="8.21875" style="2" customWidth="1"/>
    <col min="15119" max="15119" width="12.21875" style="2" customWidth="1"/>
    <col min="15120" max="15120" width="10.21875" style="2" customWidth="1"/>
    <col min="15121" max="15121" width="9.21875" style="2" customWidth="1"/>
    <col min="15122" max="15360" width="9.21875" style="2"/>
    <col min="15361" max="15361" width="4.21875" style="2" customWidth="1"/>
    <col min="15362" max="15362" width="2.5546875" style="2" customWidth="1"/>
    <col min="15363" max="15364" width="9.21875" style="2"/>
    <col min="15365" max="15365" width="5.77734375" style="2" customWidth="1"/>
    <col min="15366" max="15366" width="8.77734375" style="2" customWidth="1"/>
    <col min="15367" max="15367" width="3.21875" style="2" customWidth="1"/>
    <col min="15368" max="15368" width="10.21875" style="2" customWidth="1"/>
    <col min="15369" max="15369" width="3.77734375" style="2" customWidth="1"/>
    <col min="15370" max="15370" width="8.21875" style="2" customWidth="1"/>
    <col min="15371" max="15371" width="6.21875" style="2" customWidth="1"/>
    <col min="15372" max="15372" width="5.5546875" style="2" customWidth="1"/>
    <col min="15373" max="15373" width="10.77734375" style="2" customWidth="1"/>
    <col min="15374" max="15374" width="8.21875" style="2" customWidth="1"/>
    <col min="15375" max="15375" width="12.21875" style="2" customWidth="1"/>
    <col min="15376" max="15376" width="10.21875" style="2" customWidth="1"/>
    <col min="15377" max="15377" width="9.21875" style="2" customWidth="1"/>
    <col min="15378" max="15616" width="9.21875" style="2"/>
    <col min="15617" max="15617" width="4.21875" style="2" customWidth="1"/>
    <col min="15618" max="15618" width="2.5546875" style="2" customWidth="1"/>
    <col min="15619" max="15620" width="9.21875" style="2"/>
    <col min="15621" max="15621" width="5.77734375" style="2" customWidth="1"/>
    <col min="15622" max="15622" width="8.77734375" style="2" customWidth="1"/>
    <col min="15623" max="15623" width="3.21875" style="2" customWidth="1"/>
    <col min="15624" max="15624" width="10.21875" style="2" customWidth="1"/>
    <col min="15625" max="15625" width="3.77734375" style="2" customWidth="1"/>
    <col min="15626" max="15626" width="8.21875" style="2" customWidth="1"/>
    <col min="15627" max="15627" width="6.21875" style="2" customWidth="1"/>
    <col min="15628" max="15628" width="5.5546875" style="2" customWidth="1"/>
    <col min="15629" max="15629" width="10.77734375" style="2" customWidth="1"/>
    <col min="15630" max="15630" width="8.21875" style="2" customWidth="1"/>
    <col min="15631" max="15631" width="12.21875" style="2" customWidth="1"/>
    <col min="15632" max="15632" width="10.21875" style="2" customWidth="1"/>
    <col min="15633" max="15633" width="9.21875" style="2" customWidth="1"/>
    <col min="15634" max="15872" width="9.21875" style="2"/>
    <col min="15873" max="15873" width="4.21875" style="2" customWidth="1"/>
    <col min="15874" max="15874" width="2.5546875" style="2" customWidth="1"/>
    <col min="15875" max="15876" width="9.21875" style="2"/>
    <col min="15877" max="15877" width="5.77734375" style="2" customWidth="1"/>
    <col min="15878" max="15878" width="8.77734375" style="2" customWidth="1"/>
    <col min="15879" max="15879" width="3.21875" style="2" customWidth="1"/>
    <col min="15880" max="15880" width="10.21875" style="2" customWidth="1"/>
    <col min="15881" max="15881" width="3.77734375" style="2" customWidth="1"/>
    <col min="15882" max="15882" width="8.21875" style="2" customWidth="1"/>
    <col min="15883" max="15883" width="6.21875" style="2" customWidth="1"/>
    <col min="15884" max="15884" width="5.5546875" style="2" customWidth="1"/>
    <col min="15885" max="15885" width="10.77734375" style="2" customWidth="1"/>
    <col min="15886" max="15886" width="8.21875" style="2" customWidth="1"/>
    <col min="15887" max="15887" width="12.21875" style="2" customWidth="1"/>
    <col min="15888" max="15888" width="10.21875" style="2" customWidth="1"/>
    <col min="15889" max="15889" width="9.21875" style="2" customWidth="1"/>
    <col min="15890" max="16128" width="9.21875" style="2"/>
    <col min="16129" max="16129" width="4.21875" style="2" customWidth="1"/>
    <col min="16130" max="16130" width="2.5546875" style="2" customWidth="1"/>
    <col min="16131" max="16132" width="9.21875" style="2"/>
    <col min="16133" max="16133" width="5.77734375" style="2" customWidth="1"/>
    <col min="16134" max="16134" width="8.77734375" style="2" customWidth="1"/>
    <col min="16135" max="16135" width="3.21875" style="2" customWidth="1"/>
    <col min="16136" max="16136" width="10.21875" style="2" customWidth="1"/>
    <col min="16137" max="16137" width="3.77734375" style="2" customWidth="1"/>
    <col min="16138" max="16138" width="8.21875" style="2" customWidth="1"/>
    <col min="16139" max="16139" width="6.21875" style="2" customWidth="1"/>
    <col min="16140" max="16140" width="5.5546875" style="2" customWidth="1"/>
    <col min="16141" max="16141" width="10.77734375" style="2" customWidth="1"/>
    <col min="16142" max="16142" width="8.21875" style="2" customWidth="1"/>
    <col min="16143" max="16143" width="12.21875" style="2" customWidth="1"/>
    <col min="16144" max="16144" width="10.21875" style="2" customWidth="1"/>
    <col min="16145" max="16145" width="9.21875" style="2" customWidth="1"/>
    <col min="16146" max="16384" width="9.21875" style="2"/>
  </cols>
  <sheetData>
    <row r="1" spans="1:17" ht="14.25" customHeight="1">
      <c r="P1" s="31"/>
    </row>
    <row r="2" spans="1:17" ht="15.6">
      <c r="A2" s="1220" t="s">
        <v>20</v>
      </c>
      <c r="B2" s="1220"/>
      <c r="C2" s="1220"/>
      <c r="D2" s="1220"/>
      <c r="E2" s="1220"/>
      <c r="F2" s="1220"/>
      <c r="G2" s="1220"/>
      <c r="H2" s="1220"/>
      <c r="I2" s="1220"/>
      <c r="J2" s="1220"/>
      <c r="K2" s="1220"/>
      <c r="L2" s="1220"/>
      <c r="M2" s="1220"/>
      <c r="N2" s="1220"/>
      <c r="O2" s="1220"/>
    </row>
    <row r="3" spans="1:17" ht="15.6">
      <c r="A3" s="1220" t="s">
        <v>21</v>
      </c>
      <c r="B3" s="1220"/>
      <c r="C3" s="1220"/>
      <c r="D3" s="1220"/>
      <c r="E3" s="1220"/>
      <c r="F3" s="1220"/>
      <c r="G3" s="1220"/>
      <c r="H3" s="1220"/>
      <c r="I3" s="1220"/>
      <c r="J3" s="1220"/>
      <c r="K3" s="1220"/>
      <c r="L3" s="1220"/>
      <c r="M3" s="1220"/>
      <c r="N3" s="1220"/>
      <c r="O3" s="1220"/>
    </row>
    <row r="4" spans="1:17" ht="7.5" customHeight="1"/>
    <row r="5" spans="1:17" ht="31.5" customHeight="1">
      <c r="A5" s="33" t="s">
        <v>22</v>
      </c>
      <c r="F5" s="34" t="s">
        <v>23</v>
      </c>
      <c r="H5" s="35" t="s">
        <v>24</v>
      </c>
      <c r="I5" s="36"/>
      <c r="J5" s="1221" t="s">
        <v>25</v>
      </c>
      <c r="K5" s="1217"/>
      <c r="M5" s="3" t="s">
        <v>26</v>
      </c>
      <c r="O5" s="37" t="s">
        <v>27</v>
      </c>
    </row>
    <row r="6" spans="1:17" ht="6.75" customHeight="1"/>
    <row r="7" spans="1:17" ht="15">
      <c r="B7" s="5" t="s">
        <v>6</v>
      </c>
      <c r="F7" s="38" t="str">
        <f>IF('Input (2)'!$E$4=0,"0",'Input (2)'!$E$4)</f>
        <v>0</v>
      </c>
      <c r="G7" s="39"/>
      <c r="J7" s="1222" t="str">
        <f>IF('Input (2)'!$E$4=0,"0",'Input (2)'!$E$4)</f>
        <v>0</v>
      </c>
      <c r="K7" s="1222"/>
      <c r="L7" s="40" t="s">
        <v>28</v>
      </c>
      <c r="M7" s="41">
        <f>IF('Input (2)'!E4=0,0,LOOKUP(J7,'criteria (2)'!$A$3:$A$10,'criteria (2)'!$B$3:$B$10))</f>
        <v>0</v>
      </c>
      <c r="N7" s="42" t="s">
        <v>29</v>
      </c>
      <c r="O7" s="38">
        <f>IF(Q7=0,0,IF(Q7&lt;LOOKUP(J7,'criteria (2)'!$A$3:$A$10,'criteria (2)'!$C$3:$C$10),LOOKUP(J7,'criteria (2)'!$A$3:$A$10,'criteria (2)'!$C$3:$C$10),IF(LOOKUP(J7,'criteria (2)'!$A$3:$A$10,'criteria (2)'!$C$3:$C$10)=0,0,Q7)))</f>
        <v>0</v>
      </c>
      <c r="P7" s="28" t="str">
        <f>IF('Input (2)'!E4=0," ",IF(O7=0,"ADD to 1-6",IF(O7=Q7," ","Minimum")))</f>
        <v xml:space="preserve"> </v>
      </c>
      <c r="Q7" s="32">
        <f>ROUND(IF('Input (2)'!E4=0,0,IF(M7=0,0,(J7/M7))),2)</f>
        <v>0</v>
      </c>
    </row>
    <row r="8" spans="1:17" ht="6.75" customHeight="1">
      <c r="J8" s="43"/>
      <c r="K8" s="43"/>
      <c r="O8" s="43"/>
    </row>
    <row r="9" spans="1:17">
      <c r="B9" s="5" t="s">
        <v>7</v>
      </c>
      <c r="J9" s="43"/>
      <c r="K9" s="43"/>
      <c r="O9" s="43"/>
    </row>
    <row r="10" spans="1:17">
      <c r="B10" s="28" t="s">
        <v>30</v>
      </c>
      <c r="J10" s="43"/>
      <c r="K10" s="43"/>
      <c r="O10" s="43"/>
    </row>
    <row r="11" spans="1:17" ht="16.5" customHeight="1">
      <c r="C11" s="12" t="s">
        <v>8</v>
      </c>
      <c r="F11" s="41" t="str">
        <f>IF(J11=0," ",IF($J$16&gt;300," ",'Input (2)'!E7))</f>
        <v xml:space="preserve"> </v>
      </c>
      <c r="G11" s="44" t="s">
        <v>31</v>
      </c>
      <c r="H11" s="38" t="str">
        <f>IF(J11=0," ",'C (2)'!H25)</f>
        <v xml:space="preserve"> </v>
      </c>
      <c r="I11" s="42" t="s">
        <v>29</v>
      </c>
      <c r="J11" s="1222">
        <f>IF('Input (2)'!E7=0,0,IF(SUM('Input (2)'!E7-'C (2)'!H25)+SUM('Input (2)'!E8-'C (2)'!H26)&gt;299.99,SUM('Input (2)'!E7-'C (2)'!H25),0))</f>
        <v>0</v>
      </c>
      <c r="K11" s="1222"/>
      <c r="L11" s="40" t="s">
        <v>28</v>
      </c>
      <c r="M11" s="41">
        <f>IF(SUM('Input (2)'!$E$7-'C (2)'!$H$25)+SUM('Input (2)'!$E$8-'C (2)'!$H$26)&gt;299.99,20,0)</f>
        <v>0</v>
      </c>
      <c r="N11" s="42" t="s">
        <v>29</v>
      </c>
      <c r="O11" s="38">
        <f>ROUND(IF(SUM('Input (2)'!$E$7-'C (2)'!$H$25)+SUM('Input (2)'!$E$8-'C (2)'!$H$26)&lt;299.99,0,IF(Q11+Q13&lt;15,0,(J11/M11))),2)</f>
        <v>0</v>
      </c>
      <c r="P11" s="2" t="str">
        <f>IF(O11=0," ",IF(O11=Q11," ","Minimum"))</f>
        <v xml:space="preserve"> </v>
      </c>
      <c r="Q11" s="32">
        <f>ROUND(IF(SUM('Input (2)'!$E$7-'C (2)'!$H$25)+SUM('Input (2)'!$E$8-'C (2)'!$H$26)&lt;299.99,0,(J11/M11)),2)</f>
        <v>0</v>
      </c>
    </row>
    <row r="12" spans="1:17" ht="9" customHeight="1">
      <c r="B12" s="12"/>
      <c r="J12" s="43"/>
      <c r="K12" s="43"/>
      <c r="O12" s="43"/>
    </row>
    <row r="13" spans="1:17" ht="15">
      <c r="C13" s="12" t="s">
        <v>9</v>
      </c>
      <c r="F13" s="41" t="str">
        <f>IF(J13=0," ",IF($J$16&gt;300," ",'Input (2)'!E8))</f>
        <v xml:space="preserve"> </v>
      </c>
      <c r="G13" s="44" t="s">
        <v>31</v>
      </c>
      <c r="H13" s="38" t="str">
        <f>IF(J13=0," ",'C (2)'!H26)</f>
        <v xml:space="preserve"> </v>
      </c>
      <c r="I13" s="42" t="s">
        <v>29</v>
      </c>
      <c r="J13" s="1222">
        <f>IF('Input (2)'!E8=0,0,IF(SUM('Input (2)'!E7-'C (2)'!H25)+SUM('Input (2)'!E8-'C (2)'!H26)&gt;299.99,SUM('Input (2)'!E8-'C (2)'!H26),0))</f>
        <v>0</v>
      </c>
      <c r="K13" s="1222"/>
      <c r="L13" s="40" t="s">
        <v>28</v>
      </c>
      <c r="M13" s="41">
        <f>IF(SUM('Input (2)'!$E$7-'C (2)'!$H$25)+SUM('Input (2)'!$E$8-'C (2)'!$H$26)&gt;299.99,23,0)</f>
        <v>0</v>
      </c>
      <c r="N13" s="42" t="s">
        <v>29</v>
      </c>
      <c r="O13" s="38">
        <f>ROUND(IF(SUM('Input (2)'!$E$7-'C (2)'!$H$25)+SUM('Input (2)'!$E$8-'C (2)'!$H$26)&lt;299.99,0,IF(Q11+Q13&lt;15,0,($J$13/$M$13))),2)</f>
        <v>0</v>
      </c>
      <c r="P13" s="2" t="str">
        <f>IF(O13=0," ",IF(O13=Q13," ","Minimum"))</f>
        <v xml:space="preserve"> </v>
      </c>
      <c r="Q13" s="32">
        <f>ROUND(IF(SUM('Input (2)'!$E$7-'C (2)'!$H$25)+SUM('Input (2)'!$E$8-'C (2)'!$H$26)&lt;299.99,0,($J$13/$M$13)),2)</f>
        <v>0</v>
      </c>
    </row>
    <row r="14" spans="1:17" ht="17.25" customHeight="1">
      <c r="B14" s="5" t="s">
        <v>7</v>
      </c>
      <c r="F14" s="36"/>
      <c r="G14" s="44"/>
      <c r="H14" s="39"/>
      <c r="I14" s="42"/>
      <c r="J14" s="39"/>
      <c r="K14" s="39"/>
      <c r="M14" s="36"/>
      <c r="N14" s="42"/>
      <c r="O14" s="39"/>
    </row>
    <row r="15" spans="1:17">
      <c r="B15" s="28" t="s">
        <v>32</v>
      </c>
      <c r="O15" s="39" t="str">
        <f>IF(P15="Minimum",15," ")</f>
        <v xml:space="preserve"> </v>
      </c>
      <c r="P15" s="2" t="str">
        <f>IF(Q11+Q13=0," ",IF(Q11+Q13&lt;15,"Minimum"," "))</f>
        <v xml:space="preserve"> </v>
      </c>
    </row>
    <row r="16" spans="1:17" ht="15">
      <c r="C16" s="12" t="s">
        <v>33</v>
      </c>
      <c r="F16" s="41">
        <f>IF(J16=0," ",IF(J16&lt;300,SUM('Input (2)'!E7+'Input (2)'!E8)," "))</f>
        <v>57</v>
      </c>
      <c r="G16" s="44" t="s">
        <v>31</v>
      </c>
      <c r="H16" s="38">
        <f>IF(J16=0," ",'C (2)'!H22)</f>
        <v>3.5999999999999996</v>
      </c>
      <c r="I16" s="42" t="s">
        <v>29</v>
      </c>
      <c r="J16" s="1222">
        <f>IF('Input (2)'!E9=0,0,IF(SUM('Input (2)'!E7-'C (2)'!H25)+SUM('Input (2)'!E8-'C (2)'!H26)&lt;300,IF(P7="ADD to 1-6",SUM('Input (2)'!E7-'C (2)'!H25)+SUM('Input (2)'!E8-'C (2)'!H26)+'Input (2)'!E4,SUM('Input (2)'!E7-'C (2)'!H25)+SUM('Input (2)'!E8-'C (2)'!H26)),0))</f>
        <v>53.4</v>
      </c>
      <c r="K16" s="1222"/>
      <c r="L16" s="40" t="s">
        <v>28</v>
      </c>
      <c r="M16" s="41">
        <f>IF(J16=0,0,LOOKUP(J16,'criteria (2)'!$M$3:$M$11,'criteria (2)'!$N$3:$N$11))</f>
        <v>15</v>
      </c>
      <c r="N16" s="42" t="s">
        <v>29</v>
      </c>
      <c r="O16" s="38">
        <f>IF(Q16=0,0,IF(Q16&lt;LOOKUP(J16,'criteria (2)'!$M$3:$M$10,'criteria (2)'!$O$3:$O$10),LOOKUP(J16,'criteria (2)'!$M$3:$M$10,'criteria (2)'!$O$3:$O$10),Q16))</f>
        <v>4</v>
      </c>
      <c r="P16" s="2" t="str">
        <f>IF(O16=0," ",IF(O16=Q16," ","Minimum"))</f>
        <v>Minimum</v>
      </c>
      <c r="Q16" s="32">
        <f>ROUND(IF('Input (2)'!E9=0,0,IF(SUM('Input (2)'!$E$7-'C (2)'!$H$25)+SUM('Input (2)'!$E$8-'C (2)'!$H$26)&gt;299.99,0,(J16/M16))),2)</f>
        <v>3.56</v>
      </c>
    </row>
    <row r="17" spans="1:17" ht="6" customHeight="1">
      <c r="J17" s="43"/>
      <c r="K17" s="43"/>
      <c r="O17" s="43"/>
    </row>
    <row r="18" spans="1:17" ht="15">
      <c r="B18" s="5" t="s">
        <v>10</v>
      </c>
      <c r="F18" s="41">
        <f>IF(J18=0," ",'Input (2)'!E10)</f>
        <v>77.899999999999991</v>
      </c>
      <c r="G18" s="44" t="s">
        <v>31</v>
      </c>
      <c r="H18" s="38">
        <f>IF('C (2)'!$H$43=0," ",'C (2)'!$H$43)</f>
        <v>4.51</v>
      </c>
      <c r="I18" s="42" t="s">
        <v>29</v>
      </c>
      <c r="J18" s="1222">
        <f>IF('Input (2)'!E10=0,0,SUM('Input (2)'!E10-'C (2)'!H43))</f>
        <v>73.389999999999986</v>
      </c>
      <c r="K18" s="1222"/>
      <c r="L18" s="40" t="s">
        <v>28</v>
      </c>
      <c r="M18" s="41">
        <f>IF('Input (2)'!C10=0,0,IF(J18&gt;99.99,LOOKUP(J18,'criteria (2)'!Q3:Q10,'criteria (2)'!R3:R10),12))</f>
        <v>12</v>
      </c>
      <c r="N18" s="42" t="s">
        <v>29</v>
      </c>
      <c r="O18" s="38">
        <f>ROUND(IF(J18=0,0,IF(J18&lt;99.99,IF(M18=0,8,(J18/M18)),IF(Q18&lt;LOOKUP(J18,'criteria (2)'!$Q$3:$Q$10,'criteria (2)'!$S$3:$S$10),LOOKUP(J18,'criteria (2)'!$Q$3:$Q$10,'criteria (2)'!$S$3:$S$10),Q18))),2)</f>
        <v>6.12</v>
      </c>
      <c r="P18" s="2" t="str">
        <f>IF(O18=0," ",IF(O18=Q18," ","Minimum"))</f>
        <v xml:space="preserve"> </v>
      </c>
      <c r="Q18" s="32">
        <f>ROUND(IF(M18=0,0,(J18/M18)),2)</f>
        <v>6.12</v>
      </c>
    </row>
    <row r="19" spans="1:17" ht="9" customHeight="1">
      <c r="B19" s="5"/>
      <c r="F19" s="36"/>
      <c r="G19" s="44"/>
      <c r="H19" s="39"/>
      <c r="I19" s="42"/>
      <c r="J19" s="39"/>
      <c r="K19" s="39"/>
      <c r="M19" s="36"/>
      <c r="N19" s="42"/>
      <c r="O19" s="36"/>
    </row>
    <row r="20" spans="1:17" ht="15">
      <c r="A20" s="45" t="s">
        <v>34</v>
      </c>
      <c r="J20" s="43"/>
      <c r="K20" s="43"/>
    </row>
    <row r="21" spans="1:17" ht="3.75" customHeight="1">
      <c r="J21" s="43"/>
      <c r="K21" s="43"/>
    </row>
    <row r="22" spans="1:17">
      <c r="B22" s="2" t="s">
        <v>35</v>
      </c>
      <c r="J22" s="1222" t="str">
        <f>IF('C (2)'!H55=0," ",'C (2)'!H55)</f>
        <v xml:space="preserve"> </v>
      </c>
      <c r="K22" s="1222"/>
    </row>
    <row r="23" spans="1:17" ht="9" customHeight="1">
      <c r="J23" s="43"/>
      <c r="K23" s="43"/>
    </row>
    <row r="24" spans="1:17">
      <c r="B24" s="2" t="s">
        <v>36</v>
      </c>
      <c r="J24" s="1222">
        <f>IF('C (2)'!H22=0," ",'C (2)'!H22)</f>
        <v>3.5999999999999996</v>
      </c>
      <c r="K24" s="1222"/>
    </row>
    <row r="25" spans="1:17" ht="9" customHeight="1">
      <c r="J25" s="43"/>
      <c r="K25" s="43"/>
    </row>
    <row r="26" spans="1:17">
      <c r="B26" s="2" t="s">
        <v>37</v>
      </c>
      <c r="J26" s="1222">
        <f>IF('C (2)'!$H$43=0," ",'C (2)'!$H$43)</f>
        <v>4.51</v>
      </c>
      <c r="K26" s="1222"/>
    </row>
    <row r="27" spans="1:17" ht="8.25" customHeight="1">
      <c r="J27" s="43"/>
      <c r="K27" s="43"/>
    </row>
    <row r="28" spans="1:17" ht="6" customHeight="1">
      <c r="J28" s="39"/>
      <c r="K28" s="39"/>
    </row>
    <row r="29" spans="1:17" ht="15.6" thickBot="1">
      <c r="B29" s="46" t="s">
        <v>38</v>
      </c>
      <c r="J29" s="1219">
        <f>SUM(J22:K27)</f>
        <v>8.11</v>
      </c>
      <c r="K29" s="1219"/>
      <c r="L29" s="40" t="s">
        <v>28</v>
      </c>
      <c r="M29" s="41">
        <f>IF(SUM('Input (2)'!C4:C10)=0,0,IF(J29&gt;=14,LOOKUP(J29,'criteria (2)'!$U$3:$U$10,'criteria (2)'!$V$3:$V$10),0))</f>
        <v>0</v>
      </c>
      <c r="N29" s="42" t="s">
        <v>29</v>
      </c>
      <c r="O29" s="38">
        <f>IF(J29=0,0,IF(Q29&lt;LOOKUP(J29,'criteria (2)'!$U$3:$U$10,'criteria (2)'!$W$3:$W$10),LOOKUP(J29,'criteria (2)'!$U$3:$U$10,'criteria (2)'!$W$3:$W$10),Q29))</f>
        <v>0.75</v>
      </c>
      <c r="P29" s="2" t="str">
        <f>IF(O29=0," ",IF(O29=Q29," ","Minimum"))</f>
        <v>Minimum</v>
      </c>
      <c r="Q29" s="32">
        <f>ROUND(IF(SUM('Input (2)'!C4:C10)=0,0,IF(M29=0,0,(J29/M29))),2)</f>
        <v>0</v>
      </c>
    </row>
    <row r="30" spans="1:17" ht="21" customHeight="1" thickTop="1">
      <c r="B30" s="47"/>
      <c r="C30" s="47"/>
      <c r="D30" s="47"/>
      <c r="E30" s="47"/>
      <c r="F30" s="47"/>
      <c r="G30" s="47"/>
      <c r="H30" s="47"/>
      <c r="J30" s="12"/>
      <c r="N30" s="42"/>
      <c r="O30" s="36"/>
      <c r="P30" s="46"/>
    </row>
    <row r="31" spans="1:17" ht="19.5" customHeight="1">
      <c r="A31" s="48" t="s">
        <v>39</v>
      </c>
    </row>
    <row r="32" spans="1:17" ht="15">
      <c r="B32" s="1223" t="str">
        <f>IF('Input (2)'!E14=0," ","Alternative Secondary High School")</f>
        <v xml:space="preserve"> </v>
      </c>
      <c r="C32" s="1223"/>
      <c r="D32" s="1223"/>
      <c r="E32" s="1223"/>
      <c r="F32" s="1223"/>
      <c r="G32" s="1223"/>
      <c r="J32" s="1222">
        <f>'Input (2)'!E14</f>
        <v>0</v>
      </c>
      <c r="K32" s="1222"/>
      <c r="L32" s="40" t="s">
        <v>28</v>
      </c>
      <c r="M32" s="41">
        <f>IF(J32=0,0,IF(Q32&lt;1,M18,12))</f>
        <v>0</v>
      </c>
      <c r="N32" s="42" t="s">
        <v>29</v>
      </c>
      <c r="O32" s="38">
        <f>ROUND(IF(J32=0,0,J32/M32),2)</f>
        <v>0</v>
      </c>
      <c r="P32" s="45"/>
      <c r="Q32" s="32">
        <f>ROUND(IF(J32=0,0,J32/12),2)</f>
        <v>0</v>
      </c>
    </row>
    <row r="33" spans="1:17" ht="11.25" customHeight="1">
      <c r="J33" s="43"/>
      <c r="K33" s="43"/>
      <c r="O33" s="43"/>
    </row>
    <row r="34" spans="1:17" ht="11.25" customHeight="1">
      <c r="B34" s="1223" t="str">
        <f>IF('Input (2)'!E15=0," ","Summer Alternative Secondary High School")</f>
        <v xml:space="preserve"> </v>
      </c>
      <c r="C34" s="1223"/>
      <c r="D34" s="1223"/>
      <c r="E34" s="1223"/>
      <c r="F34" s="1223"/>
      <c r="G34" s="1223"/>
      <c r="J34" s="1222">
        <f>'Input (2)'!E15</f>
        <v>0</v>
      </c>
      <c r="K34" s="1222"/>
      <c r="L34" s="40" t="s">
        <v>28</v>
      </c>
      <c r="M34" s="41">
        <f>IF(J34=0,0,40)</f>
        <v>0</v>
      </c>
      <c r="N34" s="42" t="s">
        <v>29</v>
      </c>
      <c r="O34" s="38">
        <f>ROUND(IF(J34=0,0,J34/M34),2)</f>
        <v>0</v>
      </c>
      <c r="P34" s="45"/>
      <c r="Q34" s="32">
        <f>ROUND(IF(J34=0,0,J34/12),2)</f>
        <v>0</v>
      </c>
    </row>
    <row r="35" spans="1:17" ht="13.5" customHeight="1">
      <c r="J35" s="36"/>
      <c r="K35" s="36"/>
      <c r="L35" s="40"/>
      <c r="M35" s="36"/>
      <c r="N35" s="42"/>
      <c r="O35" s="36"/>
      <c r="P35" s="46"/>
    </row>
    <row r="36" spans="1:17" ht="18.75" customHeight="1" thickBot="1">
      <c r="A36" s="45"/>
      <c r="B36" s="12" t="s">
        <v>40</v>
      </c>
      <c r="C36" s="46"/>
      <c r="D36" s="46"/>
      <c r="E36" s="46"/>
      <c r="F36" s="46"/>
      <c r="G36" s="46"/>
      <c r="H36" s="46"/>
      <c r="I36" s="46"/>
      <c r="J36" s="46"/>
      <c r="K36" s="46"/>
      <c r="M36" s="36" t="s">
        <v>29</v>
      </c>
      <c r="N36" s="1224">
        <f>ROUND(IF(SUM(O7:O34)=0,0,SUM(O7:O34)),2)</f>
        <v>10.87</v>
      </c>
      <c r="O36" s="1224"/>
    </row>
    <row r="37" spans="1:17" ht="13.8" thickTop="1"/>
  </sheetData>
  <sheetProtection password="CC16" sheet="1" objects="1" scenarios="1"/>
  <mergeCells count="17">
    <mergeCell ref="B32:G32"/>
    <mergeCell ref="J32:K32"/>
    <mergeCell ref="B34:G34"/>
    <mergeCell ref="J34:K34"/>
    <mergeCell ref="N36:O36"/>
    <mergeCell ref="J29:K29"/>
    <mergeCell ref="A2:O2"/>
    <mergeCell ref="A3:O3"/>
    <mergeCell ref="J5:K5"/>
    <mergeCell ref="J7:K7"/>
    <mergeCell ref="J11:K11"/>
    <mergeCell ref="J13:K13"/>
    <mergeCell ref="J16:K16"/>
    <mergeCell ref="J18:K18"/>
    <mergeCell ref="J22:K22"/>
    <mergeCell ref="J24:K24"/>
    <mergeCell ref="J26:K26"/>
  </mergeCells>
  <pageMargins left="0.5" right="0.5" top="0.5" bottom="0.5" header="0.25" footer="0.25"/>
  <pageSetup scale="81" orientation="portrait" r:id="rId1"/>
  <headerFooter alignWithMargins="0">
    <oddFooter>&amp;L&amp;F</oddFooter>
  </headerFooter>
  <colBreaks count="1" manualBreakCount="1">
    <brk id="16"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5"/>
  <dimension ref="A1:R37"/>
  <sheetViews>
    <sheetView showGridLines="0" zoomScale="90" zoomScaleNormal="100" workbookViewId="0">
      <selection activeCell="C4" sqref="C4"/>
    </sheetView>
  </sheetViews>
  <sheetFormatPr defaultRowHeight="13.2"/>
  <cols>
    <col min="1" max="1" width="4.21875" style="30" customWidth="1"/>
    <col min="2" max="2" width="2.5546875" style="2" customWidth="1"/>
    <col min="3" max="4" width="9.21875" style="2"/>
    <col min="5" max="5" width="7.21875" style="2" customWidth="1"/>
    <col min="6" max="6" width="8.21875" style="2" customWidth="1"/>
    <col min="7" max="8" width="10.21875" style="2" customWidth="1"/>
    <col min="9" max="9" width="3.77734375" style="2" customWidth="1"/>
    <col min="10" max="10" width="9.21875" style="2"/>
    <col min="11" max="11" width="6.21875" style="2" customWidth="1"/>
    <col min="12" max="12" width="5.5546875" style="2" customWidth="1"/>
    <col min="13" max="13" width="10.77734375" style="2" customWidth="1"/>
    <col min="14" max="14" width="8.21875" style="2" customWidth="1"/>
    <col min="15" max="15" width="12.21875" style="2" customWidth="1"/>
    <col min="16" max="16" width="10.21875" style="2" customWidth="1"/>
    <col min="17" max="17" width="9.21875" style="32" customWidth="1"/>
    <col min="18" max="256" width="9.21875" style="2"/>
    <col min="257" max="257" width="4.21875" style="2" customWidth="1"/>
    <col min="258" max="258" width="2.5546875" style="2" customWidth="1"/>
    <col min="259" max="260" width="9.21875" style="2"/>
    <col min="261" max="261" width="7.21875" style="2" customWidth="1"/>
    <col min="262" max="262" width="8.21875" style="2" customWidth="1"/>
    <col min="263" max="264" width="10.21875" style="2" customWidth="1"/>
    <col min="265" max="265" width="3.77734375" style="2" customWidth="1"/>
    <col min="266" max="266" width="9.21875" style="2"/>
    <col min="267" max="267" width="6.21875" style="2" customWidth="1"/>
    <col min="268" max="268" width="5.5546875" style="2" customWidth="1"/>
    <col min="269" max="269" width="10.77734375" style="2" customWidth="1"/>
    <col min="270" max="270" width="8.21875" style="2" customWidth="1"/>
    <col min="271" max="271" width="12.21875" style="2" customWidth="1"/>
    <col min="272" max="272" width="10.21875" style="2" customWidth="1"/>
    <col min="273" max="273" width="9.21875" style="2" customWidth="1"/>
    <col min="274" max="512" width="9.21875" style="2"/>
    <col min="513" max="513" width="4.21875" style="2" customWidth="1"/>
    <col min="514" max="514" width="2.5546875" style="2" customWidth="1"/>
    <col min="515" max="516" width="9.21875" style="2"/>
    <col min="517" max="517" width="7.21875" style="2" customWidth="1"/>
    <col min="518" max="518" width="8.21875" style="2" customWidth="1"/>
    <col min="519" max="520" width="10.21875" style="2" customWidth="1"/>
    <col min="521" max="521" width="3.77734375" style="2" customWidth="1"/>
    <col min="522" max="522" width="9.21875" style="2"/>
    <col min="523" max="523" width="6.21875" style="2" customWidth="1"/>
    <col min="524" max="524" width="5.5546875" style="2" customWidth="1"/>
    <col min="525" max="525" width="10.77734375" style="2" customWidth="1"/>
    <col min="526" max="526" width="8.21875" style="2" customWidth="1"/>
    <col min="527" max="527" width="12.21875" style="2" customWidth="1"/>
    <col min="528" max="528" width="10.21875" style="2" customWidth="1"/>
    <col min="529" max="529" width="9.21875" style="2" customWidth="1"/>
    <col min="530" max="768" width="9.21875" style="2"/>
    <col min="769" max="769" width="4.21875" style="2" customWidth="1"/>
    <col min="770" max="770" width="2.5546875" style="2" customWidth="1"/>
    <col min="771" max="772" width="9.21875" style="2"/>
    <col min="773" max="773" width="7.21875" style="2" customWidth="1"/>
    <col min="774" max="774" width="8.21875" style="2" customWidth="1"/>
    <col min="775" max="776" width="10.21875" style="2" customWidth="1"/>
    <col min="777" max="777" width="3.77734375" style="2" customWidth="1"/>
    <col min="778" max="778" width="9.21875" style="2"/>
    <col min="779" max="779" width="6.21875" style="2" customWidth="1"/>
    <col min="780" max="780" width="5.5546875" style="2" customWidth="1"/>
    <col min="781" max="781" width="10.77734375" style="2" customWidth="1"/>
    <col min="782" max="782" width="8.21875" style="2" customWidth="1"/>
    <col min="783" max="783" width="12.21875" style="2" customWidth="1"/>
    <col min="784" max="784" width="10.21875" style="2" customWidth="1"/>
    <col min="785" max="785" width="9.21875" style="2" customWidth="1"/>
    <col min="786" max="1024" width="9.21875" style="2"/>
    <col min="1025" max="1025" width="4.21875" style="2" customWidth="1"/>
    <col min="1026" max="1026" width="2.5546875" style="2" customWidth="1"/>
    <col min="1027" max="1028" width="9.21875" style="2"/>
    <col min="1029" max="1029" width="7.21875" style="2" customWidth="1"/>
    <col min="1030" max="1030" width="8.21875" style="2" customWidth="1"/>
    <col min="1031" max="1032" width="10.21875" style="2" customWidth="1"/>
    <col min="1033" max="1033" width="3.77734375" style="2" customWidth="1"/>
    <col min="1034" max="1034" width="9.21875" style="2"/>
    <col min="1035" max="1035" width="6.21875" style="2" customWidth="1"/>
    <col min="1036" max="1036" width="5.5546875" style="2" customWidth="1"/>
    <col min="1037" max="1037" width="10.77734375" style="2" customWidth="1"/>
    <col min="1038" max="1038" width="8.21875" style="2" customWidth="1"/>
    <col min="1039" max="1039" width="12.21875" style="2" customWidth="1"/>
    <col min="1040" max="1040" width="10.21875" style="2" customWidth="1"/>
    <col min="1041" max="1041" width="9.21875" style="2" customWidth="1"/>
    <col min="1042" max="1280" width="9.21875" style="2"/>
    <col min="1281" max="1281" width="4.21875" style="2" customWidth="1"/>
    <col min="1282" max="1282" width="2.5546875" style="2" customWidth="1"/>
    <col min="1283" max="1284" width="9.21875" style="2"/>
    <col min="1285" max="1285" width="7.21875" style="2" customWidth="1"/>
    <col min="1286" max="1286" width="8.21875" style="2" customWidth="1"/>
    <col min="1287" max="1288" width="10.21875" style="2" customWidth="1"/>
    <col min="1289" max="1289" width="3.77734375" style="2" customWidth="1"/>
    <col min="1290" max="1290" width="9.21875" style="2"/>
    <col min="1291" max="1291" width="6.21875" style="2" customWidth="1"/>
    <col min="1292" max="1292" width="5.5546875" style="2" customWidth="1"/>
    <col min="1293" max="1293" width="10.77734375" style="2" customWidth="1"/>
    <col min="1294" max="1294" width="8.21875" style="2" customWidth="1"/>
    <col min="1295" max="1295" width="12.21875" style="2" customWidth="1"/>
    <col min="1296" max="1296" width="10.21875" style="2" customWidth="1"/>
    <col min="1297" max="1297" width="9.21875" style="2" customWidth="1"/>
    <col min="1298" max="1536" width="9.21875" style="2"/>
    <col min="1537" max="1537" width="4.21875" style="2" customWidth="1"/>
    <col min="1538" max="1538" width="2.5546875" style="2" customWidth="1"/>
    <col min="1539" max="1540" width="9.21875" style="2"/>
    <col min="1541" max="1541" width="7.21875" style="2" customWidth="1"/>
    <col min="1542" max="1542" width="8.21875" style="2" customWidth="1"/>
    <col min="1543" max="1544" width="10.21875" style="2" customWidth="1"/>
    <col min="1545" max="1545" width="3.77734375" style="2" customWidth="1"/>
    <col min="1546" max="1546" width="9.21875" style="2"/>
    <col min="1547" max="1547" width="6.21875" style="2" customWidth="1"/>
    <col min="1548" max="1548" width="5.5546875" style="2" customWidth="1"/>
    <col min="1549" max="1549" width="10.77734375" style="2" customWidth="1"/>
    <col min="1550" max="1550" width="8.21875" style="2" customWidth="1"/>
    <col min="1551" max="1551" width="12.21875" style="2" customWidth="1"/>
    <col min="1552" max="1552" width="10.21875" style="2" customWidth="1"/>
    <col min="1553" max="1553" width="9.21875" style="2" customWidth="1"/>
    <col min="1554" max="1792" width="9.21875" style="2"/>
    <col min="1793" max="1793" width="4.21875" style="2" customWidth="1"/>
    <col min="1794" max="1794" width="2.5546875" style="2" customWidth="1"/>
    <col min="1795" max="1796" width="9.21875" style="2"/>
    <col min="1797" max="1797" width="7.21875" style="2" customWidth="1"/>
    <col min="1798" max="1798" width="8.21875" style="2" customWidth="1"/>
    <col min="1799" max="1800" width="10.21875" style="2" customWidth="1"/>
    <col min="1801" max="1801" width="3.77734375" style="2" customWidth="1"/>
    <col min="1802" max="1802" width="9.21875" style="2"/>
    <col min="1803" max="1803" width="6.21875" style="2" customWidth="1"/>
    <col min="1804" max="1804" width="5.5546875" style="2" customWidth="1"/>
    <col min="1805" max="1805" width="10.77734375" style="2" customWidth="1"/>
    <col min="1806" max="1806" width="8.21875" style="2" customWidth="1"/>
    <col min="1807" max="1807" width="12.21875" style="2" customWidth="1"/>
    <col min="1808" max="1808" width="10.21875" style="2" customWidth="1"/>
    <col min="1809" max="1809" width="9.21875" style="2" customWidth="1"/>
    <col min="1810" max="2048" width="9.21875" style="2"/>
    <col min="2049" max="2049" width="4.21875" style="2" customWidth="1"/>
    <col min="2050" max="2050" width="2.5546875" style="2" customWidth="1"/>
    <col min="2051" max="2052" width="9.21875" style="2"/>
    <col min="2053" max="2053" width="7.21875" style="2" customWidth="1"/>
    <col min="2054" max="2054" width="8.21875" style="2" customWidth="1"/>
    <col min="2055" max="2056" width="10.21875" style="2" customWidth="1"/>
    <col min="2057" max="2057" width="3.77734375" style="2" customWidth="1"/>
    <col min="2058" max="2058" width="9.21875" style="2"/>
    <col min="2059" max="2059" width="6.21875" style="2" customWidth="1"/>
    <col min="2060" max="2060" width="5.5546875" style="2" customWidth="1"/>
    <col min="2061" max="2061" width="10.77734375" style="2" customWidth="1"/>
    <col min="2062" max="2062" width="8.21875" style="2" customWidth="1"/>
    <col min="2063" max="2063" width="12.21875" style="2" customWidth="1"/>
    <col min="2064" max="2064" width="10.21875" style="2" customWidth="1"/>
    <col min="2065" max="2065" width="9.21875" style="2" customWidth="1"/>
    <col min="2066" max="2304" width="9.21875" style="2"/>
    <col min="2305" max="2305" width="4.21875" style="2" customWidth="1"/>
    <col min="2306" max="2306" width="2.5546875" style="2" customWidth="1"/>
    <col min="2307" max="2308" width="9.21875" style="2"/>
    <col min="2309" max="2309" width="7.21875" style="2" customWidth="1"/>
    <col min="2310" max="2310" width="8.21875" style="2" customWidth="1"/>
    <col min="2311" max="2312" width="10.21875" style="2" customWidth="1"/>
    <col min="2313" max="2313" width="3.77734375" style="2" customWidth="1"/>
    <col min="2314" max="2314" width="9.21875" style="2"/>
    <col min="2315" max="2315" width="6.21875" style="2" customWidth="1"/>
    <col min="2316" max="2316" width="5.5546875" style="2" customWidth="1"/>
    <col min="2317" max="2317" width="10.77734375" style="2" customWidth="1"/>
    <col min="2318" max="2318" width="8.21875" style="2" customWidth="1"/>
    <col min="2319" max="2319" width="12.21875" style="2" customWidth="1"/>
    <col min="2320" max="2320" width="10.21875" style="2" customWidth="1"/>
    <col min="2321" max="2321" width="9.21875" style="2" customWidth="1"/>
    <col min="2322" max="2560" width="9.21875" style="2"/>
    <col min="2561" max="2561" width="4.21875" style="2" customWidth="1"/>
    <col min="2562" max="2562" width="2.5546875" style="2" customWidth="1"/>
    <col min="2563" max="2564" width="9.21875" style="2"/>
    <col min="2565" max="2565" width="7.21875" style="2" customWidth="1"/>
    <col min="2566" max="2566" width="8.21875" style="2" customWidth="1"/>
    <col min="2567" max="2568" width="10.21875" style="2" customWidth="1"/>
    <col min="2569" max="2569" width="3.77734375" style="2" customWidth="1"/>
    <col min="2570" max="2570" width="9.21875" style="2"/>
    <col min="2571" max="2571" width="6.21875" style="2" customWidth="1"/>
    <col min="2572" max="2572" width="5.5546875" style="2" customWidth="1"/>
    <col min="2573" max="2573" width="10.77734375" style="2" customWidth="1"/>
    <col min="2574" max="2574" width="8.21875" style="2" customWidth="1"/>
    <col min="2575" max="2575" width="12.21875" style="2" customWidth="1"/>
    <col min="2576" max="2576" width="10.21875" style="2" customWidth="1"/>
    <col min="2577" max="2577" width="9.21875" style="2" customWidth="1"/>
    <col min="2578" max="2816" width="9.21875" style="2"/>
    <col min="2817" max="2817" width="4.21875" style="2" customWidth="1"/>
    <col min="2818" max="2818" width="2.5546875" style="2" customWidth="1"/>
    <col min="2819" max="2820" width="9.21875" style="2"/>
    <col min="2821" max="2821" width="7.21875" style="2" customWidth="1"/>
    <col min="2822" max="2822" width="8.21875" style="2" customWidth="1"/>
    <col min="2823" max="2824" width="10.21875" style="2" customWidth="1"/>
    <col min="2825" max="2825" width="3.77734375" style="2" customWidth="1"/>
    <col min="2826" max="2826" width="9.21875" style="2"/>
    <col min="2827" max="2827" width="6.21875" style="2" customWidth="1"/>
    <col min="2828" max="2828" width="5.5546875" style="2" customWidth="1"/>
    <col min="2829" max="2829" width="10.77734375" style="2" customWidth="1"/>
    <col min="2830" max="2830" width="8.21875" style="2" customWidth="1"/>
    <col min="2831" max="2831" width="12.21875" style="2" customWidth="1"/>
    <col min="2832" max="2832" width="10.21875" style="2" customWidth="1"/>
    <col min="2833" max="2833" width="9.21875" style="2" customWidth="1"/>
    <col min="2834" max="3072" width="9.21875" style="2"/>
    <col min="3073" max="3073" width="4.21875" style="2" customWidth="1"/>
    <col min="3074" max="3074" width="2.5546875" style="2" customWidth="1"/>
    <col min="3075" max="3076" width="9.21875" style="2"/>
    <col min="3077" max="3077" width="7.21875" style="2" customWidth="1"/>
    <col min="3078" max="3078" width="8.21875" style="2" customWidth="1"/>
    <col min="3079" max="3080" width="10.21875" style="2" customWidth="1"/>
    <col min="3081" max="3081" width="3.77734375" style="2" customWidth="1"/>
    <col min="3082" max="3082" width="9.21875" style="2"/>
    <col min="3083" max="3083" width="6.21875" style="2" customWidth="1"/>
    <col min="3084" max="3084" width="5.5546875" style="2" customWidth="1"/>
    <col min="3085" max="3085" width="10.77734375" style="2" customWidth="1"/>
    <col min="3086" max="3086" width="8.21875" style="2" customWidth="1"/>
    <col min="3087" max="3087" width="12.21875" style="2" customWidth="1"/>
    <col min="3088" max="3088" width="10.21875" style="2" customWidth="1"/>
    <col min="3089" max="3089" width="9.21875" style="2" customWidth="1"/>
    <col min="3090" max="3328" width="9.21875" style="2"/>
    <col min="3329" max="3329" width="4.21875" style="2" customWidth="1"/>
    <col min="3330" max="3330" width="2.5546875" style="2" customWidth="1"/>
    <col min="3331" max="3332" width="9.21875" style="2"/>
    <col min="3333" max="3333" width="7.21875" style="2" customWidth="1"/>
    <col min="3334" max="3334" width="8.21875" style="2" customWidth="1"/>
    <col min="3335" max="3336" width="10.21875" style="2" customWidth="1"/>
    <col min="3337" max="3337" width="3.77734375" style="2" customWidth="1"/>
    <col min="3338" max="3338" width="9.21875" style="2"/>
    <col min="3339" max="3339" width="6.21875" style="2" customWidth="1"/>
    <col min="3340" max="3340" width="5.5546875" style="2" customWidth="1"/>
    <col min="3341" max="3341" width="10.77734375" style="2" customWidth="1"/>
    <col min="3342" max="3342" width="8.21875" style="2" customWidth="1"/>
    <col min="3343" max="3343" width="12.21875" style="2" customWidth="1"/>
    <col min="3344" max="3344" width="10.21875" style="2" customWidth="1"/>
    <col min="3345" max="3345" width="9.21875" style="2" customWidth="1"/>
    <col min="3346" max="3584" width="9.21875" style="2"/>
    <col min="3585" max="3585" width="4.21875" style="2" customWidth="1"/>
    <col min="3586" max="3586" width="2.5546875" style="2" customWidth="1"/>
    <col min="3587" max="3588" width="9.21875" style="2"/>
    <col min="3589" max="3589" width="7.21875" style="2" customWidth="1"/>
    <col min="3590" max="3590" width="8.21875" style="2" customWidth="1"/>
    <col min="3591" max="3592" width="10.21875" style="2" customWidth="1"/>
    <col min="3593" max="3593" width="3.77734375" style="2" customWidth="1"/>
    <col min="3594" max="3594" width="9.21875" style="2"/>
    <col min="3595" max="3595" width="6.21875" style="2" customWidth="1"/>
    <col min="3596" max="3596" width="5.5546875" style="2" customWidth="1"/>
    <col min="3597" max="3597" width="10.77734375" style="2" customWidth="1"/>
    <col min="3598" max="3598" width="8.21875" style="2" customWidth="1"/>
    <col min="3599" max="3599" width="12.21875" style="2" customWidth="1"/>
    <col min="3600" max="3600" width="10.21875" style="2" customWidth="1"/>
    <col min="3601" max="3601" width="9.21875" style="2" customWidth="1"/>
    <col min="3602" max="3840" width="9.21875" style="2"/>
    <col min="3841" max="3841" width="4.21875" style="2" customWidth="1"/>
    <col min="3842" max="3842" width="2.5546875" style="2" customWidth="1"/>
    <col min="3843" max="3844" width="9.21875" style="2"/>
    <col min="3845" max="3845" width="7.21875" style="2" customWidth="1"/>
    <col min="3846" max="3846" width="8.21875" style="2" customWidth="1"/>
    <col min="3847" max="3848" width="10.21875" style="2" customWidth="1"/>
    <col min="3849" max="3849" width="3.77734375" style="2" customWidth="1"/>
    <col min="3850" max="3850" width="9.21875" style="2"/>
    <col min="3851" max="3851" width="6.21875" style="2" customWidth="1"/>
    <col min="3852" max="3852" width="5.5546875" style="2" customWidth="1"/>
    <col min="3853" max="3853" width="10.77734375" style="2" customWidth="1"/>
    <col min="3854" max="3854" width="8.21875" style="2" customWidth="1"/>
    <col min="3855" max="3855" width="12.21875" style="2" customWidth="1"/>
    <col min="3856" max="3856" width="10.21875" style="2" customWidth="1"/>
    <col min="3857" max="3857" width="9.21875" style="2" customWidth="1"/>
    <col min="3858" max="4096" width="9.21875" style="2"/>
    <col min="4097" max="4097" width="4.21875" style="2" customWidth="1"/>
    <col min="4098" max="4098" width="2.5546875" style="2" customWidth="1"/>
    <col min="4099" max="4100" width="9.21875" style="2"/>
    <col min="4101" max="4101" width="7.21875" style="2" customWidth="1"/>
    <col min="4102" max="4102" width="8.21875" style="2" customWidth="1"/>
    <col min="4103" max="4104" width="10.21875" style="2" customWidth="1"/>
    <col min="4105" max="4105" width="3.77734375" style="2" customWidth="1"/>
    <col min="4106" max="4106" width="9.21875" style="2"/>
    <col min="4107" max="4107" width="6.21875" style="2" customWidth="1"/>
    <col min="4108" max="4108" width="5.5546875" style="2" customWidth="1"/>
    <col min="4109" max="4109" width="10.77734375" style="2" customWidth="1"/>
    <col min="4110" max="4110" width="8.21875" style="2" customWidth="1"/>
    <col min="4111" max="4111" width="12.21875" style="2" customWidth="1"/>
    <col min="4112" max="4112" width="10.21875" style="2" customWidth="1"/>
    <col min="4113" max="4113" width="9.21875" style="2" customWidth="1"/>
    <col min="4114" max="4352" width="9.21875" style="2"/>
    <col min="4353" max="4353" width="4.21875" style="2" customWidth="1"/>
    <col min="4354" max="4354" width="2.5546875" style="2" customWidth="1"/>
    <col min="4355" max="4356" width="9.21875" style="2"/>
    <col min="4357" max="4357" width="7.21875" style="2" customWidth="1"/>
    <col min="4358" max="4358" width="8.21875" style="2" customWidth="1"/>
    <col min="4359" max="4360" width="10.21875" style="2" customWidth="1"/>
    <col min="4361" max="4361" width="3.77734375" style="2" customWidth="1"/>
    <col min="4362" max="4362" width="9.21875" style="2"/>
    <col min="4363" max="4363" width="6.21875" style="2" customWidth="1"/>
    <col min="4364" max="4364" width="5.5546875" style="2" customWidth="1"/>
    <col min="4365" max="4365" width="10.77734375" style="2" customWidth="1"/>
    <col min="4366" max="4366" width="8.21875" style="2" customWidth="1"/>
    <col min="4367" max="4367" width="12.21875" style="2" customWidth="1"/>
    <col min="4368" max="4368" width="10.21875" style="2" customWidth="1"/>
    <col min="4369" max="4369" width="9.21875" style="2" customWidth="1"/>
    <col min="4370" max="4608" width="9.21875" style="2"/>
    <col min="4609" max="4609" width="4.21875" style="2" customWidth="1"/>
    <col min="4610" max="4610" width="2.5546875" style="2" customWidth="1"/>
    <col min="4611" max="4612" width="9.21875" style="2"/>
    <col min="4613" max="4613" width="7.21875" style="2" customWidth="1"/>
    <col min="4614" max="4614" width="8.21875" style="2" customWidth="1"/>
    <col min="4615" max="4616" width="10.21875" style="2" customWidth="1"/>
    <col min="4617" max="4617" width="3.77734375" style="2" customWidth="1"/>
    <col min="4618" max="4618" width="9.21875" style="2"/>
    <col min="4619" max="4619" width="6.21875" style="2" customWidth="1"/>
    <col min="4620" max="4620" width="5.5546875" style="2" customWidth="1"/>
    <col min="4621" max="4621" width="10.77734375" style="2" customWidth="1"/>
    <col min="4622" max="4622" width="8.21875" style="2" customWidth="1"/>
    <col min="4623" max="4623" width="12.21875" style="2" customWidth="1"/>
    <col min="4624" max="4624" width="10.21875" style="2" customWidth="1"/>
    <col min="4625" max="4625" width="9.21875" style="2" customWidth="1"/>
    <col min="4626" max="4864" width="9.21875" style="2"/>
    <col min="4865" max="4865" width="4.21875" style="2" customWidth="1"/>
    <col min="4866" max="4866" width="2.5546875" style="2" customWidth="1"/>
    <col min="4867" max="4868" width="9.21875" style="2"/>
    <col min="4869" max="4869" width="7.21875" style="2" customWidth="1"/>
    <col min="4870" max="4870" width="8.21875" style="2" customWidth="1"/>
    <col min="4871" max="4872" width="10.21875" style="2" customWidth="1"/>
    <col min="4873" max="4873" width="3.77734375" style="2" customWidth="1"/>
    <col min="4874" max="4874" width="9.21875" style="2"/>
    <col min="4875" max="4875" width="6.21875" style="2" customWidth="1"/>
    <col min="4876" max="4876" width="5.5546875" style="2" customWidth="1"/>
    <col min="4877" max="4877" width="10.77734375" style="2" customWidth="1"/>
    <col min="4878" max="4878" width="8.21875" style="2" customWidth="1"/>
    <col min="4879" max="4879" width="12.21875" style="2" customWidth="1"/>
    <col min="4880" max="4880" width="10.21875" style="2" customWidth="1"/>
    <col min="4881" max="4881" width="9.21875" style="2" customWidth="1"/>
    <col min="4882" max="5120" width="9.21875" style="2"/>
    <col min="5121" max="5121" width="4.21875" style="2" customWidth="1"/>
    <col min="5122" max="5122" width="2.5546875" style="2" customWidth="1"/>
    <col min="5123" max="5124" width="9.21875" style="2"/>
    <col min="5125" max="5125" width="7.21875" style="2" customWidth="1"/>
    <col min="5126" max="5126" width="8.21875" style="2" customWidth="1"/>
    <col min="5127" max="5128" width="10.21875" style="2" customWidth="1"/>
    <col min="5129" max="5129" width="3.77734375" style="2" customWidth="1"/>
    <col min="5130" max="5130" width="9.21875" style="2"/>
    <col min="5131" max="5131" width="6.21875" style="2" customWidth="1"/>
    <col min="5132" max="5132" width="5.5546875" style="2" customWidth="1"/>
    <col min="5133" max="5133" width="10.77734375" style="2" customWidth="1"/>
    <col min="5134" max="5134" width="8.21875" style="2" customWidth="1"/>
    <col min="5135" max="5135" width="12.21875" style="2" customWidth="1"/>
    <col min="5136" max="5136" width="10.21875" style="2" customWidth="1"/>
    <col min="5137" max="5137" width="9.21875" style="2" customWidth="1"/>
    <col min="5138" max="5376" width="9.21875" style="2"/>
    <col min="5377" max="5377" width="4.21875" style="2" customWidth="1"/>
    <col min="5378" max="5378" width="2.5546875" style="2" customWidth="1"/>
    <col min="5379" max="5380" width="9.21875" style="2"/>
    <col min="5381" max="5381" width="7.21875" style="2" customWidth="1"/>
    <col min="5382" max="5382" width="8.21875" style="2" customWidth="1"/>
    <col min="5383" max="5384" width="10.21875" style="2" customWidth="1"/>
    <col min="5385" max="5385" width="3.77734375" style="2" customWidth="1"/>
    <col min="5386" max="5386" width="9.21875" style="2"/>
    <col min="5387" max="5387" width="6.21875" style="2" customWidth="1"/>
    <col min="5388" max="5388" width="5.5546875" style="2" customWidth="1"/>
    <col min="5389" max="5389" width="10.77734375" style="2" customWidth="1"/>
    <col min="5390" max="5390" width="8.21875" style="2" customWidth="1"/>
    <col min="5391" max="5391" width="12.21875" style="2" customWidth="1"/>
    <col min="5392" max="5392" width="10.21875" style="2" customWidth="1"/>
    <col min="5393" max="5393" width="9.21875" style="2" customWidth="1"/>
    <col min="5394" max="5632" width="9.21875" style="2"/>
    <col min="5633" max="5633" width="4.21875" style="2" customWidth="1"/>
    <col min="5634" max="5634" width="2.5546875" style="2" customWidth="1"/>
    <col min="5635" max="5636" width="9.21875" style="2"/>
    <col min="5637" max="5637" width="7.21875" style="2" customWidth="1"/>
    <col min="5638" max="5638" width="8.21875" style="2" customWidth="1"/>
    <col min="5639" max="5640" width="10.21875" style="2" customWidth="1"/>
    <col min="5641" max="5641" width="3.77734375" style="2" customWidth="1"/>
    <col min="5642" max="5642" width="9.21875" style="2"/>
    <col min="5643" max="5643" width="6.21875" style="2" customWidth="1"/>
    <col min="5644" max="5644" width="5.5546875" style="2" customWidth="1"/>
    <col min="5645" max="5645" width="10.77734375" style="2" customWidth="1"/>
    <col min="5646" max="5646" width="8.21875" style="2" customWidth="1"/>
    <col min="5647" max="5647" width="12.21875" style="2" customWidth="1"/>
    <col min="5648" max="5648" width="10.21875" style="2" customWidth="1"/>
    <col min="5649" max="5649" width="9.21875" style="2" customWidth="1"/>
    <col min="5650" max="5888" width="9.21875" style="2"/>
    <col min="5889" max="5889" width="4.21875" style="2" customWidth="1"/>
    <col min="5890" max="5890" width="2.5546875" style="2" customWidth="1"/>
    <col min="5891" max="5892" width="9.21875" style="2"/>
    <col min="5893" max="5893" width="7.21875" style="2" customWidth="1"/>
    <col min="5894" max="5894" width="8.21875" style="2" customWidth="1"/>
    <col min="5895" max="5896" width="10.21875" style="2" customWidth="1"/>
    <col min="5897" max="5897" width="3.77734375" style="2" customWidth="1"/>
    <col min="5898" max="5898" width="9.21875" style="2"/>
    <col min="5899" max="5899" width="6.21875" style="2" customWidth="1"/>
    <col min="5900" max="5900" width="5.5546875" style="2" customWidth="1"/>
    <col min="5901" max="5901" width="10.77734375" style="2" customWidth="1"/>
    <col min="5902" max="5902" width="8.21875" style="2" customWidth="1"/>
    <col min="5903" max="5903" width="12.21875" style="2" customWidth="1"/>
    <col min="5904" max="5904" width="10.21875" style="2" customWidth="1"/>
    <col min="5905" max="5905" width="9.21875" style="2" customWidth="1"/>
    <col min="5906" max="6144" width="9.21875" style="2"/>
    <col min="6145" max="6145" width="4.21875" style="2" customWidth="1"/>
    <col min="6146" max="6146" width="2.5546875" style="2" customWidth="1"/>
    <col min="6147" max="6148" width="9.21875" style="2"/>
    <col min="6149" max="6149" width="7.21875" style="2" customWidth="1"/>
    <col min="6150" max="6150" width="8.21875" style="2" customWidth="1"/>
    <col min="6151" max="6152" width="10.21875" style="2" customWidth="1"/>
    <col min="6153" max="6153" width="3.77734375" style="2" customWidth="1"/>
    <col min="6154" max="6154" width="9.21875" style="2"/>
    <col min="6155" max="6155" width="6.21875" style="2" customWidth="1"/>
    <col min="6156" max="6156" width="5.5546875" style="2" customWidth="1"/>
    <col min="6157" max="6157" width="10.77734375" style="2" customWidth="1"/>
    <col min="6158" max="6158" width="8.21875" style="2" customWidth="1"/>
    <col min="6159" max="6159" width="12.21875" style="2" customWidth="1"/>
    <col min="6160" max="6160" width="10.21875" style="2" customWidth="1"/>
    <col min="6161" max="6161" width="9.21875" style="2" customWidth="1"/>
    <col min="6162" max="6400" width="9.21875" style="2"/>
    <col min="6401" max="6401" width="4.21875" style="2" customWidth="1"/>
    <col min="6402" max="6402" width="2.5546875" style="2" customWidth="1"/>
    <col min="6403" max="6404" width="9.21875" style="2"/>
    <col min="6405" max="6405" width="7.21875" style="2" customWidth="1"/>
    <col min="6406" max="6406" width="8.21875" style="2" customWidth="1"/>
    <col min="6407" max="6408" width="10.21875" style="2" customWidth="1"/>
    <col min="6409" max="6409" width="3.77734375" style="2" customWidth="1"/>
    <col min="6410" max="6410" width="9.21875" style="2"/>
    <col min="6411" max="6411" width="6.21875" style="2" customWidth="1"/>
    <col min="6412" max="6412" width="5.5546875" style="2" customWidth="1"/>
    <col min="6413" max="6413" width="10.77734375" style="2" customWidth="1"/>
    <col min="6414" max="6414" width="8.21875" style="2" customWidth="1"/>
    <col min="6415" max="6415" width="12.21875" style="2" customWidth="1"/>
    <col min="6416" max="6416" width="10.21875" style="2" customWidth="1"/>
    <col min="6417" max="6417" width="9.21875" style="2" customWidth="1"/>
    <col min="6418" max="6656" width="9.21875" style="2"/>
    <col min="6657" max="6657" width="4.21875" style="2" customWidth="1"/>
    <col min="6658" max="6658" width="2.5546875" style="2" customWidth="1"/>
    <col min="6659" max="6660" width="9.21875" style="2"/>
    <col min="6661" max="6661" width="7.21875" style="2" customWidth="1"/>
    <col min="6662" max="6662" width="8.21875" style="2" customWidth="1"/>
    <col min="6663" max="6664" width="10.21875" style="2" customWidth="1"/>
    <col min="6665" max="6665" width="3.77734375" style="2" customWidth="1"/>
    <col min="6666" max="6666" width="9.21875" style="2"/>
    <col min="6667" max="6667" width="6.21875" style="2" customWidth="1"/>
    <col min="6668" max="6668" width="5.5546875" style="2" customWidth="1"/>
    <col min="6669" max="6669" width="10.77734375" style="2" customWidth="1"/>
    <col min="6670" max="6670" width="8.21875" style="2" customWidth="1"/>
    <col min="6671" max="6671" width="12.21875" style="2" customWidth="1"/>
    <col min="6672" max="6672" width="10.21875" style="2" customWidth="1"/>
    <col min="6673" max="6673" width="9.21875" style="2" customWidth="1"/>
    <col min="6674" max="6912" width="9.21875" style="2"/>
    <col min="6913" max="6913" width="4.21875" style="2" customWidth="1"/>
    <col min="6914" max="6914" width="2.5546875" style="2" customWidth="1"/>
    <col min="6915" max="6916" width="9.21875" style="2"/>
    <col min="6917" max="6917" width="7.21875" style="2" customWidth="1"/>
    <col min="6918" max="6918" width="8.21875" style="2" customWidth="1"/>
    <col min="6919" max="6920" width="10.21875" style="2" customWidth="1"/>
    <col min="6921" max="6921" width="3.77734375" style="2" customWidth="1"/>
    <col min="6922" max="6922" width="9.21875" style="2"/>
    <col min="6923" max="6923" width="6.21875" style="2" customWidth="1"/>
    <col min="6924" max="6924" width="5.5546875" style="2" customWidth="1"/>
    <col min="6925" max="6925" width="10.77734375" style="2" customWidth="1"/>
    <col min="6926" max="6926" width="8.21875" style="2" customWidth="1"/>
    <col min="6927" max="6927" width="12.21875" style="2" customWidth="1"/>
    <col min="6928" max="6928" width="10.21875" style="2" customWidth="1"/>
    <col min="6929" max="6929" width="9.21875" style="2" customWidth="1"/>
    <col min="6930" max="7168" width="9.21875" style="2"/>
    <col min="7169" max="7169" width="4.21875" style="2" customWidth="1"/>
    <col min="7170" max="7170" width="2.5546875" style="2" customWidth="1"/>
    <col min="7171" max="7172" width="9.21875" style="2"/>
    <col min="7173" max="7173" width="7.21875" style="2" customWidth="1"/>
    <col min="7174" max="7174" width="8.21875" style="2" customWidth="1"/>
    <col min="7175" max="7176" width="10.21875" style="2" customWidth="1"/>
    <col min="7177" max="7177" width="3.77734375" style="2" customWidth="1"/>
    <col min="7178" max="7178" width="9.21875" style="2"/>
    <col min="7179" max="7179" width="6.21875" style="2" customWidth="1"/>
    <col min="7180" max="7180" width="5.5546875" style="2" customWidth="1"/>
    <col min="7181" max="7181" width="10.77734375" style="2" customWidth="1"/>
    <col min="7182" max="7182" width="8.21875" style="2" customWidth="1"/>
    <col min="7183" max="7183" width="12.21875" style="2" customWidth="1"/>
    <col min="7184" max="7184" width="10.21875" style="2" customWidth="1"/>
    <col min="7185" max="7185" width="9.21875" style="2" customWidth="1"/>
    <col min="7186" max="7424" width="9.21875" style="2"/>
    <col min="7425" max="7425" width="4.21875" style="2" customWidth="1"/>
    <col min="7426" max="7426" width="2.5546875" style="2" customWidth="1"/>
    <col min="7427" max="7428" width="9.21875" style="2"/>
    <col min="7429" max="7429" width="7.21875" style="2" customWidth="1"/>
    <col min="7430" max="7430" width="8.21875" style="2" customWidth="1"/>
    <col min="7431" max="7432" width="10.21875" style="2" customWidth="1"/>
    <col min="7433" max="7433" width="3.77734375" style="2" customWidth="1"/>
    <col min="7434" max="7434" width="9.21875" style="2"/>
    <col min="7435" max="7435" width="6.21875" style="2" customWidth="1"/>
    <col min="7436" max="7436" width="5.5546875" style="2" customWidth="1"/>
    <col min="7437" max="7437" width="10.77734375" style="2" customWidth="1"/>
    <col min="7438" max="7438" width="8.21875" style="2" customWidth="1"/>
    <col min="7439" max="7439" width="12.21875" style="2" customWidth="1"/>
    <col min="7440" max="7440" width="10.21875" style="2" customWidth="1"/>
    <col min="7441" max="7441" width="9.21875" style="2" customWidth="1"/>
    <col min="7442" max="7680" width="9.21875" style="2"/>
    <col min="7681" max="7681" width="4.21875" style="2" customWidth="1"/>
    <col min="7682" max="7682" width="2.5546875" style="2" customWidth="1"/>
    <col min="7683" max="7684" width="9.21875" style="2"/>
    <col min="7685" max="7685" width="7.21875" style="2" customWidth="1"/>
    <col min="7686" max="7686" width="8.21875" style="2" customWidth="1"/>
    <col min="7687" max="7688" width="10.21875" style="2" customWidth="1"/>
    <col min="7689" max="7689" width="3.77734375" style="2" customWidth="1"/>
    <col min="7690" max="7690" width="9.21875" style="2"/>
    <col min="7691" max="7691" width="6.21875" style="2" customWidth="1"/>
    <col min="7692" max="7692" width="5.5546875" style="2" customWidth="1"/>
    <col min="7693" max="7693" width="10.77734375" style="2" customWidth="1"/>
    <col min="7694" max="7694" width="8.21875" style="2" customWidth="1"/>
    <col min="7695" max="7695" width="12.21875" style="2" customWidth="1"/>
    <col min="7696" max="7696" width="10.21875" style="2" customWidth="1"/>
    <col min="7697" max="7697" width="9.21875" style="2" customWidth="1"/>
    <col min="7698" max="7936" width="9.21875" style="2"/>
    <col min="7937" max="7937" width="4.21875" style="2" customWidth="1"/>
    <col min="7938" max="7938" width="2.5546875" style="2" customWidth="1"/>
    <col min="7939" max="7940" width="9.21875" style="2"/>
    <col min="7941" max="7941" width="7.21875" style="2" customWidth="1"/>
    <col min="7942" max="7942" width="8.21875" style="2" customWidth="1"/>
    <col min="7943" max="7944" width="10.21875" style="2" customWidth="1"/>
    <col min="7945" max="7945" width="3.77734375" style="2" customWidth="1"/>
    <col min="7946" max="7946" width="9.21875" style="2"/>
    <col min="7947" max="7947" width="6.21875" style="2" customWidth="1"/>
    <col min="7948" max="7948" width="5.5546875" style="2" customWidth="1"/>
    <col min="7949" max="7949" width="10.77734375" style="2" customWidth="1"/>
    <col min="7950" max="7950" width="8.21875" style="2" customWidth="1"/>
    <col min="7951" max="7951" width="12.21875" style="2" customWidth="1"/>
    <col min="7952" max="7952" width="10.21875" style="2" customWidth="1"/>
    <col min="7953" max="7953" width="9.21875" style="2" customWidth="1"/>
    <col min="7954" max="8192" width="9.21875" style="2"/>
    <col min="8193" max="8193" width="4.21875" style="2" customWidth="1"/>
    <col min="8194" max="8194" width="2.5546875" style="2" customWidth="1"/>
    <col min="8195" max="8196" width="9.21875" style="2"/>
    <col min="8197" max="8197" width="7.21875" style="2" customWidth="1"/>
    <col min="8198" max="8198" width="8.21875" style="2" customWidth="1"/>
    <col min="8199" max="8200" width="10.21875" style="2" customWidth="1"/>
    <col min="8201" max="8201" width="3.77734375" style="2" customWidth="1"/>
    <col min="8202" max="8202" width="9.21875" style="2"/>
    <col min="8203" max="8203" width="6.21875" style="2" customWidth="1"/>
    <col min="8204" max="8204" width="5.5546875" style="2" customWidth="1"/>
    <col min="8205" max="8205" width="10.77734375" style="2" customWidth="1"/>
    <col min="8206" max="8206" width="8.21875" style="2" customWidth="1"/>
    <col min="8207" max="8207" width="12.21875" style="2" customWidth="1"/>
    <col min="8208" max="8208" width="10.21875" style="2" customWidth="1"/>
    <col min="8209" max="8209" width="9.21875" style="2" customWidth="1"/>
    <col min="8210" max="8448" width="9.21875" style="2"/>
    <col min="8449" max="8449" width="4.21875" style="2" customWidth="1"/>
    <col min="8450" max="8450" width="2.5546875" style="2" customWidth="1"/>
    <col min="8451" max="8452" width="9.21875" style="2"/>
    <col min="8453" max="8453" width="7.21875" style="2" customWidth="1"/>
    <col min="8454" max="8454" width="8.21875" style="2" customWidth="1"/>
    <col min="8455" max="8456" width="10.21875" style="2" customWidth="1"/>
    <col min="8457" max="8457" width="3.77734375" style="2" customWidth="1"/>
    <col min="8458" max="8458" width="9.21875" style="2"/>
    <col min="8459" max="8459" width="6.21875" style="2" customWidth="1"/>
    <col min="8460" max="8460" width="5.5546875" style="2" customWidth="1"/>
    <col min="8461" max="8461" width="10.77734375" style="2" customWidth="1"/>
    <col min="8462" max="8462" width="8.21875" style="2" customWidth="1"/>
    <col min="8463" max="8463" width="12.21875" style="2" customWidth="1"/>
    <col min="8464" max="8464" width="10.21875" style="2" customWidth="1"/>
    <col min="8465" max="8465" width="9.21875" style="2" customWidth="1"/>
    <col min="8466" max="8704" width="9.21875" style="2"/>
    <col min="8705" max="8705" width="4.21875" style="2" customWidth="1"/>
    <col min="8706" max="8706" width="2.5546875" style="2" customWidth="1"/>
    <col min="8707" max="8708" width="9.21875" style="2"/>
    <col min="8709" max="8709" width="7.21875" style="2" customWidth="1"/>
    <col min="8710" max="8710" width="8.21875" style="2" customWidth="1"/>
    <col min="8711" max="8712" width="10.21875" style="2" customWidth="1"/>
    <col min="8713" max="8713" width="3.77734375" style="2" customWidth="1"/>
    <col min="8714" max="8714" width="9.21875" style="2"/>
    <col min="8715" max="8715" width="6.21875" style="2" customWidth="1"/>
    <col min="8716" max="8716" width="5.5546875" style="2" customWidth="1"/>
    <col min="8717" max="8717" width="10.77734375" style="2" customWidth="1"/>
    <col min="8718" max="8718" width="8.21875" style="2" customWidth="1"/>
    <col min="8719" max="8719" width="12.21875" style="2" customWidth="1"/>
    <col min="8720" max="8720" width="10.21875" style="2" customWidth="1"/>
    <col min="8721" max="8721" width="9.21875" style="2" customWidth="1"/>
    <col min="8722" max="8960" width="9.21875" style="2"/>
    <col min="8961" max="8961" width="4.21875" style="2" customWidth="1"/>
    <col min="8962" max="8962" width="2.5546875" style="2" customWidth="1"/>
    <col min="8963" max="8964" width="9.21875" style="2"/>
    <col min="8965" max="8965" width="7.21875" style="2" customWidth="1"/>
    <col min="8966" max="8966" width="8.21875" style="2" customWidth="1"/>
    <col min="8967" max="8968" width="10.21875" style="2" customWidth="1"/>
    <col min="8969" max="8969" width="3.77734375" style="2" customWidth="1"/>
    <col min="8970" max="8970" width="9.21875" style="2"/>
    <col min="8971" max="8971" width="6.21875" style="2" customWidth="1"/>
    <col min="8972" max="8972" width="5.5546875" style="2" customWidth="1"/>
    <col min="8973" max="8973" width="10.77734375" style="2" customWidth="1"/>
    <col min="8974" max="8974" width="8.21875" style="2" customWidth="1"/>
    <col min="8975" max="8975" width="12.21875" style="2" customWidth="1"/>
    <col min="8976" max="8976" width="10.21875" style="2" customWidth="1"/>
    <col min="8977" max="8977" width="9.21875" style="2" customWidth="1"/>
    <col min="8978" max="9216" width="9.21875" style="2"/>
    <col min="9217" max="9217" width="4.21875" style="2" customWidth="1"/>
    <col min="9218" max="9218" width="2.5546875" style="2" customWidth="1"/>
    <col min="9219" max="9220" width="9.21875" style="2"/>
    <col min="9221" max="9221" width="7.21875" style="2" customWidth="1"/>
    <col min="9222" max="9222" width="8.21875" style="2" customWidth="1"/>
    <col min="9223" max="9224" width="10.21875" style="2" customWidth="1"/>
    <col min="9225" max="9225" width="3.77734375" style="2" customWidth="1"/>
    <col min="9226" max="9226" width="9.21875" style="2"/>
    <col min="9227" max="9227" width="6.21875" style="2" customWidth="1"/>
    <col min="9228" max="9228" width="5.5546875" style="2" customWidth="1"/>
    <col min="9229" max="9229" width="10.77734375" style="2" customWidth="1"/>
    <col min="9230" max="9230" width="8.21875" style="2" customWidth="1"/>
    <col min="9231" max="9231" width="12.21875" style="2" customWidth="1"/>
    <col min="9232" max="9232" width="10.21875" style="2" customWidth="1"/>
    <col min="9233" max="9233" width="9.21875" style="2" customWidth="1"/>
    <col min="9234" max="9472" width="9.21875" style="2"/>
    <col min="9473" max="9473" width="4.21875" style="2" customWidth="1"/>
    <col min="9474" max="9474" width="2.5546875" style="2" customWidth="1"/>
    <col min="9475" max="9476" width="9.21875" style="2"/>
    <col min="9477" max="9477" width="7.21875" style="2" customWidth="1"/>
    <col min="9478" max="9478" width="8.21875" style="2" customWidth="1"/>
    <col min="9479" max="9480" width="10.21875" style="2" customWidth="1"/>
    <col min="9481" max="9481" width="3.77734375" style="2" customWidth="1"/>
    <col min="9482" max="9482" width="9.21875" style="2"/>
    <col min="9483" max="9483" width="6.21875" style="2" customWidth="1"/>
    <col min="9484" max="9484" width="5.5546875" style="2" customWidth="1"/>
    <col min="9485" max="9485" width="10.77734375" style="2" customWidth="1"/>
    <col min="9486" max="9486" width="8.21875" style="2" customWidth="1"/>
    <col min="9487" max="9487" width="12.21875" style="2" customWidth="1"/>
    <col min="9488" max="9488" width="10.21875" style="2" customWidth="1"/>
    <col min="9489" max="9489" width="9.21875" style="2" customWidth="1"/>
    <col min="9490" max="9728" width="9.21875" style="2"/>
    <col min="9729" max="9729" width="4.21875" style="2" customWidth="1"/>
    <col min="9730" max="9730" width="2.5546875" style="2" customWidth="1"/>
    <col min="9731" max="9732" width="9.21875" style="2"/>
    <col min="9733" max="9733" width="7.21875" style="2" customWidth="1"/>
    <col min="9734" max="9734" width="8.21875" style="2" customWidth="1"/>
    <col min="9735" max="9736" width="10.21875" style="2" customWidth="1"/>
    <col min="9737" max="9737" width="3.77734375" style="2" customWidth="1"/>
    <col min="9738" max="9738" width="9.21875" style="2"/>
    <col min="9739" max="9739" width="6.21875" style="2" customWidth="1"/>
    <col min="9740" max="9740" width="5.5546875" style="2" customWidth="1"/>
    <col min="9741" max="9741" width="10.77734375" style="2" customWidth="1"/>
    <col min="9742" max="9742" width="8.21875" style="2" customWidth="1"/>
    <col min="9743" max="9743" width="12.21875" style="2" customWidth="1"/>
    <col min="9744" max="9744" width="10.21875" style="2" customWidth="1"/>
    <col min="9745" max="9745" width="9.21875" style="2" customWidth="1"/>
    <col min="9746" max="9984" width="9.21875" style="2"/>
    <col min="9985" max="9985" width="4.21875" style="2" customWidth="1"/>
    <col min="9986" max="9986" width="2.5546875" style="2" customWidth="1"/>
    <col min="9987" max="9988" width="9.21875" style="2"/>
    <col min="9989" max="9989" width="7.21875" style="2" customWidth="1"/>
    <col min="9990" max="9990" width="8.21875" style="2" customWidth="1"/>
    <col min="9991" max="9992" width="10.21875" style="2" customWidth="1"/>
    <col min="9993" max="9993" width="3.77734375" style="2" customWidth="1"/>
    <col min="9994" max="9994" width="9.21875" style="2"/>
    <col min="9995" max="9995" width="6.21875" style="2" customWidth="1"/>
    <col min="9996" max="9996" width="5.5546875" style="2" customWidth="1"/>
    <col min="9997" max="9997" width="10.77734375" style="2" customWidth="1"/>
    <col min="9998" max="9998" width="8.21875" style="2" customWidth="1"/>
    <col min="9999" max="9999" width="12.21875" style="2" customWidth="1"/>
    <col min="10000" max="10000" width="10.21875" style="2" customWidth="1"/>
    <col min="10001" max="10001" width="9.21875" style="2" customWidth="1"/>
    <col min="10002" max="10240" width="9.21875" style="2"/>
    <col min="10241" max="10241" width="4.21875" style="2" customWidth="1"/>
    <col min="10242" max="10242" width="2.5546875" style="2" customWidth="1"/>
    <col min="10243" max="10244" width="9.21875" style="2"/>
    <col min="10245" max="10245" width="7.21875" style="2" customWidth="1"/>
    <col min="10246" max="10246" width="8.21875" style="2" customWidth="1"/>
    <col min="10247" max="10248" width="10.21875" style="2" customWidth="1"/>
    <col min="10249" max="10249" width="3.77734375" style="2" customWidth="1"/>
    <col min="10250" max="10250" width="9.21875" style="2"/>
    <col min="10251" max="10251" width="6.21875" style="2" customWidth="1"/>
    <col min="10252" max="10252" width="5.5546875" style="2" customWidth="1"/>
    <col min="10253" max="10253" width="10.77734375" style="2" customWidth="1"/>
    <col min="10254" max="10254" width="8.21875" style="2" customWidth="1"/>
    <col min="10255" max="10255" width="12.21875" style="2" customWidth="1"/>
    <col min="10256" max="10256" width="10.21875" style="2" customWidth="1"/>
    <col min="10257" max="10257" width="9.21875" style="2" customWidth="1"/>
    <col min="10258" max="10496" width="9.21875" style="2"/>
    <col min="10497" max="10497" width="4.21875" style="2" customWidth="1"/>
    <col min="10498" max="10498" width="2.5546875" style="2" customWidth="1"/>
    <col min="10499" max="10500" width="9.21875" style="2"/>
    <col min="10501" max="10501" width="7.21875" style="2" customWidth="1"/>
    <col min="10502" max="10502" width="8.21875" style="2" customWidth="1"/>
    <col min="10503" max="10504" width="10.21875" style="2" customWidth="1"/>
    <col min="10505" max="10505" width="3.77734375" style="2" customWidth="1"/>
    <col min="10506" max="10506" width="9.21875" style="2"/>
    <col min="10507" max="10507" width="6.21875" style="2" customWidth="1"/>
    <col min="10508" max="10508" width="5.5546875" style="2" customWidth="1"/>
    <col min="10509" max="10509" width="10.77734375" style="2" customWidth="1"/>
    <col min="10510" max="10510" width="8.21875" style="2" customWidth="1"/>
    <col min="10511" max="10511" width="12.21875" style="2" customWidth="1"/>
    <col min="10512" max="10512" width="10.21875" style="2" customWidth="1"/>
    <col min="10513" max="10513" width="9.21875" style="2" customWidth="1"/>
    <col min="10514" max="10752" width="9.21875" style="2"/>
    <col min="10753" max="10753" width="4.21875" style="2" customWidth="1"/>
    <col min="10754" max="10754" width="2.5546875" style="2" customWidth="1"/>
    <col min="10755" max="10756" width="9.21875" style="2"/>
    <col min="10757" max="10757" width="7.21875" style="2" customWidth="1"/>
    <col min="10758" max="10758" width="8.21875" style="2" customWidth="1"/>
    <col min="10759" max="10760" width="10.21875" style="2" customWidth="1"/>
    <col min="10761" max="10761" width="3.77734375" style="2" customWidth="1"/>
    <col min="10762" max="10762" width="9.21875" style="2"/>
    <col min="10763" max="10763" width="6.21875" style="2" customWidth="1"/>
    <col min="10764" max="10764" width="5.5546875" style="2" customWidth="1"/>
    <col min="10765" max="10765" width="10.77734375" style="2" customWidth="1"/>
    <col min="10766" max="10766" width="8.21875" style="2" customWidth="1"/>
    <col min="10767" max="10767" width="12.21875" style="2" customWidth="1"/>
    <col min="10768" max="10768" width="10.21875" style="2" customWidth="1"/>
    <col min="10769" max="10769" width="9.21875" style="2" customWidth="1"/>
    <col min="10770" max="11008" width="9.21875" style="2"/>
    <col min="11009" max="11009" width="4.21875" style="2" customWidth="1"/>
    <col min="11010" max="11010" width="2.5546875" style="2" customWidth="1"/>
    <col min="11011" max="11012" width="9.21875" style="2"/>
    <col min="11013" max="11013" width="7.21875" style="2" customWidth="1"/>
    <col min="11014" max="11014" width="8.21875" style="2" customWidth="1"/>
    <col min="11015" max="11016" width="10.21875" style="2" customWidth="1"/>
    <col min="11017" max="11017" width="3.77734375" style="2" customWidth="1"/>
    <col min="11018" max="11018" width="9.21875" style="2"/>
    <col min="11019" max="11019" width="6.21875" style="2" customWidth="1"/>
    <col min="11020" max="11020" width="5.5546875" style="2" customWidth="1"/>
    <col min="11021" max="11021" width="10.77734375" style="2" customWidth="1"/>
    <col min="11022" max="11022" width="8.21875" style="2" customWidth="1"/>
    <col min="11023" max="11023" width="12.21875" style="2" customWidth="1"/>
    <col min="11024" max="11024" width="10.21875" style="2" customWidth="1"/>
    <col min="11025" max="11025" width="9.21875" style="2" customWidth="1"/>
    <col min="11026" max="11264" width="9.21875" style="2"/>
    <col min="11265" max="11265" width="4.21875" style="2" customWidth="1"/>
    <col min="11266" max="11266" width="2.5546875" style="2" customWidth="1"/>
    <col min="11267" max="11268" width="9.21875" style="2"/>
    <col min="11269" max="11269" width="7.21875" style="2" customWidth="1"/>
    <col min="11270" max="11270" width="8.21875" style="2" customWidth="1"/>
    <col min="11271" max="11272" width="10.21875" style="2" customWidth="1"/>
    <col min="11273" max="11273" width="3.77734375" style="2" customWidth="1"/>
    <col min="11274" max="11274" width="9.21875" style="2"/>
    <col min="11275" max="11275" width="6.21875" style="2" customWidth="1"/>
    <col min="11276" max="11276" width="5.5546875" style="2" customWidth="1"/>
    <col min="11277" max="11277" width="10.77734375" style="2" customWidth="1"/>
    <col min="11278" max="11278" width="8.21875" style="2" customWidth="1"/>
    <col min="11279" max="11279" width="12.21875" style="2" customWidth="1"/>
    <col min="11280" max="11280" width="10.21875" style="2" customWidth="1"/>
    <col min="11281" max="11281" width="9.21875" style="2" customWidth="1"/>
    <col min="11282" max="11520" width="9.21875" style="2"/>
    <col min="11521" max="11521" width="4.21875" style="2" customWidth="1"/>
    <col min="11522" max="11522" width="2.5546875" style="2" customWidth="1"/>
    <col min="11523" max="11524" width="9.21875" style="2"/>
    <col min="11525" max="11525" width="7.21875" style="2" customWidth="1"/>
    <col min="11526" max="11526" width="8.21875" style="2" customWidth="1"/>
    <col min="11527" max="11528" width="10.21875" style="2" customWidth="1"/>
    <col min="11529" max="11529" width="3.77734375" style="2" customWidth="1"/>
    <col min="11530" max="11530" width="9.21875" style="2"/>
    <col min="11531" max="11531" width="6.21875" style="2" customWidth="1"/>
    <col min="11532" max="11532" width="5.5546875" style="2" customWidth="1"/>
    <col min="11533" max="11533" width="10.77734375" style="2" customWidth="1"/>
    <col min="11534" max="11534" width="8.21875" style="2" customWidth="1"/>
    <col min="11535" max="11535" width="12.21875" style="2" customWidth="1"/>
    <col min="11536" max="11536" width="10.21875" style="2" customWidth="1"/>
    <col min="11537" max="11537" width="9.21875" style="2" customWidth="1"/>
    <col min="11538" max="11776" width="9.21875" style="2"/>
    <col min="11777" max="11777" width="4.21875" style="2" customWidth="1"/>
    <col min="11778" max="11778" width="2.5546875" style="2" customWidth="1"/>
    <col min="11779" max="11780" width="9.21875" style="2"/>
    <col min="11781" max="11781" width="7.21875" style="2" customWidth="1"/>
    <col min="11782" max="11782" width="8.21875" style="2" customWidth="1"/>
    <col min="11783" max="11784" width="10.21875" style="2" customWidth="1"/>
    <col min="11785" max="11785" width="3.77734375" style="2" customWidth="1"/>
    <col min="11786" max="11786" width="9.21875" style="2"/>
    <col min="11787" max="11787" width="6.21875" style="2" customWidth="1"/>
    <col min="11788" max="11788" width="5.5546875" style="2" customWidth="1"/>
    <col min="11789" max="11789" width="10.77734375" style="2" customWidth="1"/>
    <col min="11790" max="11790" width="8.21875" style="2" customWidth="1"/>
    <col min="11791" max="11791" width="12.21875" style="2" customWidth="1"/>
    <col min="11792" max="11792" width="10.21875" style="2" customWidth="1"/>
    <col min="11793" max="11793" width="9.21875" style="2" customWidth="1"/>
    <col min="11794" max="12032" width="9.21875" style="2"/>
    <col min="12033" max="12033" width="4.21875" style="2" customWidth="1"/>
    <col min="12034" max="12034" width="2.5546875" style="2" customWidth="1"/>
    <col min="12035" max="12036" width="9.21875" style="2"/>
    <col min="12037" max="12037" width="7.21875" style="2" customWidth="1"/>
    <col min="12038" max="12038" width="8.21875" style="2" customWidth="1"/>
    <col min="12039" max="12040" width="10.21875" style="2" customWidth="1"/>
    <col min="12041" max="12041" width="3.77734375" style="2" customWidth="1"/>
    <col min="12042" max="12042" width="9.21875" style="2"/>
    <col min="12043" max="12043" width="6.21875" style="2" customWidth="1"/>
    <col min="12044" max="12044" width="5.5546875" style="2" customWidth="1"/>
    <col min="12045" max="12045" width="10.77734375" style="2" customWidth="1"/>
    <col min="12046" max="12046" width="8.21875" style="2" customWidth="1"/>
    <col min="12047" max="12047" width="12.21875" style="2" customWidth="1"/>
    <col min="12048" max="12048" width="10.21875" style="2" customWidth="1"/>
    <col min="12049" max="12049" width="9.21875" style="2" customWidth="1"/>
    <col min="12050" max="12288" width="9.21875" style="2"/>
    <col min="12289" max="12289" width="4.21875" style="2" customWidth="1"/>
    <col min="12290" max="12290" width="2.5546875" style="2" customWidth="1"/>
    <col min="12291" max="12292" width="9.21875" style="2"/>
    <col min="12293" max="12293" width="7.21875" style="2" customWidth="1"/>
    <col min="12294" max="12294" width="8.21875" style="2" customWidth="1"/>
    <col min="12295" max="12296" width="10.21875" style="2" customWidth="1"/>
    <col min="12297" max="12297" width="3.77734375" style="2" customWidth="1"/>
    <col min="12298" max="12298" width="9.21875" style="2"/>
    <col min="12299" max="12299" width="6.21875" style="2" customWidth="1"/>
    <col min="12300" max="12300" width="5.5546875" style="2" customWidth="1"/>
    <col min="12301" max="12301" width="10.77734375" style="2" customWidth="1"/>
    <col min="12302" max="12302" width="8.21875" style="2" customWidth="1"/>
    <col min="12303" max="12303" width="12.21875" style="2" customWidth="1"/>
    <col min="12304" max="12304" width="10.21875" style="2" customWidth="1"/>
    <col min="12305" max="12305" width="9.21875" style="2" customWidth="1"/>
    <col min="12306" max="12544" width="9.21875" style="2"/>
    <col min="12545" max="12545" width="4.21875" style="2" customWidth="1"/>
    <col min="12546" max="12546" width="2.5546875" style="2" customWidth="1"/>
    <col min="12547" max="12548" width="9.21875" style="2"/>
    <col min="12549" max="12549" width="7.21875" style="2" customWidth="1"/>
    <col min="12550" max="12550" width="8.21875" style="2" customWidth="1"/>
    <col min="12551" max="12552" width="10.21875" style="2" customWidth="1"/>
    <col min="12553" max="12553" width="3.77734375" style="2" customWidth="1"/>
    <col min="12554" max="12554" width="9.21875" style="2"/>
    <col min="12555" max="12555" width="6.21875" style="2" customWidth="1"/>
    <col min="12556" max="12556" width="5.5546875" style="2" customWidth="1"/>
    <col min="12557" max="12557" width="10.77734375" style="2" customWidth="1"/>
    <col min="12558" max="12558" width="8.21875" style="2" customWidth="1"/>
    <col min="12559" max="12559" width="12.21875" style="2" customWidth="1"/>
    <col min="12560" max="12560" width="10.21875" style="2" customWidth="1"/>
    <col min="12561" max="12561" width="9.21875" style="2" customWidth="1"/>
    <col min="12562" max="12800" width="9.21875" style="2"/>
    <col min="12801" max="12801" width="4.21875" style="2" customWidth="1"/>
    <col min="12802" max="12802" width="2.5546875" style="2" customWidth="1"/>
    <col min="12803" max="12804" width="9.21875" style="2"/>
    <col min="12805" max="12805" width="7.21875" style="2" customWidth="1"/>
    <col min="12806" max="12806" width="8.21875" style="2" customWidth="1"/>
    <col min="12807" max="12808" width="10.21875" style="2" customWidth="1"/>
    <col min="12809" max="12809" width="3.77734375" style="2" customWidth="1"/>
    <col min="12810" max="12810" width="9.21875" style="2"/>
    <col min="12811" max="12811" width="6.21875" style="2" customWidth="1"/>
    <col min="12812" max="12812" width="5.5546875" style="2" customWidth="1"/>
    <col min="12813" max="12813" width="10.77734375" style="2" customWidth="1"/>
    <col min="12814" max="12814" width="8.21875" style="2" customWidth="1"/>
    <col min="12815" max="12815" width="12.21875" style="2" customWidth="1"/>
    <col min="12816" max="12816" width="10.21875" style="2" customWidth="1"/>
    <col min="12817" max="12817" width="9.21875" style="2" customWidth="1"/>
    <col min="12818" max="13056" width="9.21875" style="2"/>
    <col min="13057" max="13057" width="4.21875" style="2" customWidth="1"/>
    <col min="13058" max="13058" width="2.5546875" style="2" customWidth="1"/>
    <col min="13059" max="13060" width="9.21875" style="2"/>
    <col min="13061" max="13061" width="7.21875" style="2" customWidth="1"/>
    <col min="13062" max="13062" width="8.21875" style="2" customWidth="1"/>
    <col min="13063" max="13064" width="10.21875" style="2" customWidth="1"/>
    <col min="13065" max="13065" width="3.77734375" style="2" customWidth="1"/>
    <col min="13066" max="13066" width="9.21875" style="2"/>
    <col min="13067" max="13067" width="6.21875" style="2" customWidth="1"/>
    <col min="13068" max="13068" width="5.5546875" style="2" customWidth="1"/>
    <col min="13069" max="13069" width="10.77734375" style="2" customWidth="1"/>
    <col min="13070" max="13070" width="8.21875" style="2" customWidth="1"/>
    <col min="13071" max="13071" width="12.21875" style="2" customWidth="1"/>
    <col min="13072" max="13072" width="10.21875" style="2" customWidth="1"/>
    <col min="13073" max="13073" width="9.21875" style="2" customWidth="1"/>
    <col min="13074" max="13312" width="9.21875" style="2"/>
    <col min="13313" max="13313" width="4.21875" style="2" customWidth="1"/>
    <col min="13314" max="13314" width="2.5546875" style="2" customWidth="1"/>
    <col min="13315" max="13316" width="9.21875" style="2"/>
    <col min="13317" max="13317" width="7.21875" style="2" customWidth="1"/>
    <col min="13318" max="13318" width="8.21875" style="2" customWidth="1"/>
    <col min="13319" max="13320" width="10.21875" style="2" customWidth="1"/>
    <col min="13321" max="13321" width="3.77734375" style="2" customWidth="1"/>
    <col min="13322" max="13322" width="9.21875" style="2"/>
    <col min="13323" max="13323" width="6.21875" style="2" customWidth="1"/>
    <col min="13324" max="13324" width="5.5546875" style="2" customWidth="1"/>
    <col min="13325" max="13325" width="10.77734375" style="2" customWidth="1"/>
    <col min="13326" max="13326" width="8.21875" style="2" customWidth="1"/>
    <col min="13327" max="13327" width="12.21875" style="2" customWidth="1"/>
    <col min="13328" max="13328" width="10.21875" style="2" customWidth="1"/>
    <col min="13329" max="13329" width="9.21875" style="2" customWidth="1"/>
    <col min="13330" max="13568" width="9.21875" style="2"/>
    <col min="13569" max="13569" width="4.21875" style="2" customWidth="1"/>
    <col min="13570" max="13570" width="2.5546875" style="2" customWidth="1"/>
    <col min="13571" max="13572" width="9.21875" style="2"/>
    <col min="13573" max="13573" width="7.21875" style="2" customWidth="1"/>
    <col min="13574" max="13574" width="8.21875" style="2" customWidth="1"/>
    <col min="13575" max="13576" width="10.21875" style="2" customWidth="1"/>
    <col min="13577" max="13577" width="3.77734375" style="2" customWidth="1"/>
    <col min="13578" max="13578" width="9.21875" style="2"/>
    <col min="13579" max="13579" width="6.21875" style="2" customWidth="1"/>
    <col min="13580" max="13580" width="5.5546875" style="2" customWidth="1"/>
    <col min="13581" max="13581" width="10.77734375" style="2" customWidth="1"/>
    <col min="13582" max="13582" width="8.21875" style="2" customWidth="1"/>
    <col min="13583" max="13583" width="12.21875" style="2" customWidth="1"/>
    <col min="13584" max="13584" width="10.21875" style="2" customWidth="1"/>
    <col min="13585" max="13585" width="9.21875" style="2" customWidth="1"/>
    <col min="13586" max="13824" width="9.21875" style="2"/>
    <col min="13825" max="13825" width="4.21875" style="2" customWidth="1"/>
    <col min="13826" max="13826" width="2.5546875" style="2" customWidth="1"/>
    <col min="13827" max="13828" width="9.21875" style="2"/>
    <col min="13829" max="13829" width="7.21875" style="2" customWidth="1"/>
    <col min="13830" max="13830" width="8.21875" style="2" customWidth="1"/>
    <col min="13831" max="13832" width="10.21875" style="2" customWidth="1"/>
    <col min="13833" max="13833" width="3.77734375" style="2" customWidth="1"/>
    <col min="13834" max="13834" width="9.21875" style="2"/>
    <col min="13835" max="13835" width="6.21875" style="2" customWidth="1"/>
    <col min="13836" max="13836" width="5.5546875" style="2" customWidth="1"/>
    <col min="13837" max="13837" width="10.77734375" style="2" customWidth="1"/>
    <col min="13838" max="13838" width="8.21875" style="2" customWidth="1"/>
    <col min="13839" max="13839" width="12.21875" style="2" customWidth="1"/>
    <col min="13840" max="13840" width="10.21875" style="2" customWidth="1"/>
    <col min="13841" max="13841" width="9.21875" style="2" customWidth="1"/>
    <col min="13842" max="14080" width="9.21875" style="2"/>
    <col min="14081" max="14081" width="4.21875" style="2" customWidth="1"/>
    <col min="14082" max="14082" width="2.5546875" style="2" customWidth="1"/>
    <col min="14083" max="14084" width="9.21875" style="2"/>
    <col min="14085" max="14085" width="7.21875" style="2" customWidth="1"/>
    <col min="14086" max="14086" width="8.21875" style="2" customWidth="1"/>
    <col min="14087" max="14088" width="10.21875" style="2" customWidth="1"/>
    <col min="14089" max="14089" width="3.77734375" style="2" customWidth="1"/>
    <col min="14090" max="14090" width="9.21875" style="2"/>
    <col min="14091" max="14091" width="6.21875" style="2" customWidth="1"/>
    <col min="14092" max="14092" width="5.5546875" style="2" customWidth="1"/>
    <col min="14093" max="14093" width="10.77734375" style="2" customWidth="1"/>
    <col min="14094" max="14094" width="8.21875" style="2" customWidth="1"/>
    <col min="14095" max="14095" width="12.21875" style="2" customWidth="1"/>
    <col min="14096" max="14096" width="10.21875" style="2" customWidth="1"/>
    <col min="14097" max="14097" width="9.21875" style="2" customWidth="1"/>
    <col min="14098" max="14336" width="9.21875" style="2"/>
    <col min="14337" max="14337" width="4.21875" style="2" customWidth="1"/>
    <col min="14338" max="14338" width="2.5546875" style="2" customWidth="1"/>
    <col min="14339" max="14340" width="9.21875" style="2"/>
    <col min="14341" max="14341" width="7.21875" style="2" customWidth="1"/>
    <col min="14342" max="14342" width="8.21875" style="2" customWidth="1"/>
    <col min="14343" max="14344" width="10.21875" style="2" customWidth="1"/>
    <col min="14345" max="14345" width="3.77734375" style="2" customWidth="1"/>
    <col min="14346" max="14346" width="9.21875" style="2"/>
    <col min="14347" max="14347" width="6.21875" style="2" customWidth="1"/>
    <col min="14348" max="14348" width="5.5546875" style="2" customWidth="1"/>
    <col min="14349" max="14349" width="10.77734375" style="2" customWidth="1"/>
    <col min="14350" max="14350" width="8.21875" style="2" customWidth="1"/>
    <col min="14351" max="14351" width="12.21875" style="2" customWidth="1"/>
    <col min="14352" max="14352" width="10.21875" style="2" customWidth="1"/>
    <col min="14353" max="14353" width="9.21875" style="2" customWidth="1"/>
    <col min="14354" max="14592" width="9.21875" style="2"/>
    <col min="14593" max="14593" width="4.21875" style="2" customWidth="1"/>
    <col min="14594" max="14594" width="2.5546875" style="2" customWidth="1"/>
    <col min="14595" max="14596" width="9.21875" style="2"/>
    <col min="14597" max="14597" width="7.21875" style="2" customWidth="1"/>
    <col min="14598" max="14598" width="8.21875" style="2" customWidth="1"/>
    <col min="14599" max="14600" width="10.21875" style="2" customWidth="1"/>
    <col min="14601" max="14601" width="3.77734375" style="2" customWidth="1"/>
    <col min="14602" max="14602" width="9.21875" style="2"/>
    <col min="14603" max="14603" width="6.21875" style="2" customWidth="1"/>
    <col min="14604" max="14604" width="5.5546875" style="2" customWidth="1"/>
    <col min="14605" max="14605" width="10.77734375" style="2" customWidth="1"/>
    <col min="14606" max="14606" width="8.21875" style="2" customWidth="1"/>
    <col min="14607" max="14607" width="12.21875" style="2" customWidth="1"/>
    <col min="14608" max="14608" width="10.21875" style="2" customWidth="1"/>
    <col min="14609" max="14609" width="9.21875" style="2" customWidth="1"/>
    <col min="14610" max="14848" width="9.21875" style="2"/>
    <col min="14849" max="14849" width="4.21875" style="2" customWidth="1"/>
    <col min="14850" max="14850" width="2.5546875" style="2" customWidth="1"/>
    <col min="14851" max="14852" width="9.21875" style="2"/>
    <col min="14853" max="14853" width="7.21875" style="2" customWidth="1"/>
    <col min="14854" max="14854" width="8.21875" style="2" customWidth="1"/>
    <col min="14855" max="14856" width="10.21875" style="2" customWidth="1"/>
    <col min="14857" max="14857" width="3.77734375" style="2" customWidth="1"/>
    <col min="14858" max="14858" width="9.21875" style="2"/>
    <col min="14859" max="14859" width="6.21875" style="2" customWidth="1"/>
    <col min="14860" max="14860" width="5.5546875" style="2" customWidth="1"/>
    <col min="14861" max="14861" width="10.77734375" style="2" customWidth="1"/>
    <col min="14862" max="14862" width="8.21875" style="2" customWidth="1"/>
    <col min="14863" max="14863" width="12.21875" style="2" customWidth="1"/>
    <col min="14864" max="14864" width="10.21875" style="2" customWidth="1"/>
    <col min="14865" max="14865" width="9.21875" style="2" customWidth="1"/>
    <col min="14866" max="15104" width="9.21875" style="2"/>
    <col min="15105" max="15105" width="4.21875" style="2" customWidth="1"/>
    <col min="15106" max="15106" width="2.5546875" style="2" customWidth="1"/>
    <col min="15107" max="15108" width="9.21875" style="2"/>
    <col min="15109" max="15109" width="7.21875" style="2" customWidth="1"/>
    <col min="15110" max="15110" width="8.21875" style="2" customWidth="1"/>
    <col min="15111" max="15112" width="10.21875" style="2" customWidth="1"/>
    <col min="15113" max="15113" width="3.77734375" style="2" customWidth="1"/>
    <col min="15114" max="15114" width="9.21875" style="2"/>
    <col min="15115" max="15115" width="6.21875" style="2" customWidth="1"/>
    <col min="15116" max="15116" width="5.5546875" style="2" customWidth="1"/>
    <col min="15117" max="15117" width="10.77734375" style="2" customWidth="1"/>
    <col min="15118" max="15118" width="8.21875" style="2" customWidth="1"/>
    <col min="15119" max="15119" width="12.21875" style="2" customWidth="1"/>
    <col min="15120" max="15120" width="10.21875" style="2" customWidth="1"/>
    <col min="15121" max="15121" width="9.21875" style="2" customWidth="1"/>
    <col min="15122" max="15360" width="9.21875" style="2"/>
    <col min="15361" max="15361" width="4.21875" style="2" customWidth="1"/>
    <col min="15362" max="15362" width="2.5546875" style="2" customWidth="1"/>
    <col min="15363" max="15364" width="9.21875" style="2"/>
    <col min="15365" max="15365" width="7.21875" style="2" customWidth="1"/>
    <col min="15366" max="15366" width="8.21875" style="2" customWidth="1"/>
    <col min="15367" max="15368" width="10.21875" style="2" customWidth="1"/>
    <col min="15369" max="15369" width="3.77734375" style="2" customWidth="1"/>
    <col min="15370" max="15370" width="9.21875" style="2"/>
    <col min="15371" max="15371" width="6.21875" style="2" customWidth="1"/>
    <col min="15372" max="15372" width="5.5546875" style="2" customWidth="1"/>
    <col min="15373" max="15373" width="10.77734375" style="2" customWidth="1"/>
    <col min="15374" max="15374" width="8.21875" style="2" customWidth="1"/>
    <col min="15375" max="15375" width="12.21875" style="2" customWidth="1"/>
    <col min="15376" max="15376" width="10.21875" style="2" customWidth="1"/>
    <col min="15377" max="15377" width="9.21875" style="2" customWidth="1"/>
    <col min="15378" max="15616" width="9.21875" style="2"/>
    <col min="15617" max="15617" width="4.21875" style="2" customWidth="1"/>
    <col min="15618" max="15618" width="2.5546875" style="2" customWidth="1"/>
    <col min="15619" max="15620" width="9.21875" style="2"/>
    <col min="15621" max="15621" width="7.21875" style="2" customWidth="1"/>
    <col min="15622" max="15622" width="8.21875" style="2" customWidth="1"/>
    <col min="15623" max="15624" width="10.21875" style="2" customWidth="1"/>
    <col min="15625" max="15625" width="3.77734375" style="2" customWidth="1"/>
    <col min="15626" max="15626" width="9.21875" style="2"/>
    <col min="15627" max="15627" width="6.21875" style="2" customWidth="1"/>
    <col min="15628" max="15628" width="5.5546875" style="2" customWidth="1"/>
    <col min="15629" max="15629" width="10.77734375" style="2" customWidth="1"/>
    <col min="15630" max="15630" width="8.21875" style="2" customWidth="1"/>
    <col min="15631" max="15631" width="12.21875" style="2" customWidth="1"/>
    <col min="15632" max="15632" width="10.21875" style="2" customWidth="1"/>
    <col min="15633" max="15633" width="9.21875" style="2" customWidth="1"/>
    <col min="15634" max="15872" width="9.21875" style="2"/>
    <col min="15873" max="15873" width="4.21875" style="2" customWidth="1"/>
    <col min="15874" max="15874" width="2.5546875" style="2" customWidth="1"/>
    <col min="15875" max="15876" width="9.21875" style="2"/>
    <col min="15877" max="15877" width="7.21875" style="2" customWidth="1"/>
    <col min="15878" max="15878" width="8.21875" style="2" customWidth="1"/>
    <col min="15879" max="15880" width="10.21875" style="2" customWidth="1"/>
    <col min="15881" max="15881" width="3.77734375" style="2" customWidth="1"/>
    <col min="15882" max="15882" width="9.21875" style="2"/>
    <col min="15883" max="15883" width="6.21875" style="2" customWidth="1"/>
    <col min="15884" max="15884" width="5.5546875" style="2" customWidth="1"/>
    <col min="15885" max="15885" width="10.77734375" style="2" customWidth="1"/>
    <col min="15886" max="15886" width="8.21875" style="2" customWidth="1"/>
    <col min="15887" max="15887" width="12.21875" style="2" customWidth="1"/>
    <col min="15888" max="15888" width="10.21875" style="2" customWidth="1"/>
    <col min="15889" max="15889" width="9.21875" style="2" customWidth="1"/>
    <col min="15890" max="16128" width="9.21875" style="2"/>
    <col min="16129" max="16129" width="4.21875" style="2" customWidth="1"/>
    <col min="16130" max="16130" width="2.5546875" style="2" customWidth="1"/>
    <col min="16131" max="16132" width="9.21875" style="2"/>
    <col min="16133" max="16133" width="7.21875" style="2" customWidth="1"/>
    <col min="16134" max="16134" width="8.21875" style="2" customWidth="1"/>
    <col min="16135" max="16136" width="10.21875" style="2" customWidth="1"/>
    <col min="16137" max="16137" width="3.77734375" style="2" customWidth="1"/>
    <col min="16138" max="16138" width="9.21875" style="2"/>
    <col min="16139" max="16139" width="6.21875" style="2" customWidth="1"/>
    <col min="16140" max="16140" width="5.5546875" style="2" customWidth="1"/>
    <col min="16141" max="16141" width="10.77734375" style="2" customWidth="1"/>
    <col min="16142" max="16142" width="8.21875" style="2" customWidth="1"/>
    <col min="16143" max="16143" width="12.21875" style="2" customWidth="1"/>
    <col min="16144" max="16144" width="10.21875" style="2" customWidth="1"/>
    <col min="16145" max="16145" width="9.21875" style="2" customWidth="1"/>
    <col min="16146" max="16384" width="9.21875" style="2"/>
  </cols>
  <sheetData>
    <row r="1" spans="1:18" ht="15.6">
      <c r="A1" s="1220" t="s">
        <v>20</v>
      </c>
      <c r="B1" s="1220"/>
      <c r="C1" s="1220"/>
      <c r="D1" s="1220"/>
      <c r="E1" s="1220"/>
      <c r="F1" s="1220"/>
      <c r="G1" s="1220"/>
      <c r="H1" s="1220"/>
      <c r="I1" s="1220"/>
      <c r="J1" s="1220"/>
      <c r="K1" s="1220"/>
      <c r="L1" s="1220"/>
      <c r="M1" s="1220"/>
      <c r="N1" s="1220"/>
      <c r="O1" s="1220"/>
      <c r="P1" s="49"/>
      <c r="Q1" s="50"/>
      <c r="R1" s="49"/>
    </row>
    <row r="2" spans="1:18" ht="15.6">
      <c r="A2" s="1220" t="s">
        <v>42</v>
      </c>
      <c r="B2" s="1220"/>
      <c r="C2" s="1220"/>
      <c r="D2" s="1220"/>
      <c r="E2" s="1220"/>
      <c r="F2" s="1220"/>
      <c r="G2" s="1220"/>
      <c r="H2" s="1220"/>
      <c r="I2" s="1220"/>
      <c r="J2" s="1220"/>
      <c r="K2" s="1220"/>
      <c r="L2" s="1220"/>
      <c r="M2" s="1220"/>
      <c r="N2" s="1220"/>
      <c r="O2" s="1220"/>
    </row>
    <row r="3" spans="1:18" ht="9" customHeight="1">
      <c r="A3" s="49"/>
      <c r="B3" s="49"/>
      <c r="C3" s="49"/>
      <c r="D3" s="49"/>
      <c r="E3" s="49"/>
      <c r="F3" s="49"/>
      <c r="G3" s="49"/>
      <c r="H3" s="49"/>
      <c r="I3" s="49"/>
      <c r="J3" s="49"/>
      <c r="K3" s="49"/>
      <c r="L3" s="49"/>
      <c r="M3" s="49"/>
      <c r="N3" s="49"/>
      <c r="O3" s="49"/>
    </row>
    <row r="4" spans="1:18" ht="7.5" customHeight="1"/>
    <row r="5" spans="1:18" ht="39" customHeight="1">
      <c r="A5" s="33" t="s">
        <v>22</v>
      </c>
      <c r="F5" s="34" t="s">
        <v>23</v>
      </c>
      <c r="H5" s="35" t="s">
        <v>24</v>
      </c>
      <c r="I5" s="36"/>
      <c r="J5" s="1221" t="s">
        <v>25</v>
      </c>
      <c r="K5" s="1217"/>
      <c r="M5" s="3" t="s">
        <v>26</v>
      </c>
      <c r="O5" s="37" t="s">
        <v>27</v>
      </c>
    </row>
    <row r="6" spans="1:18" ht="6.75" customHeight="1"/>
    <row r="7" spans="1:18" ht="15">
      <c r="B7" s="5" t="s">
        <v>6</v>
      </c>
      <c r="F7" s="38" t="str">
        <f>IF('Input (2)'!$G$4=0," ",'Input (2)'!$G$4)</f>
        <v xml:space="preserve"> </v>
      </c>
      <c r="G7" s="39"/>
      <c r="J7" s="1222" t="str">
        <f>IF('Input (2)'!G4=0,"0",'Input (2)'!G4)</f>
        <v>0</v>
      </c>
      <c r="K7" s="1222"/>
      <c r="L7" s="40" t="s">
        <v>28</v>
      </c>
      <c r="M7" s="41">
        <f>IF('Input (2)'!G4=0,0,LOOKUP(J7,'criteria (2)'!$A$3:$A$10,'criteria (2)'!$B$3:$B$10))</f>
        <v>0</v>
      </c>
      <c r="N7" s="42" t="s">
        <v>29</v>
      </c>
      <c r="O7" s="38">
        <f>IF(Q7=0,0,IF(Q7&lt;LOOKUP(J7,'criteria (2)'!$A$3:$A$10,'criteria (2)'!$C$3:$C$10),LOOKUP(J7,'criteria (2)'!$A$3:$A$10,'criteria (2)'!$C$3:$C$10),IF(LOOKUP(J7,'criteria (2)'!$A$3:$A$10,'criteria (2)'!$C$3:$C$10)=0,0,Q7)))</f>
        <v>0</v>
      </c>
      <c r="P7" s="28" t="str">
        <f>IF('Input (2)'!G4=0," ",IF(O7=0,"ADD to 1-6",IF(O7=Q7," ","Minimum")))</f>
        <v xml:space="preserve"> </v>
      </c>
      <c r="Q7" s="32">
        <f>ROUND(IF('Input (2)'!G4=0,0,IF(M7=0,0,(J7/M7))),2)</f>
        <v>0</v>
      </c>
    </row>
    <row r="8" spans="1:18" ht="6.75" customHeight="1">
      <c r="J8" s="43"/>
      <c r="K8" s="43"/>
      <c r="O8" s="43"/>
    </row>
    <row r="9" spans="1:18">
      <c r="B9" s="5" t="s">
        <v>7</v>
      </c>
      <c r="J9" s="43"/>
      <c r="K9" s="43"/>
      <c r="O9" s="43"/>
    </row>
    <row r="10" spans="1:18">
      <c r="B10" s="28" t="s">
        <v>30</v>
      </c>
      <c r="J10" s="43"/>
      <c r="K10" s="43"/>
      <c r="O10" s="43"/>
    </row>
    <row r="11" spans="1:18" ht="16.5" customHeight="1">
      <c r="C11" s="12" t="s">
        <v>8</v>
      </c>
      <c r="F11" s="41" t="str">
        <f>IF(J11=0," ",IF($J$16&gt;300," ",'Input (2)'!G7))</f>
        <v xml:space="preserve"> </v>
      </c>
      <c r="G11" s="44" t="s">
        <v>31</v>
      </c>
      <c r="H11" s="38" t="str">
        <f>IF(J11=0," ",'C (2)'!H25)</f>
        <v xml:space="preserve"> </v>
      </c>
      <c r="I11" s="42" t="s">
        <v>29</v>
      </c>
      <c r="J11" s="1222">
        <f>IF('Input (2)'!G7=0,0,IF(SUM('Input (2)'!G7-'C (2)'!H25)+SUM('Input (2)'!G8-'C (2)'!H26)&gt;299.99,SUM('Input (2)'!G7-'C (2)'!H25),0))</f>
        <v>0</v>
      </c>
      <c r="K11" s="1222"/>
      <c r="L11" s="40" t="s">
        <v>28</v>
      </c>
      <c r="M11" s="41">
        <f>IF(SUM('Input (2)'!$G$7-'C (2)'!$H$25)+SUM('Input (2)'!$G$8-'C (2)'!$H$26)&gt;299.99,20,0)</f>
        <v>0</v>
      </c>
      <c r="N11" s="42" t="s">
        <v>29</v>
      </c>
      <c r="O11" s="38">
        <f>ROUND(IF(SUM('Input (2)'!$G$7-'C (2)'!$H$25)+SUM('Input (2)'!$G$8-'C (2)'!$H$26)&lt;299.99,0,IF(Q11+Q13&lt;15,0,(J11/M11))),2)</f>
        <v>0</v>
      </c>
      <c r="P11" s="2" t="str">
        <f>IF(O11=0," ",IF(O11=Q11," ","Minimum"))</f>
        <v xml:space="preserve"> </v>
      </c>
      <c r="Q11" s="32">
        <f>ROUND(IF(SUM('Input (2)'!$G$7-'C (2)'!$H$25)+SUM('Input (2)'!$G$8-'C (2)'!$H$26)&lt;299.99,0,(J11/M11)),2)</f>
        <v>0</v>
      </c>
    </row>
    <row r="12" spans="1:18" ht="9" customHeight="1">
      <c r="B12" s="12"/>
      <c r="J12" s="43"/>
      <c r="K12" s="43"/>
      <c r="O12" s="43"/>
    </row>
    <row r="13" spans="1:18" ht="15">
      <c r="C13" s="12" t="s">
        <v>9</v>
      </c>
      <c r="F13" s="41" t="str">
        <f>IF(J13=0," ",IF($J$16&gt;300," ",'Input (2)'!G8))</f>
        <v xml:space="preserve"> </v>
      </c>
      <c r="G13" s="44" t="s">
        <v>31</v>
      </c>
      <c r="H13" s="38" t="str">
        <f>IF(J13=0," ",'C (2)'!H26)</f>
        <v xml:space="preserve"> </v>
      </c>
      <c r="I13" s="42" t="s">
        <v>29</v>
      </c>
      <c r="J13" s="1222">
        <f>IF('Input (2)'!G8=0,0,IF(SUM('Input (2)'!G7-'C (2)'!H25)+SUM('Input (2)'!G8-'C (2)'!H26)&gt;299.99,SUM('Input (2)'!G8-'C (2)'!H26),0))</f>
        <v>0</v>
      </c>
      <c r="K13" s="1222"/>
      <c r="L13" s="40" t="s">
        <v>28</v>
      </c>
      <c r="M13" s="41">
        <f>IF(SUM('Input (2)'!$G$7-'C (2)'!$H$25)+SUM('Input (2)'!$G$8-'C (2)'!$H$26)&gt;299.99,23,0)</f>
        <v>0</v>
      </c>
      <c r="N13" s="42" t="s">
        <v>29</v>
      </c>
      <c r="O13" s="38">
        <f>ROUND(IF(SUM('Input (2)'!$G$7-'C (2)'!$H$25)+SUM('Input (2)'!$G$8-'C (2)'!$H$26)&lt;299.99,0,IF(Q11+Q13&lt;15,0,($J$13/$M$13))),2)</f>
        <v>0</v>
      </c>
      <c r="P13" s="2" t="str">
        <f>IF(O13=0," ",IF(O13=Q13," ","Minimum"))</f>
        <v xml:space="preserve"> </v>
      </c>
      <c r="Q13" s="32">
        <f>ROUND(IF(SUM('Input (2)'!$G$7-'C (2)'!$H$25)+SUM('Input (2)'!$G$8-'C (2)'!$H$26)&lt;299.99,0,($J$13/$M$13)),2)</f>
        <v>0</v>
      </c>
    </row>
    <row r="14" spans="1:18" ht="15">
      <c r="B14" s="5" t="s">
        <v>7</v>
      </c>
      <c r="F14" s="36"/>
      <c r="G14" s="44"/>
      <c r="H14" s="39"/>
      <c r="I14" s="42"/>
      <c r="O14" s="39" t="str">
        <f>IF(P14="Minimum",15," ")</f>
        <v xml:space="preserve"> </v>
      </c>
      <c r="P14" s="2" t="str">
        <f>IF(Q11+Q13=0," ",IF(Q11+Q13&lt;15,"Minimum"," "))</f>
        <v xml:space="preserve"> </v>
      </c>
    </row>
    <row r="15" spans="1:18">
      <c r="B15" s="28" t="s">
        <v>32</v>
      </c>
      <c r="O15" s="43"/>
    </row>
    <row r="16" spans="1:18" ht="15">
      <c r="C16" s="12" t="s">
        <v>33</v>
      </c>
      <c r="F16" s="41">
        <f>IF(J16=0," ",IF(J16&lt;300,SUM('Input (2)'!G7+'Input (2)'!G8)," "))</f>
        <v>57</v>
      </c>
      <c r="G16" s="44" t="s">
        <v>31</v>
      </c>
      <c r="H16" s="38">
        <f>IF(J16=0," ",'C (2)'!H22)</f>
        <v>3.5999999999999996</v>
      </c>
      <c r="I16" s="42" t="s">
        <v>29</v>
      </c>
      <c r="J16" s="1222">
        <f>IF('Input (2)'!G9=0,0,IF(SUM('Input (2)'!G7-'C (2)'!H25)+SUM('Input (2)'!G8-'C (2)'!H26)&lt;300,IF(P7="ADD to 1-6",SUM('Input (2)'!G7-'C (2)'!H25)+SUM('Input (2)'!G8-'C (2)'!H26)+'Input (2)'!G4,SUM('Input (2)'!G7-'C (2)'!H25)+SUM('Input (2)'!G8-'C (2)'!H26)),0))</f>
        <v>53.4</v>
      </c>
      <c r="K16" s="1222"/>
      <c r="L16" s="40" t="s">
        <v>28</v>
      </c>
      <c r="M16" s="41">
        <f>IF(SUM('Input (2)'!$G$7-'C (2)'!$H$25)+SUM('Input (2)'!$G$8-'C (2)'!$H$26)&lt;299.99,LOOKUP(J16,'criteria (2)'!$M$3:$M$11,'criteria (2)'!$N$3:$N$11),0)</f>
        <v>15</v>
      </c>
      <c r="N16" s="42" t="s">
        <v>29</v>
      </c>
      <c r="O16" s="38">
        <f>IF(Q16=0,0,IF(Q16&lt;LOOKUP(J16,'criteria (2)'!$M$3:$M$10,'criteria (2)'!$O$3:$O$10),LOOKUP(J16,'criteria (2)'!$M$3:$M$10,'criteria (2)'!$O$3:$O$10),Q16))</f>
        <v>4</v>
      </c>
      <c r="P16" s="2" t="str">
        <f>IF(O16=0," ",IF(O16=Q16," ","Minimum"))</f>
        <v>Minimum</v>
      </c>
      <c r="Q16" s="32">
        <f>ROUND(IF('Input (2)'!G9=0,0,IF(SUM('Input (2)'!$G$7-'C (2)'!$H$25)+SUM('Input (2)'!$G$8-'C (2)'!$H$26)&gt;299.99,0,(J16/M16))),2)</f>
        <v>3.56</v>
      </c>
    </row>
    <row r="17" spans="1:17" ht="6" customHeight="1">
      <c r="J17" s="43"/>
      <c r="K17" s="43"/>
      <c r="O17" s="43"/>
    </row>
    <row r="18" spans="1:17" ht="15">
      <c r="B18" s="5" t="s">
        <v>10</v>
      </c>
      <c r="F18" s="41">
        <f>IF(J18=0," ",'Input (2)'!G10)</f>
        <v>77.899999999999991</v>
      </c>
      <c r="G18" s="44" t="s">
        <v>31</v>
      </c>
      <c r="H18" s="38">
        <f>IF(J18=0," ",'C (2)'!$H$43)</f>
        <v>4.51</v>
      </c>
      <c r="I18" s="42" t="s">
        <v>29</v>
      </c>
      <c r="J18" s="1222">
        <f>IF('Input (2)'!G10=0,0,SUM('Input (2)'!G10-'C (2)'!H43))</f>
        <v>73.389999999999986</v>
      </c>
      <c r="K18" s="1222"/>
      <c r="L18" s="40" t="s">
        <v>28</v>
      </c>
      <c r="M18" s="41">
        <f>IF(J18=0,0,IF(J18&gt;99.99,LOOKUP(J18,'criteria (2)'!Q3:Q10,'criteria (2)'!R3:R10),12))</f>
        <v>12</v>
      </c>
      <c r="N18" s="42" t="s">
        <v>29</v>
      </c>
      <c r="O18" s="38">
        <f>ROUND(IF(J18=0,0,IF(J18&lt;99.99,IF(M18=0,8,(J18/M18)),IF(Q18&lt;LOOKUP(J18,'criteria (2)'!$Q$3:$Q$10,'criteria (2)'!$S$3:$S$10),LOOKUP(J18,'criteria (2)'!$Q$3:$Q$10,'criteria (2)'!$S$3:$S$10),Q18))),2)</f>
        <v>6.12</v>
      </c>
      <c r="P18" s="2" t="str">
        <f>IF(O18=0," ",IF(O18=Q18," ","Minimum"))</f>
        <v xml:space="preserve"> </v>
      </c>
      <c r="Q18" s="32">
        <f>ROUND(IF(M18=0,0,(J18/M18)),2)</f>
        <v>6.12</v>
      </c>
    </row>
    <row r="19" spans="1:17">
      <c r="B19" s="5"/>
      <c r="J19" s="39"/>
      <c r="K19" s="39"/>
      <c r="M19" s="36"/>
      <c r="N19" s="42"/>
      <c r="O19" s="36"/>
    </row>
    <row r="20" spans="1:17" ht="15.6">
      <c r="A20" s="48" t="s">
        <v>43</v>
      </c>
      <c r="J20" s="43"/>
      <c r="K20" s="43"/>
    </row>
    <row r="21" spans="1:17" ht="3.75" customHeight="1">
      <c r="J21" s="43"/>
      <c r="K21" s="43"/>
    </row>
    <row r="22" spans="1:17">
      <c r="B22" s="2" t="s">
        <v>44</v>
      </c>
      <c r="J22" s="1222" t="str">
        <f>IF('C (2)'!H55=0," ",'C (2)'!H55)</f>
        <v xml:space="preserve"> </v>
      </c>
      <c r="K22" s="1222"/>
    </row>
    <row r="23" spans="1:17" ht="6" customHeight="1">
      <c r="J23" s="43"/>
      <c r="K23" s="43"/>
    </row>
    <row r="24" spans="1:17">
      <c r="B24" s="2" t="s">
        <v>45</v>
      </c>
      <c r="J24" s="1222">
        <f>IF('C (2)'!H22=0," ",'C (2)'!H22)</f>
        <v>3.5999999999999996</v>
      </c>
      <c r="K24" s="1222"/>
    </row>
    <row r="25" spans="1:17" ht="6" customHeight="1">
      <c r="J25" s="43"/>
      <c r="K25" s="43"/>
    </row>
    <row r="26" spans="1:17">
      <c r="B26" s="2" t="s">
        <v>46</v>
      </c>
      <c r="J26" s="1222">
        <f>IF('C (2)'!H43=0," ",'C (2)'!H43)</f>
        <v>4.51</v>
      </c>
      <c r="K26" s="1222"/>
    </row>
    <row r="27" spans="1:17" ht="6" customHeight="1">
      <c r="J27" s="43"/>
      <c r="K27" s="43"/>
    </row>
    <row r="28" spans="1:17" ht="6" customHeight="1">
      <c r="J28" s="39"/>
      <c r="K28" s="39"/>
    </row>
    <row r="29" spans="1:17" ht="13.5" customHeight="1" thickBot="1">
      <c r="B29" s="46" t="s">
        <v>47</v>
      </c>
      <c r="J29" s="1219">
        <f>SUM(J22:K27)</f>
        <v>8.11</v>
      </c>
      <c r="K29" s="1219"/>
      <c r="L29" s="40" t="s">
        <v>28</v>
      </c>
      <c r="M29" s="41">
        <f>IF(SUM('Input (2)'!C4:C10)=0,0,IF(J29&gt;=14,LOOKUP(J29,'criteria (2)'!$U$3:$U$10,'criteria (2)'!$V$3:$V$10),0))</f>
        <v>0</v>
      </c>
      <c r="N29" s="42" t="s">
        <v>29</v>
      </c>
      <c r="O29" s="38">
        <f>IF(J29=0,0,IF(Q29&lt;LOOKUP(J29,'criteria (2)'!$U$3:$U$10,'criteria (2)'!$W$3:$W$10),LOOKUP(J29,'criteria (2)'!$U$3:$U$10,'criteria (2)'!$W$3:$W$10),Q29))</f>
        <v>0.75</v>
      </c>
      <c r="P29" s="2" t="str">
        <f>IF(O29=0," ",IF(O29=Q29," ","Minimum"))</f>
        <v>Minimum</v>
      </c>
      <c r="Q29" s="32">
        <f>ROUND(IF(SUM('Input (2)'!C4:C10)=0,0,IF(M29=0,0,(J29/M29))),2)</f>
        <v>0</v>
      </c>
    </row>
    <row r="30" spans="1:17" ht="12" customHeight="1" thickTop="1">
      <c r="B30" s="1226"/>
      <c r="C30" s="1226"/>
      <c r="D30" s="1226"/>
      <c r="E30" s="1226"/>
      <c r="F30" s="47"/>
      <c r="G30" s="47"/>
      <c r="H30" s="47"/>
      <c r="J30" s="12"/>
      <c r="N30" s="42"/>
      <c r="O30" s="39"/>
      <c r="P30" s="46"/>
    </row>
    <row r="31" spans="1:17" ht="19.5" customHeight="1">
      <c r="A31" s="48" t="s">
        <v>39</v>
      </c>
      <c r="O31" s="43"/>
    </row>
    <row r="32" spans="1:17" ht="15">
      <c r="B32" s="1227" t="str">
        <f>IF('Input (2)'!E14=0," ","Alternative Secondary High School")</f>
        <v xml:space="preserve"> </v>
      </c>
      <c r="C32" s="1227"/>
      <c r="D32" s="1227"/>
      <c r="E32" s="1227"/>
      <c r="F32" s="1227"/>
      <c r="J32" s="1222">
        <f>'Input (2)'!G14</f>
        <v>0</v>
      </c>
      <c r="K32" s="1222"/>
      <c r="L32" s="40" t="s">
        <v>28</v>
      </c>
      <c r="M32" s="41">
        <f>IF(J32=0,0,IF(Q32&lt;1,M18,12))</f>
        <v>0</v>
      </c>
      <c r="N32" s="42" t="s">
        <v>29</v>
      </c>
      <c r="O32" s="38">
        <f>ROUND(IF(J32=0,0,J32/M32),2)</f>
        <v>0</v>
      </c>
      <c r="P32" s="45"/>
      <c r="Q32" s="32">
        <f>ROUND(IF(J32=0,0,J32/12),2)</f>
        <v>0</v>
      </c>
    </row>
    <row r="33" spans="1:17" ht="11.25" customHeight="1">
      <c r="J33" s="43"/>
      <c r="K33" s="43"/>
      <c r="O33" s="43"/>
    </row>
    <row r="34" spans="1:17" ht="11.25" customHeight="1">
      <c r="B34" s="1227" t="str">
        <f>IF('Input (2)'!E15=0," ","Summer Alternative Secondary High School")</f>
        <v xml:space="preserve"> </v>
      </c>
      <c r="C34" s="1227"/>
      <c r="D34" s="1227"/>
      <c r="E34" s="1227"/>
      <c r="F34" s="1227"/>
      <c r="J34" s="1222">
        <f>'Input (2)'!E15</f>
        <v>0</v>
      </c>
      <c r="K34" s="1222"/>
      <c r="L34" s="40" t="s">
        <v>28</v>
      </c>
      <c r="M34" s="41">
        <f>IF(J34=0,0,40)</f>
        <v>0</v>
      </c>
      <c r="N34" s="42" t="s">
        <v>29</v>
      </c>
      <c r="O34" s="38">
        <f>ROUND(IF(J34=0,0,J34/M34),2)</f>
        <v>0</v>
      </c>
      <c r="P34" s="45"/>
      <c r="Q34" s="32">
        <f>ROUND(IF(J34=0,0,J34/12),2)</f>
        <v>0</v>
      </c>
    </row>
    <row r="35" spans="1:17" ht="13.5" customHeight="1">
      <c r="J35" s="36"/>
      <c r="K35" s="36"/>
      <c r="L35" s="40"/>
      <c r="M35" s="36"/>
      <c r="N35" s="42"/>
      <c r="O35" s="36"/>
      <c r="P35" s="46"/>
    </row>
    <row r="36" spans="1:17" ht="18.75" customHeight="1" thickBot="1">
      <c r="A36" s="45"/>
      <c r="B36" s="12" t="s">
        <v>40</v>
      </c>
      <c r="C36" s="46"/>
      <c r="D36" s="46"/>
      <c r="E36" s="46"/>
      <c r="F36" s="46"/>
      <c r="G36" s="46"/>
      <c r="H36" s="46"/>
      <c r="I36" s="46"/>
      <c r="J36" s="46"/>
      <c r="K36" s="46"/>
      <c r="M36" s="36"/>
      <c r="O36" s="52">
        <f>ROUND(IF(SUM(O7:O34)=0,0,SUM(O7:O34)),2)</f>
        <v>10.87</v>
      </c>
    </row>
    <row r="37" spans="1:17" ht="13.8" thickTop="1"/>
  </sheetData>
  <sheetProtection password="CDD6" sheet="1" objects="1" scenarios="1"/>
  <mergeCells count="17">
    <mergeCell ref="B30:E30"/>
    <mergeCell ref="B32:F32"/>
    <mergeCell ref="J32:K32"/>
    <mergeCell ref="B34:F34"/>
    <mergeCell ref="J34:K34"/>
    <mergeCell ref="J29:K29"/>
    <mergeCell ref="A1:O1"/>
    <mergeCell ref="A2:O2"/>
    <mergeCell ref="J5:K5"/>
    <mergeCell ref="J7:K7"/>
    <mergeCell ref="J11:K11"/>
    <mergeCell ref="J13:K13"/>
    <mergeCell ref="J16:K16"/>
    <mergeCell ref="J18:K18"/>
    <mergeCell ref="J22:K22"/>
    <mergeCell ref="J24:K24"/>
    <mergeCell ref="J26:K26"/>
  </mergeCells>
  <pageMargins left="0.5" right="0.5" top="0.5" bottom="0.5" header="0.25" footer="0.25"/>
  <pageSetup scale="76" orientation="portrait" r:id="rId1"/>
  <headerFooter alignWithMargins="0">
    <oddFooter>&amp;L&amp;F</oddFooter>
  </headerFooter>
  <colBreaks count="1" manualBreakCount="1">
    <brk id="16"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6"/>
  <dimension ref="A1:R37"/>
  <sheetViews>
    <sheetView showGridLines="0" zoomScale="90" zoomScaleNormal="100" workbookViewId="0">
      <selection activeCell="C4" sqref="C4"/>
    </sheetView>
  </sheetViews>
  <sheetFormatPr defaultRowHeight="13.2"/>
  <cols>
    <col min="1" max="1" width="4.21875" style="30" customWidth="1"/>
    <col min="2" max="2" width="2.5546875" style="2" customWidth="1"/>
    <col min="3" max="4" width="9.21875" style="2"/>
    <col min="5" max="5" width="7.21875" style="2" customWidth="1"/>
    <col min="6" max="6" width="8.21875" style="2" customWidth="1"/>
    <col min="7" max="8" width="10.21875" style="2" customWidth="1"/>
    <col min="9" max="9" width="3.77734375" style="2" customWidth="1"/>
    <col min="10" max="10" width="9.21875" style="2"/>
    <col min="11" max="11" width="6.21875" style="2" customWidth="1"/>
    <col min="12" max="12" width="5.5546875" style="2" customWidth="1"/>
    <col min="13" max="13" width="10.77734375" style="2" customWidth="1"/>
    <col min="14" max="14" width="8.21875" style="2" customWidth="1"/>
    <col min="15" max="15" width="12.21875" style="2" customWidth="1"/>
    <col min="16" max="16" width="10.21875" style="2" customWidth="1"/>
    <col min="17" max="17" width="9.21875" style="32" customWidth="1"/>
    <col min="18" max="256" width="9.21875" style="2"/>
    <col min="257" max="257" width="4.21875" style="2" customWidth="1"/>
    <col min="258" max="258" width="2.5546875" style="2" customWidth="1"/>
    <col min="259" max="260" width="9.21875" style="2"/>
    <col min="261" max="261" width="7.21875" style="2" customWidth="1"/>
    <col min="262" max="262" width="8.21875" style="2" customWidth="1"/>
    <col min="263" max="264" width="10.21875" style="2" customWidth="1"/>
    <col min="265" max="265" width="3.77734375" style="2" customWidth="1"/>
    <col min="266" max="266" width="9.21875" style="2"/>
    <col min="267" max="267" width="6.21875" style="2" customWidth="1"/>
    <col min="268" max="268" width="5.5546875" style="2" customWidth="1"/>
    <col min="269" max="269" width="10.77734375" style="2" customWidth="1"/>
    <col min="270" max="270" width="8.21875" style="2" customWidth="1"/>
    <col min="271" max="271" width="12.21875" style="2" customWidth="1"/>
    <col min="272" max="272" width="10.21875" style="2" customWidth="1"/>
    <col min="273" max="273" width="9.21875" style="2" customWidth="1"/>
    <col min="274" max="512" width="9.21875" style="2"/>
    <col min="513" max="513" width="4.21875" style="2" customWidth="1"/>
    <col min="514" max="514" width="2.5546875" style="2" customWidth="1"/>
    <col min="515" max="516" width="9.21875" style="2"/>
    <col min="517" max="517" width="7.21875" style="2" customWidth="1"/>
    <col min="518" max="518" width="8.21875" style="2" customWidth="1"/>
    <col min="519" max="520" width="10.21875" style="2" customWidth="1"/>
    <col min="521" max="521" width="3.77734375" style="2" customWidth="1"/>
    <col min="522" max="522" width="9.21875" style="2"/>
    <col min="523" max="523" width="6.21875" style="2" customWidth="1"/>
    <col min="524" max="524" width="5.5546875" style="2" customWidth="1"/>
    <col min="525" max="525" width="10.77734375" style="2" customWidth="1"/>
    <col min="526" max="526" width="8.21875" style="2" customWidth="1"/>
    <col min="527" max="527" width="12.21875" style="2" customWidth="1"/>
    <col min="528" max="528" width="10.21875" style="2" customWidth="1"/>
    <col min="529" max="529" width="9.21875" style="2" customWidth="1"/>
    <col min="530" max="768" width="9.21875" style="2"/>
    <col min="769" max="769" width="4.21875" style="2" customWidth="1"/>
    <col min="770" max="770" width="2.5546875" style="2" customWidth="1"/>
    <col min="771" max="772" width="9.21875" style="2"/>
    <col min="773" max="773" width="7.21875" style="2" customWidth="1"/>
    <col min="774" max="774" width="8.21875" style="2" customWidth="1"/>
    <col min="775" max="776" width="10.21875" style="2" customWidth="1"/>
    <col min="777" max="777" width="3.77734375" style="2" customWidth="1"/>
    <col min="778" max="778" width="9.21875" style="2"/>
    <col min="779" max="779" width="6.21875" style="2" customWidth="1"/>
    <col min="780" max="780" width="5.5546875" style="2" customWidth="1"/>
    <col min="781" max="781" width="10.77734375" style="2" customWidth="1"/>
    <col min="782" max="782" width="8.21875" style="2" customWidth="1"/>
    <col min="783" max="783" width="12.21875" style="2" customWidth="1"/>
    <col min="784" max="784" width="10.21875" style="2" customWidth="1"/>
    <col min="785" max="785" width="9.21875" style="2" customWidth="1"/>
    <col min="786" max="1024" width="9.21875" style="2"/>
    <col min="1025" max="1025" width="4.21875" style="2" customWidth="1"/>
    <col min="1026" max="1026" width="2.5546875" style="2" customWidth="1"/>
    <col min="1027" max="1028" width="9.21875" style="2"/>
    <col min="1029" max="1029" width="7.21875" style="2" customWidth="1"/>
    <col min="1030" max="1030" width="8.21875" style="2" customWidth="1"/>
    <col min="1031" max="1032" width="10.21875" style="2" customWidth="1"/>
    <col min="1033" max="1033" width="3.77734375" style="2" customWidth="1"/>
    <col min="1034" max="1034" width="9.21875" style="2"/>
    <col min="1035" max="1035" width="6.21875" style="2" customWidth="1"/>
    <col min="1036" max="1036" width="5.5546875" style="2" customWidth="1"/>
    <col min="1037" max="1037" width="10.77734375" style="2" customWidth="1"/>
    <col min="1038" max="1038" width="8.21875" style="2" customWidth="1"/>
    <col min="1039" max="1039" width="12.21875" style="2" customWidth="1"/>
    <col min="1040" max="1040" width="10.21875" style="2" customWidth="1"/>
    <col min="1041" max="1041" width="9.21875" style="2" customWidth="1"/>
    <col min="1042" max="1280" width="9.21875" style="2"/>
    <col min="1281" max="1281" width="4.21875" style="2" customWidth="1"/>
    <col min="1282" max="1282" width="2.5546875" style="2" customWidth="1"/>
    <col min="1283" max="1284" width="9.21875" style="2"/>
    <col min="1285" max="1285" width="7.21875" style="2" customWidth="1"/>
    <col min="1286" max="1286" width="8.21875" style="2" customWidth="1"/>
    <col min="1287" max="1288" width="10.21875" style="2" customWidth="1"/>
    <col min="1289" max="1289" width="3.77734375" style="2" customWidth="1"/>
    <col min="1290" max="1290" width="9.21875" style="2"/>
    <col min="1291" max="1291" width="6.21875" style="2" customWidth="1"/>
    <col min="1292" max="1292" width="5.5546875" style="2" customWidth="1"/>
    <col min="1293" max="1293" width="10.77734375" style="2" customWidth="1"/>
    <col min="1294" max="1294" width="8.21875" style="2" customWidth="1"/>
    <col min="1295" max="1295" width="12.21875" style="2" customWidth="1"/>
    <col min="1296" max="1296" width="10.21875" style="2" customWidth="1"/>
    <col min="1297" max="1297" width="9.21875" style="2" customWidth="1"/>
    <col min="1298" max="1536" width="9.21875" style="2"/>
    <col min="1537" max="1537" width="4.21875" style="2" customWidth="1"/>
    <col min="1538" max="1538" width="2.5546875" style="2" customWidth="1"/>
    <col min="1539" max="1540" width="9.21875" style="2"/>
    <col min="1541" max="1541" width="7.21875" style="2" customWidth="1"/>
    <col min="1542" max="1542" width="8.21875" style="2" customWidth="1"/>
    <col min="1543" max="1544" width="10.21875" style="2" customWidth="1"/>
    <col min="1545" max="1545" width="3.77734375" style="2" customWidth="1"/>
    <col min="1546" max="1546" width="9.21875" style="2"/>
    <col min="1547" max="1547" width="6.21875" style="2" customWidth="1"/>
    <col min="1548" max="1548" width="5.5546875" style="2" customWidth="1"/>
    <col min="1549" max="1549" width="10.77734375" style="2" customWidth="1"/>
    <col min="1550" max="1550" width="8.21875" style="2" customWidth="1"/>
    <col min="1551" max="1551" width="12.21875" style="2" customWidth="1"/>
    <col min="1552" max="1552" width="10.21875" style="2" customWidth="1"/>
    <col min="1553" max="1553" width="9.21875" style="2" customWidth="1"/>
    <col min="1554" max="1792" width="9.21875" style="2"/>
    <col min="1793" max="1793" width="4.21875" style="2" customWidth="1"/>
    <col min="1794" max="1794" width="2.5546875" style="2" customWidth="1"/>
    <col min="1795" max="1796" width="9.21875" style="2"/>
    <col min="1797" max="1797" width="7.21875" style="2" customWidth="1"/>
    <col min="1798" max="1798" width="8.21875" style="2" customWidth="1"/>
    <col min="1799" max="1800" width="10.21875" style="2" customWidth="1"/>
    <col min="1801" max="1801" width="3.77734375" style="2" customWidth="1"/>
    <col min="1802" max="1802" width="9.21875" style="2"/>
    <col min="1803" max="1803" width="6.21875" style="2" customWidth="1"/>
    <col min="1804" max="1804" width="5.5546875" style="2" customWidth="1"/>
    <col min="1805" max="1805" width="10.77734375" style="2" customWidth="1"/>
    <col min="1806" max="1806" width="8.21875" style="2" customWidth="1"/>
    <col min="1807" max="1807" width="12.21875" style="2" customWidth="1"/>
    <col min="1808" max="1808" width="10.21875" style="2" customWidth="1"/>
    <col min="1809" max="1809" width="9.21875" style="2" customWidth="1"/>
    <col min="1810" max="2048" width="9.21875" style="2"/>
    <col min="2049" max="2049" width="4.21875" style="2" customWidth="1"/>
    <col min="2050" max="2050" width="2.5546875" style="2" customWidth="1"/>
    <col min="2051" max="2052" width="9.21875" style="2"/>
    <col min="2053" max="2053" width="7.21875" style="2" customWidth="1"/>
    <col min="2054" max="2054" width="8.21875" style="2" customWidth="1"/>
    <col min="2055" max="2056" width="10.21875" style="2" customWidth="1"/>
    <col min="2057" max="2057" width="3.77734375" style="2" customWidth="1"/>
    <col min="2058" max="2058" width="9.21875" style="2"/>
    <col min="2059" max="2059" width="6.21875" style="2" customWidth="1"/>
    <col min="2060" max="2060" width="5.5546875" style="2" customWidth="1"/>
    <col min="2061" max="2061" width="10.77734375" style="2" customWidth="1"/>
    <col min="2062" max="2062" width="8.21875" style="2" customWidth="1"/>
    <col min="2063" max="2063" width="12.21875" style="2" customWidth="1"/>
    <col min="2064" max="2064" width="10.21875" style="2" customWidth="1"/>
    <col min="2065" max="2065" width="9.21875" style="2" customWidth="1"/>
    <col min="2066" max="2304" width="9.21875" style="2"/>
    <col min="2305" max="2305" width="4.21875" style="2" customWidth="1"/>
    <col min="2306" max="2306" width="2.5546875" style="2" customWidth="1"/>
    <col min="2307" max="2308" width="9.21875" style="2"/>
    <col min="2309" max="2309" width="7.21875" style="2" customWidth="1"/>
    <col min="2310" max="2310" width="8.21875" style="2" customWidth="1"/>
    <col min="2311" max="2312" width="10.21875" style="2" customWidth="1"/>
    <col min="2313" max="2313" width="3.77734375" style="2" customWidth="1"/>
    <col min="2314" max="2314" width="9.21875" style="2"/>
    <col min="2315" max="2315" width="6.21875" style="2" customWidth="1"/>
    <col min="2316" max="2316" width="5.5546875" style="2" customWidth="1"/>
    <col min="2317" max="2317" width="10.77734375" style="2" customWidth="1"/>
    <col min="2318" max="2318" width="8.21875" style="2" customWidth="1"/>
    <col min="2319" max="2319" width="12.21875" style="2" customWidth="1"/>
    <col min="2320" max="2320" width="10.21875" style="2" customWidth="1"/>
    <col min="2321" max="2321" width="9.21875" style="2" customWidth="1"/>
    <col min="2322" max="2560" width="9.21875" style="2"/>
    <col min="2561" max="2561" width="4.21875" style="2" customWidth="1"/>
    <col min="2562" max="2562" width="2.5546875" style="2" customWidth="1"/>
    <col min="2563" max="2564" width="9.21875" style="2"/>
    <col min="2565" max="2565" width="7.21875" style="2" customWidth="1"/>
    <col min="2566" max="2566" width="8.21875" style="2" customWidth="1"/>
    <col min="2567" max="2568" width="10.21875" style="2" customWidth="1"/>
    <col min="2569" max="2569" width="3.77734375" style="2" customWidth="1"/>
    <col min="2570" max="2570" width="9.21875" style="2"/>
    <col min="2571" max="2571" width="6.21875" style="2" customWidth="1"/>
    <col min="2572" max="2572" width="5.5546875" style="2" customWidth="1"/>
    <col min="2573" max="2573" width="10.77734375" style="2" customWidth="1"/>
    <col min="2574" max="2574" width="8.21875" style="2" customWidth="1"/>
    <col min="2575" max="2575" width="12.21875" style="2" customWidth="1"/>
    <col min="2576" max="2576" width="10.21875" style="2" customWidth="1"/>
    <col min="2577" max="2577" width="9.21875" style="2" customWidth="1"/>
    <col min="2578" max="2816" width="9.21875" style="2"/>
    <col min="2817" max="2817" width="4.21875" style="2" customWidth="1"/>
    <col min="2818" max="2818" width="2.5546875" style="2" customWidth="1"/>
    <col min="2819" max="2820" width="9.21875" style="2"/>
    <col min="2821" max="2821" width="7.21875" style="2" customWidth="1"/>
    <col min="2822" max="2822" width="8.21875" style="2" customWidth="1"/>
    <col min="2823" max="2824" width="10.21875" style="2" customWidth="1"/>
    <col min="2825" max="2825" width="3.77734375" style="2" customWidth="1"/>
    <col min="2826" max="2826" width="9.21875" style="2"/>
    <col min="2827" max="2827" width="6.21875" style="2" customWidth="1"/>
    <col min="2828" max="2828" width="5.5546875" style="2" customWidth="1"/>
    <col min="2829" max="2829" width="10.77734375" style="2" customWidth="1"/>
    <col min="2830" max="2830" width="8.21875" style="2" customWidth="1"/>
    <col min="2831" max="2831" width="12.21875" style="2" customWidth="1"/>
    <col min="2832" max="2832" width="10.21875" style="2" customWidth="1"/>
    <col min="2833" max="2833" width="9.21875" style="2" customWidth="1"/>
    <col min="2834" max="3072" width="9.21875" style="2"/>
    <col min="3073" max="3073" width="4.21875" style="2" customWidth="1"/>
    <col min="3074" max="3074" width="2.5546875" style="2" customWidth="1"/>
    <col min="3075" max="3076" width="9.21875" style="2"/>
    <col min="3077" max="3077" width="7.21875" style="2" customWidth="1"/>
    <col min="3078" max="3078" width="8.21875" style="2" customWidth="1"/>
    <col min="3079" max="3080" width="10.21875" style="2" customWidth="1"/>
    <col min="3081" max="3081" width="3.77734375" style="2" customWidth="1"/>
    <col min="3082" max="3082" width="9.21875" style="2"/>
    <col min="3083" max="3083" width="6.21875" style="2" customWidth="1"/>
    <col min="3084" max="3084" width="5.5546875" style="2" customWidth="1"/>
    <col min="3085" max="3085" width="10.77734375" style="2" customWidth="1"/>
    <col min="3086" max="3086" width="8.21875" style="2" customWidth="1"/>
    <col min="3087" max="3087" width="12.21875" style="2" customWidth="1"/>
    <col min="3088" max="3088" width="10.21875" style="2" customWidth="1"/>
    <col min="3089" max="3089" width="9.21875" style="2" customWidth="1"/>
    <col min="3090" max="3328" width="9.21875" style="2"/>
    <col min="3329" max="3329" width="4.21875" style="2" customWidth="1"/>
    <col min="3330" max="3330" width="2.5546875" style="2" customWidth="1"/>
    <col min="3331" max="3332" width="9.21875" style="2"/>
    <col min="3333" max="3333" width="7.21875" style="2" customWidth="1"/>
    <col min="3334" max="3334" width="8.21875" style="2" customWidth="1"/>
    <col min="3335" max="3336" width="10.21875" style="2" customWidth="1"/>
    <col min="3337" max="3337" width="3.77734375" style="2" customWidth="1"/>
    <col min="3338" max="3338" width="9.21875" style="2"/>
    <col min="3339" max="3339" width="6.21875" style="2" customWidth="1"/>
    <col min="3340" max="3340" width="5.5546875" style="2" customWidth="1"/>
    <col min="3341" max="3341" width="10.77734375" style="2" customWidth="1"/>
    <col min="3342" max="3342" width="8.21875" style="2" customWidth="1"/>
    <col min="3343" max="3343" width="12.21875" style="2" customWidth="1"/>
    <col min="3344" max="3344" width="10.21875" style="2" customWidth="1"/>
    <col min="3345" max="3345" width="9.21875" style="2" customWidth="1"/>
    <col min="3346" max="3584" width="9.21875" style="2"/>
    <col min="3585" max="3585" width="4.21875" style="2" customWidth="1"/>
    <col min="3586" max="3586" width="2.5546875" style="2" customWidth="1"/>
    <col min="3587" max="3588" width="9.21875" style="2"/>
    <col min="3589" max="3589" width="7.21875" style="2" customWidth="1"/>
    <col min="3590" max="3590" width="8.21875" style="2" customWidth="1"/>
    <col min="3591" max="3592" width="10.21875" style="2" customWidth="1"/>
    <col min="3593" max="3593" width="3.77734375" style="2" customWidth="1"/>
    <col min="3594" max="3594" width="9.21875" style="2"/>
    <col min="3595" max="3595" width="6.21875" style="2" customWidth="1"/>
    <col min="3596" max="3596" width="5.5546875" style="2" customWidth="1"/>
    <col min="3597" max="3597" width="10.77734375" style="2" customWidth="1"/>
    <col min="3598" max="3598" width="8.21875" style="2" customWidth="1"/>
    <col min="3599" max="3599" width="12.21875" style="2" customWidth="1"/>
    <col min="3600" max="3600" width="10.21875" style="2" customWidth="1"/>
    <col min="3601" max="3601" width="9.21875" style="2" customWidth="1"/>
    <col min="3602" max="3840" width="9.21875" style="2"/>
    <col min="3841" max="3841" width="4.21875" style="2" customWidth="1"/>
    <col min="3842" max="3842" width="2.5546875" style="2" customWidth="1"/>
    <col min="3843" max="3844" width="9.21875" style="2"/>
    <col min="3845" max="3845" width="7.21875" style="2" customWidth="1"/>
    <col min="3846" max="3846" width="8.21875" style="2" customWidth="1"/>
    <col min="3847" max="3848" width="10.21875" style="2" customWidth="1"/>
    <col min="3849" max="3849" width="3.77734375" style="2" customWidth="1"/>
    <col min="3850" max="3850" width="9.21875" style="2"/>
    <col min="3851" max="3851" width="6.21875" style="2" customWidth="1"/>
    <col min="3852" max="3852" width="5.5546875" style="2" customWidth="1"/>
    <col min="3853" max="3853" width="10.77734375" style="2" customWidth="1"/>
    <col min="3854" max="3854" width="8.21875" style="2" customWidth="1"/>
    <col min="3855" max="3855" width="12.21875" style="2" customWidth="1"/>
    <col min="3856" max="3856" width="10.21875" style="2" customWidth="1"/>
    <col min="3857" max="3857" width="9.21875" style="2" customWidth="1"/>
    <col min="3858" max="4096" width="9.21875" style="2"/>
    <col min="4097" max="4097" width="4.21875" style="2" customWidth="1"/>
    <col min="4098" max="4098" width="2.5546875" style="2" customWidth="1"/>
    <col min="4099" max="4100" width="9.21875" style="2"/>
    <col min="4101" max="4101" width="7.21875" style="2" customWidth="1"/>
    <col min="4102" max="4102" width="8.21875" style="2" customWidth="1"/>
    <col min="4103" max="4104" width="10.21875" style="2" customWidth="1"/>
    <col min="4105" max="4105" width="3.77734375" style="2" customWidth="1"/>
    <col min="4106" max="4106" width="9.21875" style="2"/>
    <col min="4107" max="4107" width="6.21875" style="2" customWidth="1"/>
    <col min="4108" max="4108" width="5.5546875" style="2" customWidth="1"/>
    <col min="4109" max="4109" width="10.77734375" style="2" customWidth="1"/>
    <col min="4110" max="4110" width="8.21875" style="2" customWidth="1"/>
    <col min="4111" max="4111" width="12.21875" style="2" customWidth="1"/>
    <col min="4112" max="4112" width="10.21875" style="2" customWidth="1"/>
    <col min="4113" max="4113" width="9.21875" style="2" customWidth="1"/>
    <col min="4114" max="4352" width="9.21875" style="2"/>
    <col min="4353" max="4353" width="4.21875" style="2" customWidth="1"/>
    <col min="4354" max="4354" width="2.5546875" style="2" customWidth="1"/>
    <col min="4355" max="4356" width="9.21875" style="2"/>
    <col min="4357" max="4357" width="7.21875" style="2" customWidth="1"/>
    <col min="4358" max="4358" width="8.21875" style="2" customWidth="1"/>
    <col min="4359" max="4360" width="10.21875" style="2" customWidth="1"/>
    <col min="4361" max="4361" width="3.77734375" style="2" customWidth="1"/>
    <col min="4362" max="4362" width="9.21875" style="2"/>
    <col min="4363" max="4363" width="6.21875" style="2" customWidth="1"/>
    <col min="4364" max="4364" width="5.5546875" style="2" customWidth="1"/>
    <col min="4365" max="4365" width="10.77734375" style="2" customWidth="1"/>
    <col min="4366" max="4366" width="8.21875" style="2" customWidth="1"/>
    <col min="4367" max="4367" width="12.21875" style="2" customWidth="1"/>
    <col min="4368" max="4368" width="10.21875" style="2" customWidth="1"/>
    <col min="4369" max="4369" width="9.21875" style="2" customWidth="1"/>
    <col min="4370" max="4608" width="9.21875" style="2"/>
    <col min="4609" max="4609" width="4.21875" style="2" customWidth="1"/>
    <col min="4610" max="4610" width="2.5546875" style="2" customWidth="1"/>
    <col min="4611" max="4612" width="9.21875" style="2"/>
    <col min="4613" max="4613" width="7.21875" style="2" customWidth="1"/>
    <col min="4614" max="4614" width="8.21875" style="2" customWidth="1"/>
    <col min="4615" max="4616" width="10.21875" style="2" customWidth="1"/>
    <col min="4617" max="4617" width="3.77734375" style="2" customWidth="1"/>
    <col min="4618" max="4618" width="9.21875" style="2"/>
    <col min="4619" max="4619" width="6.21875" style="2" customWidth="1"/>
    <col min="4620" max="4620" width="5.5546875" style="2" customWidth="1"/>
    <col min="4621" max="4621" width="10.77734375" style="2" customWidth="1"/>
    <col min="4622" max="4622" width="8.21875" style="2" customWidth="1"/>
    <col min="4623" max="4623" width="12.21875" style="2" customWidth="1"/>
    <col min="4624" max="4624" width="10.21875" style="2" customWidth="1"/>
    <col min="4625" max="4625" width="9.21875" style="2" customWidth="1"/>
    <col min="4626" max="4864" width="9.21875" style="2"/>
    <col min="4865" max="4865" width="4.21875" style="2" customWidth="1"/>
    <col min="4866" max="4866" width="2.5546875" style="2" customWidth="1"/>
    <col min="4867" max="4868" width="9.21875" style="2"/>
    <col min="4869" max="4869" width="7.21875" style="2" customWidth="1"/>
    <col min="4870" max="4870" width="8.21875" style="2" customWidth="1"/>
    <col min="4871" max="4872" width="10.21875" style="2" customWidth="1"/>
    <col min="4873" max="4873" width="3.77734375" style="2" customWidth="1"/>
    <col min="4874" max="4874" width="9.21875" style="2"/>
    <col min="4875" max="4875" width="6.21875" style="2" customWidth="1"/>
    <col min="4876" max="4876" width="5.5546875" style="2" customWidth="1"/>
    <col min="4877" max="4877" width="10.77734375" style="2" customWidth="1"/>
    <col min="4878" max="4878" width="8.21875" style="2" customWidth="1"/>
    <col min="4879" max="4879" width="12.21875" style="2" customWidth="1"/>
    <col min="4880" max="4880" width="10.21875" style="2" customWidth="1"/>
    <col min="4881" max="4881" width="9.21875" style="2" customWidth="1"/>
    <col min="4882" max="5120" width="9.21875" style="2"/>
    <col min="5121" max="5121" width="4.21875" style="2" customWidth="1"/>
    <col min="5122" max="5122" width="2.5546875" style="2" customWidth="1"/>
    <col min="5123" max="5124" width="9.21875" style="2"/>
    <col min="5125" max="5125" width="7.21875" style="2" customWidth="1"/>
    <col min="5126" max="5126" width="8.21875" style="2" customWidth="1"/>
    <col min="5127" max="5128" width="10.21875" style="2" customWidth="1"/>
    <col min="5129" max="5129" width="3.77734375" style="2" customWidth="1"/>
    <col min="5130" max="5130" width="9.21875" style="2"/>
    <col min="5131" max="5131" width="6.21875" style="2" customWidth="1"/>
    <col min="5132" max="5132" width="5.5546875" style="2" customWidth="1"/>
    <col min="5133" max="5133" width="10.77734375" style="2" customWidth="1"/>
    <col min="5134" max="5134" width="8.21875" style="2" customWidth="1"/>
    <col min="5135" max="5135" width="12.21875" style="2" customWidth="1"/>
    <col min="5136" max="5136" width="10.21875" style="2" customWidth="1"/>
    <col min="5137" max="5137" width="9.21875" style="2" customWidth="1"/>
    <col min="5138" max="5376" width="9.21875" style="2"/>
    <col min="5377" max="5377" width="4.21875" style="2" customWidth="1"/>
    <col min="5378" max="5378" width="2.5546875" style="2" customWidth="1"/>
    <col min="5379" max="5380" width="9.21875" style="2"/>
    <col min="5381" max="5381" width="7.21875" style="2" customWidth="1"/>
    <col min="5382" max="5382" width="8.21875" style="2" customWidth="1"/>
    <col min="5383" max="5384" width="10.21875" style="2" customWidth="1"/>
    <col min="5385" max="5385" width="3.77734375" style="2" customWidth="1"/>
    <col min="5386" max="5386" width="9.21875" style="2"/>
    <col min="5387" max="5387" width="6.21875" style="2" customWidth="1"/>
    <col min="5388" max="5388" width="5.5546875" style="2" customWidth="1"/>
    <col min="5389" max="5389" width="10.77734375" style="2" customWidth="1"/>
    <col min="5390" max="5390" width="8.21875" style="2" customWidth="1"/>
    <col min="5391" max="5391" width="12.21875" style="2" customWidth="1"/>
    <col min="5392" max="5392" width="10.21875" style="2" customWidth="1"/>
    <col min="5393" max="5393" width="9.21875" style="2" customWidth="1"/>
    <col min="5394" max="5632" width="9.21875" style="2"/>
    <col min="5633" max="5633" width="4.21875" style="2" customWidth="1"/>
    <col min="5634" max="5634" width="2.5546875" style="2" customWidth="1"/>
    <col min="5635" max="5636" width="9.21875" style="2"/>
    <col min="5637" max="5637" width="7.21875" style="2" customWidth="1"/>
    <col min="5638" max="5638" width="8.21875" style="2" customWidth="1"/>
    <col min="5639" max="5640" width="10.21875" style="2" customWidth="1"/>
    <col min="5641" max="5641" width="3.77734375" style="2" customWidth="1"/>
    <col min="5642" max="5642" width="9.21875" style="2"/>
    <col min="5643" max="5643" width="6.21875" style="2" customWidth="1"/>
    <col min="5644" max="5644" width="5.5546875" style="2" customWidth="1"/>
    <col min="5645" max="5645" width="10.77734375" style="2" customWidth="1"/>
    <col min="5646" max="5646" width="8.21875" style="2" customWidth="1"/>
    <col min="5647" max="5647" width="12.21875" style="2" customWidth="1"/>
    <col min="5648" max="5648" width="10.21875" style="2" customWidth="1"/>
    <col min="5649" max="5649" width="9.21875" style="2" customWidth="1"/>
    <col min="5650" max="5888" width="9.21875" style="2"/>
    <col min="5889" max="5889" width="4.21875" style="2" customWidth="1"/>
    <col min="5890" max="5890" width="2.5546875" style="2" customWidth="1"/>
    <col min="5891" max="5892" width="9.21875" style="2"/>
    <col min="5893" max="5893" width="7.21875" style="2" customWidth="1"/>
    <col min="5894" max="5894" width="8.21875" style="2" customWidth="1"/>
    <col min="5895" max="5896" width="10.21875" style="2" customWidth="1"/>
    <col min="5897" max="5897" width="3.77734375" style="2" customWidth="1"/>
    <col min="5898" max="5898" width="9.21875" style="2"/>
    <col min="5899" max="5899" width="6.21875" style="2" customWidth="1"/>
    <col min="5900" max="5900" width="5.5546875" style="2" customWidth="1"/>
    <col min="5901" max="5901" width="10.77734375" style="2" customWidth="1"/>
    <col min="5902" max="5902" width="8.21875" style="2" customWidth="1"/>
    <col min="5903" max="5903" width="12.21875" style="2" customWidth="1"/>
    <col min="5904" max="5904" width="10.21875" style="2" customWidth="1"/>
    <col min="5905" max="5905" width="9.21875" style="2" customWidth="1"/>
    <col min="5906" max="6144" width="9.21875" style="2"/>
    <col min="6145" max="6145" width="4.21875" style="2" customWidth="1"/>
    <col min="6146" max="6146" width="2.5546875" style="2" customWidth="1"/>
    <col min="6147" max="6148" width="9.21875" style="2"/>
    <col min="6149" max="6149" width="7.21875" style="2" customWidth="1"/>
    <col min="6150" max="6150" width="8.21875" style="2" customWidth="1"/>
    <col min="6151" max="6152" width="10.21875" style="2" customWidth="1"/>
    <col min="6153" max="6153" width="3.77734375" style="2" customWidth="1"/>
    <col min="6154" max="6154" width="9.21875" style="2"/>
    <col min="6155" max="6155" width="6.21875" style="2" customWidth="1"/>
    <col min="6156" max="6156" width="5.5546875" style="2" customWidth="1"/>
    <col min="6157" max="6157" width="10.77734375" style="2" customWidth="1"/>
    <col min="6158" max="6158" width="8.21875" style="2" customWidth="1"/>
    <col min="6159" max="6159" width="12.21875" style="2" customWidth="1"/>
    <col min="6160" max="6160" width="10.21875" style="2" customWidth="1"/>
    <col min="6161" max="6161" width="9.21875" style="2" customWidth="1"/>
    <col min="6162" max="6400" width="9.21875" style="2"/>
    <col min="6401" max="6401" width="4.21875" style="2" customWidth="1"/>
    <col min="6402" max="6402" width="2.5546875" style="2" customWidth="1"/>
    <col min="6403" max="6404" width="9.21875" style="2"/>
    <col min="6405" max="6405" width="7.21875" style="2" customWidth="1"/>
    <col min="6406" max="6406" width="8.21875" style="2" customWidth="1"/>
    <col min="6407" max="6408" width="10.21875" style="2" customWidth="1"/>
    <col min="6409" max="6409" width="3.77734375" style="2" customWidth="1"/>
    <col min="6410" max="6410" width="9.21875" style="2"/>
    <col min="6411" max="6411" width="6.21875" style="2" customWidth="1"/>
    <col min="6412" max="6412" width="5.5546875" style="2" customWidth="1"/>
    <col min="6413" max="6413" width="10.77734375" style="2" customWidth="1"/>
    <col min="6414" max="6414" width="8.21875" style="2" customWidth="1"/>
    <col min="6415" max="6415" width="12.21875" style="2" customWidth="1"/>
    <col min="6416" max="6416" width="10.21875" style="2" customWidth="1"/>
    <col min="6417" max="6417" width="9.21875" style="2" customWidth="1"/>
    <col min="6418" max="6656" width="9.21875" style="2"/>
    <col min="6657" max="6657" width="4.21875" style="2" customWidth="1"/>
    <col min="6658" max="6658" width="2.5546875" style="2" customWidth="1"/>
    <col min="6659" max="6660" width="9.21875" style="2"/>
    <col min="6661" max="6661" width="7.21875" style="2" customWidth="1"/>
    <col min="6662" max="6662" width="8.21875" style="2" customWidth="1"/>
    <col min="6663" max="6664" width="10.21875" style="2" customWidth="1"/>
    <col min="6665" max="6665" width="3.77734375" style="2" customWidth="1"/>
    <col min="6666" max="6666" width="9.21875" style="2"/>
    <col min="6667" max="6667" width="6.21875" style="2" customWidth="1"/>
    <col min="6668" max="6668" width="5.5546875" style="2" customWidth="1"/>
    <col min="6669" max="6669" width="10.77734375" style="2" customWidth="1"/>
    <col min="6670" max="6670" width="8.21875" style="2" customWidth="1"/>
    <col min="6671" max="6671" width="12.21875" style="2" customWidth="1"/>
    <col min="6672" max="6672" width="10.21875" style="2" customWidth="1"/>
    <col min="6673" max="6673" width="9.21875" style="2" customWidth="1"/>
    <col min="6674" max="6912" width="9.21875" style="2"/>
    <col min="6913" max="6913" width="4.21875" style="2" customWidth="1"/>
    <col min="6914" max="6914" width="2.5546875" style="2" customWidth="1"/>
    <col min="6915" max="6916" width="9.21875" style="2"/>
    <col min="6917" max="6917" width="7.21875" style="2" customWidth="1"/>
    <col min="6918" max="6918" width="8.21875" style="2" customWidth="1"/>
    <col min="6919" max="6920" width="10.21875" style="2" customWidth="1"/>
    <col min="6921" max="6921" width="3.77734375" style="2" customWidth="1"/>
    <col min="6922" max="6922" width="9.21875" style="2"/>
    <col min="6923" max="6923" width="6.21875" style="2" customWidth="1"/>
    <col min="6924" max="6924" width="5.5546875" style="2" customWidth="1"/>
    <col min="6925" max="6925" width="10.77734375" style="2" customWidth="1"/>
    <col min="6926" max="6926" width="8.21875" style="2" customWidth="1"/>
    <col min="6927" max="6927" width="12.21875" style="2" customWidth="1"/>
    <col min="6928" max="6928" width="10.21875" style="2" customWidth="1"/>
    <col min="6929" max="6929" width="9.21875" style="2" customWidth="1"/>
    <col min="6930" max="7168" width="9.21875" style="2"/>
    <col min="7169" max="7169" width="4.21875" style="2" customWidth="1"/>
    <col min="7170" max="7170" width="2.5546875" style="2" customWidth="1"/>
    <col min="7171" max="7172" width="9.21875" style="2"/>
    <col min="7173" max="7173" width="7.21875" style="2" customWidth="1"/>
    <col min="7174" max="7174" width="8.21875" style="2" customWidth="1"/>
    <col min="7175" max="7176" width="10.21875" style="2" customWidth="1"/>
    <col min="7177" max="7177" width="3.77734375" style="2" customWidth="1"/>
    <col min="7178" max="7178" width="9.21875" style="2"/>
    <col min="7179" max="7179" width="6.21875" style="2" customWidth="1"/>
    <col min="7180" max="7180" width="5.5546875" style="2" customWidth="1"/>
    <col min="7181" max="7181" width="10.77734375" style="2" customWidth="1"/>
    <col min="7182" max="7182" width="8.21875" style="2" customWidth="1"/>
    <col min="7183" max="7183" width="12.21875" style="2" customWidth="1"/>
    <col min="7184" max="7184" width="10.21875" style="2" customWidth="1"/>
    <col min="7185" max="7185" width="9.21875" style="2" customWidth="1"/>
    <col min="7186" max="7424" width="9.21875" style="2"/>
    <col min="7425" max="7425" width="4.21875" style="2" customWidth="1"/>
    <col min="7426" max="7426" width="2.5546875" style="2" customWidth="1"/>
    <col min="7427" max="7428" width="9.21875" style="2"/>
    <col min="7429" max="7429" width="7.21875" style="2" customWidth="1"/>
    <col min="7430" max="7430" width="8.21875" style="2" customWidth="1"/>
    <col min="7431" max="7432" width="10.21875" style="2" customWidth="1"/>
    <col min="7433" max="7433" width="3.77734375" style="2" customWidth="1"/>
    <col min="7434" max="7434" width="9.21875" style="2"/>
    <col min="7435" max="7435" width="6.21875" style="2" customWidth="1"/>
    <col min="7436" max="7436" width="5.5546875" style="2" customWidth="1"/>
    <col min="7437" max="7437" width="10.77734375" style="2" customWidth="1"/>
    <col min="7438" max="7438" width="8.21875" style="2" customWidth="1"/>
    <col min="7439" max="7439" width="12.21875" style="2" customWidth="1"/>
    <col min="7440" max="7440" width="10.21875" style="2" customWidth="1"/>
    <col min="7441" max="7441" width="9.21875" style="2" customWidth="1"/>
    <col min="7442" max="7680" width="9.21875" style="2"/>
    <col min="7681" max="7681" width="4.21875" style="2" customWidth="1"/>
    <col min="7682" max="7682" width="2.5546875" style="2" customWidth="1"/>
    <col min="7683" max="7684" width="9.21875" style="2"/>
    <col min="7685" max="7685" width="7.21875" style="2" customWidth="1"/>
    <col min="7686" max="7686" width="8.21875" style="2" customWidth="1"/>
    <col min="7687" max="7688" width="10.21875" style="2" customWidth="1"/>
    <col min="7689" max="7689" width="3.77734375" style="2" customWidth="1"/>
    <col min="7690" max="7690" width="9.21875" style="2"/>
    <col min="7691" max="7691" width="6.21875" style="2" customWidth="1"/>
    <col min="7692" max="7692" width="5.5546875" style="2" customWidth="1"/>
    <col min="7693" max="7693" width="10.77734375" style="2" customWidth="1"/>
    <col min="7694" max="7694" width="8.21875" style="2" customWidth="1"/>
    <col min="7695" max="7695" width="12.21875" style="2" customWidth="1"/>
    <col min="7696" max="7696" width="10.21875" style="2" customWidth="1"/>
    <col min="7697" max="7697" width="9.21875" style="2" customWidth="1"/>
    <col min="7698" max="7936" width="9.21875" style="2"/>
    <col min="7937" max="7937" width="4.21875" style="2" customWidth="1"/>
    <col min="7938" max="7938" width="2.5546875" style="2" customWidth="1"/>
    <col min="7939" max="7940" width="9.21875" style="2"/>
    <col min="7941" max="7941" width="7.21875" style="2" customWidth="1"/>
    <col min="7942" max="7942" width="8.21875" style="2" customWidth="1"/>
    <col min="7943" max="7944" width="10.21875" style="2" customWidth="1"/>
    <col min="7945" max="7945" width="3.77734375" style="2" customWidth="1"/>
    <col min="7946" max="7946" width="9.21875" style="2"/>
    <col min="7947" max="7947" width="6.21875" style="2" customWidth="1"/>
    <col min="7948" max="7948" width="5.5546875" style="2" customWidth="1"/>
    <col min="7949" max="7949" width="10.77734375" style="2" customWidth="1"/>
    <col min="7950" max="7950" width="8.21875" style="2" customWidth="1"/>
    <col min="7951" max="7951" width="12.21875" style="2" customWidth="1"/>
    <col min="7952" max="7952" width="10.21875" style="2" customWidth="1"/>
    <col min="7953" max="7953" width="9.21875" style="2" customWidth="1"/>
    <col min="7954" max="8192" width="9.21875" style="2"/>
    <col min="8193" max="8193" width="4.21875" style="2" customWidth="1"/>
    <col min="8194" max="8194" width="2.5546875" style="2" customWidth="1"/>
    <col min="8195" max="8196" width="9.21875" style="2"/>
    <col min="8197" max="8197" width="7.21875" style="2" customWidth="1"/>
    <col min="8198" max="8198" width="8.21875" style="2" customWidth="1"/>
    <col min="8199" max="8200" width="10.21875" style="2" customWidth="1"/>
    <col min="8201" max="8201" width="3.77734375" style="2" customWidth="1"/>
    <col min="8202" max="8202" width="9.21875" style="2"/>
    <col min="8203" max="8203" width="6.21875" style="2" customWidth="1"/>
    <col min="8204" max="8204" width="5.5546875" style="2" customWidth="1"/>
    <col min="8205" max="8205" width="10.77734375" style="2" customWidth="1"/>
    <col min="8206" max="8206" width="8.21875" style="2" customWidth="1"/>
    <col min="8207" max="8207" width="12.21875" style="2" customWidth="1"/>
    <col min="8208" max="8208" width="10.21875" style="2" customWidth="1"/>
    <col min="8209" max="8209" width="9.21875" style="2" customWidth="1"/>
    <col min="8210" max="8448" width="9.21875" style="2"/>
    <col min="8449" max="8449" width="4.21875" style="2" customWidth="1"/>
    <col min="8450" max="8450" width="2.5546875" style="2" customWidth="1"/>
    <col min="8451" max="8452" width="9.21875" style="2"/>
    <col min="8453" max="8453" width="7.21875" style="2" customWidth="1"/>
    <col min="8454" max="8454" width="8.21875" style="2" customWidth="1"/>
    <col min="8455" max="8456" width="10.21875" style="2" customWidth="1"/>
    <col min="8457" max="8457" width="3.77734375" style="2" customWidth="1"/>
    <col min="8458" max="8458" width="9.21875" style="2"/>
    <col min="8459" max="8459" width="6.21875" style="2" customWidth="1"/>
    <col min="8460" max="8460" width="5.5546875" style="2" customWidth="1"/>
    <col min="8461" max="8461" width="10.77734375" style="2" customWidth="1"/>
    <col min="8462" max="8462" width="8.21875" style="2" customWidth="1"/>
    <col min="8463" max="8463" width="12.21875" style="2" customWidth="1"/>
    <col min="8464" max="8464" width="10.21875" style="2" customWidth="1"/>
    <col min="8465" max="8465" width="9.21875" style="2" customWidth="1"/>
    <col min="8466" max="8704" width="9.21875" style="2"/>
    <col min="8705" max="8705" width="4.21875" style="2" customWidth="1"/>
    <col min="8706" max="8706" width="2.5546875" style="2" customWidth="1"/>
    <col min="8707" max="8708" width="9.21875" style="2"/>
    <col min="8709" max="8709" width="7.21875" style="2" customWidth="1"/>
    <col min="8710" max="8710" width="8.21875" style="2" customWidth="1"/>
    <col min="8711" max="8712" width="10.21875" style="2" customWidth="1"/>
    <col min="8713" max="8713" width="3.77734375" style="2" customWidth="1"/>
    <col min="8714" max="8714" width="9.21875" style="2"/>
    <col min="8715" max="8715" width="6.21875" style="2" customWidth="1"/>
    <col min="8716" max="8716" width="5.5546875" style="2" customWidth="1"/>
    <col min="8717" max="8717" width="10.77734375" style="2" customWidth="1"/>
    <col min="8718" max="8718" width="8.21875" style="2" customWidth="1"/>
    <col min="8719" max="8719" width="12.21875" style="2" customWidth="1"/>
    <col min="8720" max="8720" width="10.21875" style="2" customWidth="1"/>
    <col min="8721" max="8721" width="9.21875" style="2" customWidth="1"/>
    <col min="8722" max="8960" width="9.21875" style="2"/>
    <col min="8961" max="8961" width="4.21875" style="2" customWidth="1"/>
    <col min="8962" max="8962" width="2.5546875" style="2" customWidth="1"/>
    <col min="8963" max="8964" width="9.21875" style="2"/>
    <col min="8965" max="8965" width="7.21875" style="2" customWidth="1"/>
    <col min="8966" max="8966" width="8.21875" style="2" customWidth="1"/>
    <col min="8967" max="8968" width="10.21875" style="2" customWidth="1"/>
    <col min="8969" max="8969" width="3.77734375" style="2" customWidth="1"/>
    <col min="8970" max="8970" width="9.21875" style="2"/>
    <col min="8971" max="8971" width="6.21875" style="2" customWidth="1"/>
    <col min="8972" max="8972" width="5.5546875" style="2" customWidth="1"/>
    <col min="8973" max="8973" width="10.77734375" style="2" customWidth="1"/>
    <col min="8974" max="8974" width="8.21875" style="2" customWidth="1"/>
    <col min="8975" max="8975" width="12.21875" style="2" customWidth="1"/>
    <col min="8976" max="8976" width="10.21875" style="2" customWidth="1"/>
    <col min="8977" max="8977" width="9.21875" style="2" customWidth="1"/>
    <col min="8978" max="9216" width="9.21875" style="2"/>
    <col min="9217" max="9217" width="4.21875" style="2" customWidth="1"/>
    <col min="9218" max="9218" width="2.5546875" style="2" customWidth="1"/>
    <col min="9219" max="9220" width="9.21875" style="2"/>
    <col min="9221" max="9221" width="7.21875" style="2" customWidth="1"/>
    <col min="9222" max="9222" width="8.21875" style="2" customWidth="1"/>
    <col min="9223" max="9224" width="10.21875" style="2" customWidth="1"/>
    <col min="9225" max="9225" width="3.77734375" style="2" customWidth="1"/>
    <col min="9226" max="9226" width="9.21875" style="2"/>
    <col min="9227" max="9227" width="6.21875" style="2" customWidth="1"/>
    <col min="9228" max="9228" width="5.5546875" style="2" customWidth="1"/>
    <col min="9229" max="9229" width="10.77734375" style="2" customWidth="1"/>
    <col min="9230" max="9230" width="8.21875" style="2" customWidth="1"/>
    <col min="9231" max="9231" width="12.21875" style="2" customWidth="1"/>
    <col min="9232" max="9232" width="10.21875" style="2" customWidth="1"/>
    <col min="9233" max="9233" width="9.21875" style="2" customWidth="1"/>
    <col min="9234" max="9472" width="9.21875" style="2"/>
    <col min="9473" max="9473" width="4.21875" style="2" customWidth="1"/>
    <col min="9474" max="9474" width="2.5546875" style="2" customWidth="1"/>
    <col min="9475" max="9476" width="9.21875" style="2"/>
    <col min="9477" max="9477" width="7.21875" style="2" customWidth="1"/>
    <col min="9478" max="9478" width="8.21875" style="2" customWidth="1"/>
    <col min="9479" max="9480" width="10.21875" style="2" customWidth="1"/>
    <col min="9481" max="9481" width="3.77734375" style="2" customWidth="1"/>
    <col min="9482" max="9482" width="9.21875" style="2"/>
    <col min="9483" max="9483" width="6.21875" style="2" customWidth="1"/>
    <col min="9484" max="9484" width="5.5546875" style="2" customWidth="1"/>
    <col min="9485" max="9485" width="10.77734375" style="2" customWidth="1"/>
    <col min="9486" max="9486" width="8.21875" style="2" customWidth="1"/>
    <col min="9487" max="9487" width="12.21875" style="2" customWidth="1"/>
    <col min="9488" max="9488" width="10.21875" style="2" customWidth="1"/>
    <col min="9489" max="9489" width="9.21875" style="2" customWidth="1"/>
    <col min="9490" max="9728" width="9.21875" style="2"/>
    <col min="9729" max="9729" width="4.21875" style="2" customWidth="1"/>
    <col min="9730" max="9730" width="2.5546875" style="2" customWidth="1"/>
    <col min="9731" max="9732" width="9.21875" style="2"/>
    <col min="9733" max="9733" width="7.21875" style="2" customWidth="1"/>
    <col min="9734" max="9734" width="8.21875" style="2" customWidth="1"/>
    <col min="9735" max="9736" width="10.21875" style="2" customWidth="1"/>
    <col min="9737" max="9737" width="3.77734375" style="2" customWidth="1"/>
    <col min="9738" max="9738" width="9.21875" style="2"/>
    <col min="9739" max="9739" width="6.21875" style="2" customWidth="1"/>
    <col min="9740" max="9740" width="5.5546875" style="2" customWidth="1"/>
    <col min="9741" max="9741" width="10.77734375" style="2" customWidth="1"/>
    <col min="9742" max="9742" width="8.21875" style="2" customWidth="1"/>
    <col min="9743" max="9743" width="12.21875" style="2" customWidth="1"/>
    <col min="9744" max="9744" width="10.21875" style="2" customWidth="1"/>
    <col min="9745" max="9745" width="9.21875" style="2" customWidth="1"/>
    <col min="9746" max="9984" width="9.21875" style="2"/>
    <col min="9985" max="9985" width="4.21875" style="2" customWidth="1"/>
    <col min="9986" max="9986" width="2.5546875" style="2" customWidth="1"/>
    <col min="9987" max="9988" width="9.21875" style="2"/>
    <col min="9989" max="9989" width="7.21875" style="2" customWidth="1"/>
    <col min="9990" max="9990" width="8.21875" style="2" customWidth="1"/>
    <col min="9991" max="9992" width="10.21875" style="2" customWidth="1"/>
    <col min="9993" max="9993" width="3.77734375" style="2" customWidth="1"/>
    <col min="9994" max="9994" width="9.21875" style="2"/>
    <col min="9995" max="9995" width="6.21875" style="2" customWidth="1"/>
    <col min="9996" max="9996" width="5.5546875" style="2" customWidth="1"/>
    <col min="9997" max="9997" width="10.77734375" style="2" customWidth="1"/>
    <col min="9998" max="9998" width="8.21875" style="2" customWidth="1"/>
    <col min="9999" max="9999" width="12.21875" style="2" customWidth="1"/>
    <col min="10000" max="10000" width="10.21875" style="2" customWidth="1"/>
    <col min="10001" max="10001" width="9.21875" style="2" customWidth="1"/>
    <col min="10002" max="10240" width="9.21875" style="2"/>
    <col min="10241" max="10241" width="4.21875" style="2" customWidth="1"/>
    <col min="10242" max="10242" width="2.5546875" style="2" customWidth="1"/>
    <col min="10243" max="10244" width="9.21875" style="2"/>
    <col min="10245" max="10245" width="7.21875" style="2" customWidth="1"/>
    <col min="10246" max="10246" width="8.21875" style="2" customWidth="1"/>
    <col min="10247" max="10248" width="10.21875" style="2" customWidth="1"/>
    <col min="10249" max="10249" width="3.77734375" style="2" customWidth="1"/>
    <col min="10250" max="10250" width="9.21875" style="2"/>
    <col min="10251" max="10251" width="6.21875" style="2" customWidth="1"/>
    <col min="10252" max="10252" width="5.5546875" style="2" customWidth="1"/>
    <col min="10253" max="10253" width="10.77734375" style="2" customWidth="1"/>
    <col min="10254" max="10254" width="8.21875" style="2" customWidth="1"/>
    <col min="10255" max="10255" width="12.21875" style="2" customWidth="1"/>
    <col min="10256" max="10256" width="10.21875" style="2" customWidth="1"/>
    <col min="10257" max="10257" width="9.21875" style="2" customWidth="1"/>
    <col min="10258" max="10496" width="9.21875" style="2"/>
    <col min="10497" max="10497" width="4.21875" style="2" customWidth="1"/>
    <col min="10498" max="10498" width="2.5546875" style="2" customWidth="1"/>
    <col min="10499" max="10500" width="9.21875" style="2"/>
    <col min="10501" max="10501" width="7.21875" style="2" customWidth="1"/>
    <col min="10502" max="10502" width="8.21875" style="2" customWidth="1"/>
    <col min="10503" max="10504" width="10.21875" style="2" customWidth="1"/>
    <col min="10505" max="10505" width="3.77734375" style="2" customWidth="1"/>
    <col min="10506" max="10506" width="9.21875" style="2"/>
    <col min="10507" max="10507" width="6.21875" style="2" customWidth="1"/>
    <col min="10508" max="10508" width="5.5546875" style="2" customWidth="1"/>
    <col min="10509" max="10509" width="10.77734375" style="2" customWidth="1"/>
    <col min="10510" max="10510" width="8.21875" style="2" customWidth="1"/>
    <col min="10511" max="10511" width="12.21875" style="2" customWidth="1"/>
    <col min="10512" max="10512" width="10.21875" style="2" customWidth="1"/>
    <col min="10513" max="10513" width="9.21875" style="2" customWidth="1"/>
    <col min="10514" max="10752" width="9.21875" style="2"/>
    <col min="10753" max="10753" width="4.21875" style="2" customWidth="1"/>
    <col min="10754" max="10754" width="2.5546875" style="2" customWidth="1"/>
    <col min="10755" max="10756" width="9.21875" style="2"/>
    <col min="10757" max="10757" width="7.21875" style="2" customWidth="1"/>
    <col min="10758" max="10758" width="8.21875" style="2" customWidth="1"/>
    <col min="10759" max="10760" width="10.21875" style="2" customWidth="1"/>
    <col min="10761" max="10761" width="3.77734375" style="2" customWidth="1"/>
    <col min="10762" max="10762" width="9.21875" style="2"/>
    <col min="10763" max="10763" width="6.21875" style="2" customWidth="1"/>
    <col min="10764" max="10764" width="5.5546875" style="2" customWidth="1"/>
    <col min="10765" max="10765" width="10.77734375" style="2" customWidth="1"/>
    <col min="10766" max="10766" width="8.21875" style="2" customWidth="1"/>
    <col min="10767" max="10767" width="12.21875" style="2" customWidth="1"/>
    <col min="10768" max="10768" width="10.21875" style="2" customWidth="1"/>
    <col min="10769" max="10769" width="9.21875" style="2" customWidth="1"/>
    <col min="10770" max="11008" width="9.21875" style="2"/>
    <col min="11009" max="11009" width="4.21875" style="2" customWidth="1"/>
    <col min="11010" max="11010" width="2.5546875" style="2" customWidth="1"/>
    <col min="11011" max="11012" width="9.21875" style="2"/>
    <col min="11013" max="11013" width="7.21875" style="2" customWidth="1"/>
    <col min="11014" max="11014" width="8.21875" style="2" customWidth="1"/>
    <col min="11015" max="11016" width="10.21875" style="2" customWidth="1"/>
    <col min="11017" max="11017" width="3.77734375" style="2" customWidth="1"/>
    <col min="11018" max="11018" width="9.21875" style="2"/>
    <col min="11019" max="11019" width="6.21875" style="2" customWidth="1"/>
    <col min="11020" max="11020" width="5.5546875" style="2" customWidth="1"/>
    <col min="11021" max="11021" width="10.77734375" style="2" customWidth="1"/>
    <col min="11022" max="11022" width="8.21875" style="2" customWidth="1"/>
    <col min="11023" max="11023" width="12.21875" style="2" customWidth="1"/>
    <col min="11024" max="11024" width="10.21875" style="2" customWidth="1"/>
    <col min="11025" max="11025" width="9.21875" style="2" customWidth="1"/>
    <col min="11026" max="11264" width="9.21875" style="2"/>
    <col min="11265" max="11265" width="4.21875" style="2" customWidth="1"/>
    <col min="11266" max="11266" width="2.5546875" style="2" customWidth="1"/>
    <col min="11267" max="11268" width="9.21875" style="2"/>
    <col min="11269" max="11269" width="7.21875" style="2" customWidth="1"/>
    <col min="11270" max="11270" width="8.21875" style="2" customWidth="1"/>
    <col min="11271" max="11272" width="10.21875" style="2" customWidth="1"/>
    <col min="11273" max="11273" width="3.77734375" style="2" customWidth="1"/>
    <col min="11274" max="11274" width="9.21875" style="2"/>
    <col min="11275" max="11275" width="6.21875" style="2" customWidth="1"/>
    <col min="11276" max="11276" width="5.5546875" style="2" customWidth="1"/>
    <col min="11277" max="11277" width="10.77734375" style="2" customWidth="1"/>
    <col min="11278" max="11278" width="8.21875" style="2" customWidth="1"/>
    <col min="11279" max="11279" width="12.21875" style="2" customWidth="1"/>
    <col min="11280" max="11280" width="10.21875" style="2" customWidth="1"/>
    <col min="11281" max="11281" width="9.21875" style="2" customWidth="1"/>
    <col min="11282" max="11520" width="9.21875" style="2"/>
    <col min="11521" max="11521" width="4.21875" style="2" customWidth="1"/>
    <col min="11522" max="11522" width="2.5546875" style="2" customWidth="1"/>
    <col min="11523" max="11524" width="9.21875" style="2"/>
    <col min="11525" max="11525" width="7.21875" style="2" customWidth="1"/>
    <col min="11526" max="11526" width="8.21875" style="2" customWidth="1"/>
    <col min="11527" max="11528" width="10.21875" style="2" customWidth="1"/>
    <col min="11529" max="11529" width="3.77734375" style="2" customWidth="1"/>
    <col min="11530" max="11530" width="9.21875" style="2"/>
    <col min="11531" max="11531" width="6.21875" style="2" customWidth="1"/>
    <col min="11532" max="11532" width="5.5546875" style="2" customWidth="1"/>
    <col min="11533" max="11533" width="10.77734375" style="2" customWidth="1"/>
    <col min="11534" max="11534" width="8.21875" style="2" customWidth="1"/>
    <col min="11535" max="11535" width="12.21875" style="2" customWidth="1"/>
    <col min="11536" max="11536" width="10.21875" style="2" customWidth="1"/>
    <col min="11537" max="11537" width="9.21875" style="2" customWidth="1"/>
    <col min="11538" max="11776" width="9.21875" style="2"/>
    <col min="11777" max="11777" width="4.21875" style="2" customWidth="1"/>
    <col min="11778" max="11778" width="2.5546875" style="2" customWidth="1"/>
    <col min="11779" max="11780" width="9.21875" style="2"/>
    <col min="11781" max="11781" width="7.21875" style="2" customWidth="1"/>
    <col min="11782" max="11782" width="8.21875" style="2" customWidth="1"/>
    <col min="11783" max="11784" width="10.21875" style="2" customWidth="1"/>
    <col min="11785" max="11785" width="3.77734375" style="2" customWidth="1"/>
    <col min="11786" max="11786" width="9.21875" style="2"/>
    <col min="11787" max="11787" width="6.21875" style="2" customWidth="1"/>
    <col min="11788" max="11788" width="5.5546875" style="2" customWidth="1"/>
    <col min="11789" max="11789" width="10.77734375" style="2" customWidth="1"/>
    <col min="11790" max="11790" width="8.21875" style="2" customWidth="1"/>
    <col min="11791" max="11791" width="12.21875" style="2" customWidth="1"/>
    <col min="11792" max="11792" width="10.21875" style="2" customWidth="1"/>
    <col min="11793" max="11793" width="9.21875" style="2" customWidth="1"/>
    <col min="11794" max="12032" width="9.21875" style="2"/>
    <col min="12033" max="12033" width="4.21875" style="2" customWidth="1"/>
    <col min="12034" max="12034" width="2.5546875" style="2" customWidth="1"/>
    <col min="12035" max="12036" width="9.21875" style="2"/>
    <col min="12037" max="12037" width="7.21875" style="2" customWidth="1"/>
    <col min="12038" max="12038" width="8.21875" style="2" customWidth="1"/>
    <col min="12039" max="12040" width="10.21875" style="2" customWidth="1"/>
    <col min="12041" max="12041" width="3.77734375" style="2" customWidth="1"/>
    <col min="12042" max="12042" width="9.21875" style="2"/>
    <col min="12043" max="12043" width="6.21875" style="2" customWidth="1"/>
    <col min="12044" max="12044" width="5.5546875" style="2" customWidth="1"/>
    <col min="12045" max="12045" width="10.77734375" style="2" customWidth="1"/>
    <col min="12046" max="12046" width="8.21875" style="2" customWidth="1"/>
    <col min="12047" max="12047" width="12.21875" style="2" customWidth="1"/>
    <col min="12048" max="12048" width="10.21875" style="2" customWidth="1"/>
    <col min="12049" max="12049" width="9.21875" style="2" customWidth="1"/>
    <col min="12050" max="12288" width="9.21875" style="2"/>
    <col min="12289" max="12289" width="4.21875" style="2" customWidth="1"/>
    <col min="12290" max="12290" width="2.5546875" style="2" customWidth="1"/>
    <col min="12291" max="12292" width="9.21875" style="2"/>
    <col min="12293" max="12293" width="7.21875" style="2" customWidth="1"/>
    <col min="12294" max="12294" width="8.21875" style="2" customWidth="1"/>
    <col min="12295" max="12296" width="10.21875" style="2" customWidth="1"/>
    <col min="12297" max="12297" width="3.77734375" style="2" customWidth="1"/>
    <col min="12298" max="12298" width="9.21875" style="2"/>
    <col min="12299" max="12299" width="6.21875" style="2" customWidth="1"/>
    <col min="12300" max="12300" width="5.5546875" style="2" customWidth="1"/>
    <col min="12301" max="12301" width="10.77734375" style="2" customWidth="1"/>
    <col min="12302" max="12302" width="8.21875" style="2" customWidth="1"/>
    <col min="12303" max="12303" width="12.21875" style="2" customWidth="1"/>
    <col min="12304" max="12304" width="10.21875" style="2" customWidth="1"/>
    <col min="12305" max="12305" width="9.21875" style="2" customWidth="1"/>
    <col min="12306" max="12544" width="9.21875" style="2"/>
    <col min="12545" max="12545" width="4.21875" style="2" customWidth="1"/>
    <col min="12546" max="12546" width="2.5546875" style="2" customWidth="1"/>
    <col min="12547" max="12548" width="9.21875" style="2"/>
    <col min="12549" max="12549" width="7.21875" style="2" customWidth="1"/>
    <col min="12550" max="12550" width="8.21875" style="2" customWidth="1"/>
    <col min="12551" max="12552" width="10.21875" style="2" customWidth="1"/>
    <col min="12553" max="12553" width="3.77734375" style="2" customWidth="1"/>
    <col min="12554" max="12554" width="9.21875" style="2"/>
    <col min="12555" max="12555" width="6.21875" style="2" customWidth="1"/>
    <col min="12556" max="12556" width="5.5546875" style="2" customWidth="1"/>
    <col min="12557" max="12557" width="10.77734375" style="2" customWidth="1"/>
    <col min="12558" max="12558" width="8.21875" style="2" customWidth="1"/>
    <col min="12559" max="12559" width="12.21875" style="2" customWidth="1"/>
    <col min="12560" max="12560" width="10.21875" style="2" customWidth="1"/>
    <col min="12561" max="12561" width="9.21875" style="2" customWidth="1"/>
    <col min="12562" max="12800" width="9.21875" style="2"/>
    <col min="12801" max="12801" width="4.21875" style="2" customWidth="1"/>
    <col min="12802" max="12802" width="2.5546875" style="2" customWidth="1"/>
    <col min="12803" max="12804" width="9.21875" style="2"/>
    <col min="12805" max="12805" width="7.21875" style="2" customWidth="1"/>
    <col min="12806" max="12806" width="8.21875" style="2" customWidth="1"/>
    <col min="12807" max="12808" width="10.21875" style="2" customWidth="1"/>
    <col min="12809" max="12809" width="3.77734375" style="2" customWidth="1"/>
    <col min="12810" max="12810" width="9.21875" style="2"/>
    <col min="12811" max="12811" width="6.21875" style="2" customWidth="1"/>
    <col min="12812" max="12812" width="5.5546875" style="2" customWidth="1"/>
    <col min="12813" max="12813" width="10.77734375" style="2" customWidth="1"/>
    <col min="12814" max="12814" width="8.21875" style="2" customWidth="1"/>
    <col min="12815" max="12815" width="12.21875" style="2" customWidth="1"/>
    <col min="12816" max="12816" width="10.21875" style="2" customWidth="1"/>
    <col min="12817" max="12817" width="9.21875" style="2" customWidth="1"/>
    <col min="12818" max="13056" width="9.21875" style="2"/>
    <col min="13057" max="13057" width="4.21875" style="2" customWidth="1"/>
    <col min="13058" max="13058" width="2.5546875" style="2" customWidth="1"/>
    <col min="13059" max="13060" width="9.21875" style="2"/>
    <col min="13061" max="13061" width="7.21875" style="2" customWidth="1"/>
    <col min="13062" max="13062" width="8.21875" style="2" customWidth="1"/>
    <col min="13063" max="13064" width="10.21875" style="2" customWidth="1"/>
    <col min="13065" max="13065" width="3.77734375" style="2" customWidth="1"/>
    <col min="13066" max="13066" width="9.21875" style="2"/>
    <col min="13067" max="13067" width="6.21875" style="2" customWidth="1"/>
    <col min="13068" max="13068" width="5.5546875" style="2" customWidth="1"/>
    <col min="13069" max="13069" width="10.77734375" style="2" customWidth="1"/>
    <col min="13070" max="13070" width="8.21875" style="2" customWidth="1"/>
    <col min="13071" max="13071" width="12.21875" style="2" customWidth="1"/>
    <col min="13072" max="13072" width="10.21875" style="2" customWidth="1"/>
    <col min="13073" max="13073" width="9.21875" style="2" customWidth="1"/>
    <col min="13074" max="13312" width="9.21875" style="2"/>
    <col min="13313" max="13313" width="4.21875" style="2" customWidth="1"/>
    <col min="13314" max="13314" width="2.5546875" style="2" customWidth="1"/>
    <col min="13315" max="13316" width="9.21875" style="2"/>
    <col min="13317" max="13317" width="7.21875" style="2" customWidth="1"/>
    <col min="13318" max="13318" width="8.21875" style="2" customWidth="1"/>
    <col min="13319" max="13320" width="10.21875" style="2" customWidth="1"/>
    <col min="13321" max="13321" width="3.77734375" style="2" customWidth="1"/>
    <col min="13322" max="13322" width="9.21875" style="2"/>
    <col min="13323" max="13323" width="6.21875" style="2" customWidth="1"/>
    <col min="13324" max="13324" width="5.5546875" style="2" customWidth="1"/>
    <col min="13325" max="13325" width="10.77734375" style="2" customWidth="1"/>
    <col min="13326" max="13326" width="8.21875" style="2" customWidth="1"/>
    <col min="13327" max="13327" width="12.21875" style="2" customWidth="1"/>
    <col min="13328" max="13328" width="10.21875" style="2" customWidth="1"/>
    <col min="13329" max="13329" width="9.21875" style="2" customWidth="1"/>
    <col min="13330" max="13568" width="9.21875" style="2"/>
    <col min="13569" max="13569" width="4.21875" style="2" customWidth="1"/>
    <col min="13570" max="13570" width="2.5546875" style="2" customWidth="1"/>
    <col min="13571" max="13572" width="9.21875" style="2"/>
    <col min="13573" max="13573" width="7.21875" style="2" customWidth="1"/>
    <col min="13574" max="13574" width="8.21875" style="2" customWidth="1"/>
    <col min="13575" max="13576" width="10.21875" style="2" customWidth="1"/>
    <col min="13577" max="13577" width="3.77734375" style="2" customWidth="1"/>
    <col min="13578" max="13578" width="9.21875" style="2"/>
    <col min="13579" max="13579" width="6.21875" style="2" customWidth="1"/>
    <col min="13580" max="13580" width="5.5546875" style="2" customWidth="1"/>
    <col min="13581" max="13581" width="10.77734375" style="2" customWidth="1"/>
    <col min="13582" max="13582" width="8.21875" style="2" customWidth="1"/>
    <col min="13583" max="13583" width="12.21875" style="2" customWidth="1"/>
    <col min="13584" max="13584" width="10.21875" style="2" customWidth="1"/>
    <col min="13585" max="13585" width="9.21875" style="2" customWidth="1"/>
    <col min="13586" max="13824" width="9.21875" style="2"/>
    <col min="13825" max="13825" width="4.21875" style="2" customWidth="1"/>
    <col min="13826" max="13826" width="2.5546875" style="2" customWidth="1"/>
    <col min="13827" max="13828" width="9.21875" style="2"/>
    <col min="13829" max="13829" width="7.21875" style="2" customWidth="1"/>
    <col min="13830" max="13830" width="8.21875" style="2" customWidth="1"/>
    <col min="13831" max="13832" width="10.21875" style="2" customWidth="1"/>
    <col min="13833" max="13833" width="3.77734375" style="2" customWidth="1"/>
    <col min="13834" max="13834" width="9.21875" style="2"/>
    <col min="13835" max="13835" width="6.21875" style="2" customWidth="1"/>
    <col min="13836" max="13836" width="5.5546875" style="2" customWidth="1"/>
    <col min="13837" max="13837" width="10.77734375" style="2" customWidth="1"/>
    <col min="13838" max="13838" width="8.21875" style="2" customWidth="1"/>
    <col min="13839" max="13839" width="12.21875" style="2" customWidth="1"/>
    <col min="13840" max="13840" width="10.21875" style="2" customWidth="1"/>
    <col min="13841" max="13841" width="9.21875" style="2" customWidth="1"/>
    <col min="13842" max="14080" width="9.21875" style="2"/>
    <col min="14081" max="14081" width="4.21875" style="2" customWidth="1"/>
    <col min="14082" max="14082" width="2.5546875" style="2" customWidth="1"/>
    <col min="14083" max="14084" width="9.21875" style="2"/>
    <col min="14085" max="14085" width="7.21875" style="2" customWidth="1"/>
    <col min="14086" max="14086" width="8.21875" style="2" customWidth="1"/>
    <col min="14087" max="14088" width="10.21875" style="2" customWidth="1"/>
    <col min="14089" max="14089" width="3.77734375" style="2" customWidth="1"/>
    <col min="14090" max="14090" width="9.21875" style="2"/>
    <col min="14091" max="14091" width="6.21875" style="2" customWidth="1"/>
    <col min="14092" max="14092" width="5.5546875" style="2" customWidth="1"/>
    <col min="14093" max="14093" width="10.77734375" style="2" customWidth="1"/>
    <col min="14094" max="14094" width="8.21875" style="2" customWidth="1"/>
    <col min="14095" max="14095" width="12.21875" style="2" customWidth="1"/>
    <col min="14096" max="14096" width="10.21875" style="2" customWidth="1"/>
    <col min="14097" max="14097" width="9.21875" style="2" customWidth="1"/>
    <col min="14098" max="14336" width="9.21875" style="2"/>
    <col min="14337" max="14337" width="4.21875" style="2" customWidth="1"/>
    <col min="14338" max="14338" width="2.5546875" style="2" customWidth="1"/>
    <col min="14339" max="14340" width="9.21875" style="2"/>
    <col min="14341" max="14341" width="7.21875" style="2" customWidth="1"/>
    <col min="14342" max="14342" width="8.21875" style="2" customWidth="1"/>
    <col min="14343" max="14344" width="10.21875" style="2" customWidth="1"/>
    <col min="14345" max="14345" width="3.77734375" style="2" customWidth="1"/>
    <col min="14346" max="14346" width="9.21875" style="2"/>
    <col min="14347" max="14347" width="6.21875" style="2" customWidth="1"/>
    <col min="14348" max="14348" width="5.5546875" style="2" customWidth="1"/>
    <col min="14349" max="14349" width="10.77734375" style="2" customWidth="1"/>
    <col min="14350" max="14350" width="8.21875" style="2" customWidth="1"/>
    <col min="14351" max="14351" width="12.21875" style="2" customWidth="1"/>
    <col min="14352" max="14352" width="10.21875" style="2" customWidth="1"/>
    <col min="14353" max="14353" width="9.21875" style="2" customWidth="1"/>
    <col min="14354" max="14592" width="9.21875" style="2"/>
    <col min="14593" max="14593" width="4.21875" style="2" customWidth="1"/>
    <col min="14594" max="14594" width="2.5546875" style="2" customWidth="1"/>
    <col min="14595" max="14596" width="9.21875" style="2"/>
    <col min="14597" max="14597" width="7.21875" style="2" customWidth="1"/>
    <col min="14598" max="14598" width="8.21875" style="2" customWidth="1"/>
    <col min="14599" max="14600" width="10.21875" style="2" customWidth="1"/>
    <col min="14601" max="14601" width="3.77734375" style="2" customWidth="1"/>
    <col min="14602" max="14602" width="9.21875" style="2"/>
    <col min="14603" max="14603" width="6.21875" style="2" customWidth="1"/>
    <col min="14604" max="14604" width="5.5546875" style="2" customWidth="1"/>
    <col min="14605" max="14605" width="10.77734375" style="2" customWidth="1"/>
    <col min="14606" max="14606" width="8.21875" style="2" customWidth="1"/>
    <col min="14607" max="14607" width="12.21875" style="2" customWidth="1"/>
    <col min="14608" max="14608" width="10.21875" style="2" customWidth="1"/>
    <col min="14609" max="14609" width="9.21875" style="2" customWidth="1"/>
    <col min="14610" max="14848" width="9.21875" style="2"/>
    <col min="14849" max="14849" width="4.21875" style="2" customWidth="1"/>
    <col min="14850" max="14850" width="2.5546875" style="2" customWidth="1"/>
    <col min="14851" max="14852" width="9.21875" style="2"/>
    <col min="14853" max="14853" width="7.21875" style="2" customWidth="1"/>
    <col min="14854" max="14854" width="8.21875" style="2" customWidth="1"/>
    <col min="14855" max="14856" width="10.21875" style="2" customWidth="1"/>
    <col min="14857" max="14857" width="3.77734375" style="2" customWidth="1"/>
    <col min="14858" max="14858" width="9.21875" style="2"/>
    <col min="14859" max="14859" width="6.21875" style="2" customWidth="1"/>
    <col min="14860" max="14860" width="5.5546875" style="2" customWidth="1"/>
    <col min="14861" max="14861" width="10.77734375" style="2" customWidth="1"/>
    <col min="14862" max="14862" width="8.21875" style="2" customWidth="1"/>
    <col min="14863" max="14863" width="12.21875" style="2" customWidth="1"/>
    <col min="14864" max="14864" width="10.21875" style="2" customWidth="1"/>
    <col min="14865" max="14865" width="9.21875" style="2" customWidth="1"/>
    <col min="14866" max="15104" width="9.21875" style="2"/>
    <col min="15105" max="15105" width="4.21875" style="2" customWidth="1"/>
    <col min="15106" max="15106" width="2.5546875" style="2" customWidth="1"/>
    <col min="15107" max="15108" width="9.21875" style="2"/>
    <col min="15109" max="15109" width="7.21875" style="2" customWidth="1"/>
    <col min="15110" max="15110" width="8.21875" style="2" customWidth="1"/>
    <col min="15111" max="15112" width="10.21875" style="2" customWidth="1"/>
    <col min="15113" max="15113" width="3.77734375" style="2" customWidth="1"/>
    <col min="15114" max="15114" width="9.21875" style="2"/>
    <col min="15115" max="15115" width="6.21875" style="2" customWidth="1"/>
    <col min="15116" max="15116" width="5.5546875" style="2" customWidth="1"/>
    <col min="15117" max="15117" width="10.77734375" style="2" customWidth="1"/>
    <col min="15118" max="15118" width="8.21875" style="2" customWidth="1"/>
    <col min="15119" max="15119" width="12.21875" style="2" customWidth="1"/>
    <col min="15120" max="15120" width="10.21875" style="2" customWidth="1"/>
    <col min="15121" max="15121" width="9.21875" style="2" customWidth="1"/>
    <col min="15122" max="15360" width="9.21875" style="2"/>
    <col min="15361" max="15361" width="4.21875" style="2" customWidth="1"/>
    <col min="15362" max="15362" width="2.5546875" style="2" customWidth="1"/>
    <col min="15363" max="15364" width="9.21875" style="2"/>
    <col min="15365" max="15365" width="7.21875" style="2" customWidth="1"/>
    <col min="15366" max="15366" width="8.21875" style="2" customWidth="1"/>
    <col min="15367" max="15368" width="10.21875" style="2" customWidth="1"/>
    <col min="15369" max="15369" width="3.77734375" style="2" customWidth="1"/>
    <col min="15370" max="15370" width="9.21875" style="2"/>
    <col min="15371" max="15371" width="6.21875" style="2" customWidth="1"/>
    <col min="15372" max="15372" width="5.5546875" style="2" customWidth="1"/>
    <col min="15373" max="15373" width="10.77734375" style="2" customWidth="1"/>
    <col min="15374" max="15374" width="8.21875" style="2" customWidth="1"/>
    <col min="15375" max="15375" width="12.21875" style="2" customWidth="1"/>
    <col min="15376" max="15376" width="10.21875" style="2" customWidth="1"/>
    <col min="15377" max="15377" width="9.21875" style="2" customWidth="1"/>
    <col min="15378" max="15616" width="9.21875" style="2"/>
    <col min="15617" max="15617" width="4.21875" style="2" customWidth="1"/>
    <col min="15618" max="15618" width="2.5546875" style="2" customWidth="1"/>
    <col min="15619" max="15620" width="9.21875" style="2"/>
    <col min="15621" max="15621" width="7.21875" style="2" customWidth="1"/>
    <col min="15622" max="15622" width="8.21875" style="2" customWidth="1"/>
    <col min="15623" max="15624" width="10.21875" style="2" customWidth="1"/>
    <col min="15625" max="15625" width="3.77734375" style="2" customWidth="1"/>
    <col min="15626" max="15626" width="9.21875" style="2"/>
    <col min="15627" max="15627" width="6.21875" style="2" customWidth="1"/>
    <col min="15628" max="15628" width="5.5546875" style="2" customWidth="1"/>
    <col min="15629" max="15629" width="10.77734375" style="2" customWidth="1"/>
    <col min="15630" max="15630" width="8.21875" style="2" customWidth="1"/>
    <col min="15631" max="15631" width="12.21875" style="2" customWidth="1"/>
    <col min="15632" max="15632" width="10.21875" style="2" customWidth="1"/>
    <col min="15633" max="15633" width="9.21875" style="2" customWidth="1"/>
    <col min="15634" max="15872" width="9.21875" style="2"/>
    <col min="15873" max="15873" width="4.21875" style="2" customWidth="1"/>
    <col min="15874" max="15874" width="2.5546875" style="2" customWidth="1"/>
    <col min="15875" max="15876" width="9.21875" style="2"/>
    <col min="15877" max="15877" width="7.21875" style="2" customWidth="1"/>
    <col min="15878" max="15878" width="8.21875" style="2" customWidth="1"/>
    <col min="15879" max="15880" width="10.21875" style="2" customWidth="1"/>
    <col min="15881" max="15881" width="3.77734375" style="2" customWidth="1"/>
    <col min="15882" max="15882" width="9.21875" style="2"/>
    <col min="15883" max="15883" width="6.21875" style="2" customWidth="1"/>
    <col min="15884" max="15884" width="5.5546875" style="2" customWidth="1"/>
    <col min="15885" max="15885" width="10.77734375" style="2" customWidth="1"/>
    <col min="15886" max="15886" width="8.21875" style="2" customWidth="1"/>
    <col min="15887" max="15887" width="12.21875" style="2" customWidth="1"/>
    <col min="15888" max="15888" width="10.21875" style="2" customWidth="1"/>
    <col min="15889" max="15889" width="9.21875" style="2" customWidth="1"/>
    <col min="15890" max="16128" width="9.21875" style="2"/>
    <col min="16129" max="16129" width="4.21875" style="2" customWidth="1"/>
    <col min="16130" max="16130" width="2.5546875" style="2" customWidth="1"/>
    <col min="16131" max="16132" width="9.21875" style="2"/>
    <col min="16133" max="16133" width="7.21875" style="2" customWidth="1"/>
    <col min="16134" max="16134" width="8.21875" style="2" customWidth="1"/>
    <col min="16135" max="16136" width="10.21875" style="2" customWidth="1"/>
    <col min="16137" max="16137" width="3.77734375" style="2" customWidth="1"/>
    <col min="16138" max="16138" width="9.21875" style="2"/>
    <col min="16139" max="16139" width="6.21875" style="2" customWidth="1"/>
    <col min="16140" max="16140" width="5.5546875" style="2" customWidth="1"/>
    <col min="16141" max="16141" width="10.77734375" style="2" customWidth="1"/>
    <col min="16142" max="16142" width="8.21875" style="2" customWidth="1"/>
    <col min="16143" max="16143" width="12.21875" style="2" customWidth="1"/>
    <col min="16144" max="16144" width="10.21875" style="2" customWidth="1"/>
    <col min="16145" max="16145" width="9.21875" style="2" customWidth="1"/>
    <col min="16146" max="16384" width="9.21875" style="2"/>
  </cols>
  <sheetData>
    <row r="1" spans="1:18" ht="15.6">
      <c r="A1" s="1220" t="s">
        <v>20</v>
      </c>
      <c r="B1" s="1220"/>
      <c r="C1" s="1220"/>
      <c r="D1" s="1220"/>
      <c r="E1" s="1220"/>
      <c r="F1" s="1220"/>
      <c r="G1" s="1220"/>
      <c r="H1" s="1220"/>
      <c r="I1" s="1220"/>
      <c r="J1" s="1220"/>
      <c r="K1" s="1220"/>
      <c r="L1" s="1220"/>
      <c r="M1" s="1220"/>
      <c r="N1" s="1220"/>
      <c r="O1" s="1220"/>
      <c r="P1" s="49"/>
      <c r="Q1" s="50"/>
      <c r="R1" s="49"/>
    </row>
    <row r="2" spans="1:18" ht="15.6">
      <c r="A2" s="1220" t="s">
        <v>42</v>
      </c>
      <c r="B2" s="1220"/>
      <c r="C2" s="1220"/>
      <c r="D2" s="1220"/>
      <c r="E2" s="1220"/>
      <c r="F2" s="1220"/>
      <c r="G2" s="1220"/>
      <c r="H2" s="1220"/>
      <c r="I2" s="1220"/>
      <c r="J2" s="1220"/>
      <c r="K2" s="1220"/>
      <c r="L2" s="1220"/>
      <c r="M2" s="1220"/>
      <c r="N2" s="1220"/>
      <c r="O2" s="1220"/>
    </row>
    <row r="3" spans="1:18" ht="15" customHeight="1">
      <c r="A3" s="1225" t="s">
        <v>48</v>
      </c>
      <c r="B3" s="1225"/>
      <c r="C3" s="1225"/>
      <c r="D3" s="1225"/>
      <c r="E3" s="1225"/>
      <c r="F3" s="1225"/>
      <c r="G3" s="1225"/>
      <c r="H3" s="1225"/>
      <c r="I3" s="1225"/>
      <c r="J3" s="1225"/>
      <c r="K3" s="1225"/>
      <c r="L3" s="1225"/>
      <c r="M3" s="1225"/>
      <c r="N3" s="1225"/>
      <c r="O3" s="1225"/>
    </row>
    <row r="4" spans="1:18" ht="7.5" customHeight="1"/>
    <row r="5" spans="1:18" ht="39" customHeight="1">
      <c r="A5" s="33" t="s">
        <v>22</v>
      </c>
      <c r="F5" s="34" t="s">
        <v>23</v>
      </c>
      <c r="H5" s="35" t="s">
        <v>24</v>
      </c>
      <c r="I5" s="36"/>
      <c r="J5" s="1221" t="s">
        <v>25</v>
      </c>
      <c r="K5" s="1217"/>
      <c r="M5" s="3" t="s">
        <v>26</v>
      </c>
      <c r="O5" s="37" t="s">
        <v>27</v>
      </c>
    </row>
    <row r="6" spans="1:18" ht="6.75" customHeight="1"/>
    <row r="7" spans="1:18" ht="15">
      <c r="B7" s="5" t="s">
        <v>6</v>
      </c>
      <c r="F7" s="38" t="str">
        <f>IF('Input (2)'!$G$4=0," ",'Input (2)'!$G$4)</f>
        <v xml:space="preserve"> </v>
      </c>
      <c r="G7" s="39"/>
      <c r="J7" s="1222" t="str">
        <f>IF('Input (2)'!G4=0,"0",'Input (2)'!G4)</f>
        <v>0</v>
      </c>
      <c r="K7" s="1222"/>
      <c r="L7" s="40" t="s">
        <v>28</v>
      </c>
      <c r="M7" s="41">
        <f>IF('Input (2)'!G4=0,0,LOOKUP(J7,'criteria (2)'!$A$3:$A$10,'criteria (2)'!$B$3:$B$10))</f>
        <v>0</v>
      </c>
      <c r="N7" s="42" t="s">
        <v>29</v>
      </c>
      <c r="O7" s="38">
        <f>IF(Q7=0,0,IF(Q7&lt;LOOKUP(J7,'criteria (2)'!$A$3:$A$10,'criteria (2)'!$C$3:$C$10),LOOKUP(J7,'criteria (2)'!$A$3:$A$10,'criteria (2)'!$C$3:$C$10),IF(LOOKUP(J7,'criteria (2)'!$A$3:$A$10,'criteria (2)'!$C$3:$C$10)=0,0,Q7)))</f>
        <v>0</v>
      </c>
      <c r="P7" s="28" t="str">
        <f>IF('Input (2)'!G4=0," ",IF(O7=0,"ADD to 1-6",IF(O7=Q7," ","Minimum")))</f>
        <v xml:space="preserve"> </v>
      </c>
      <c r="Q7" s="32">
        <f>ROUND(IF('Input (2)'!G4=0,0,IF(M7=0,0,(J7/M7))),2)</f>
        <v>0</v>
      </c>
    </row>
    <row r="8" spans="1:18" ht="6.75" customHeight="1">
      <c r="J8" s="43"/>
      <c r="K8" s="43"/>
      <c r="O8" s="43"/>
    </row>
    <row r="9" spans="1:18">
      <c r="B9" s="5" t="s">
        <v>7</v>
      </c>
      <c r="J9" s="43"/>
      <c r="K9" s="43"/>
      <c r="O9" s="43"/>
    </row>
    <row r="10" spans="1:18">
      <c r="B10" s="28" t="s">
        <v>30</v>
      </c>
      <c r="J10" s="43"/>
      <c r="K10" s="43"/>
      <c r="O10" s="43"/>
    </row>
    <row r="11" spans="1:18" ht="16.5" customHeight="1">
      <c r="C11" s="12" t="s">
        <v>8</v>
      </c>
      <c r="F11" s="41" t="str">
        <f>IF(J11=0," ",IF($J$16&gt;300," ",'Input (2)'!G7))</f>
        <v xml:space="preserve"> </v>
      </c>
      <c r="G11" s="44" t="s">
        <v>31</v>
      </c>
      <c r="H11" s="38" t="str">
        <f>IF(J11=0," ",'C (2)'!H25)</f>
        <v xml:space="preserve"> </v>
      </c>
      <c r="I11" s="42" t="s">
        <v>29</v>
      </c>
      <c r="J11" s="1222">
        <f>IF('Input (2)'!G7=0,0,IF(SUM('Input (2)'!G7-'C (2)'!H25)+SUM('Input (2)'!G8-'C (2)'!H26)&gt;299.99,SUM('Input (2)'!G7-'C (2)'!H25),0))</f>
        <v>0</v>
      </c>
      <c r="K11" s="1222"/>
      <c r="L11" s="40" t="s">
        <v>28</v>
      </c>
      <c r="M11" s="41">
        <f>IF(SUM('Input (2)'!$G$7-'C (2)'!$H$25)+SUM('Input (2)'!$G$8-'C (2)'!$H$26)&gt;299.99,20,0)</f>
        <v>0</v>
      </c>
      <c r="N11" s="42" t="s">
        <v>29</v>
      </c>
      <c r="O11" s="38">
        <f>ROUND(IF(SUM('Input (2)'!$G$7-'C (2)'!$H$25)+SUM('Input (2)'!$G$8-'C (2)'!$H$26)&lt;299.99,0,IF(Q11+Q13&lt;15,0,(J11/M11))),2)</f>
        <v>0</v>
      </c>
      <c r="P11" s="2" t="str">
        <f>IF(O11=0," ",IF(O11=Q11," ","Minimum"))</f>
        <v xml:space="preserve"> </v>
      </c>
      <c r="Q11" s="32">
        <f>ROUND(IF(SUM('Input (2)'!$G$7-'C (2)'!$H$25)+SUM('Input (2)'!$G$8-'C (2)'!$H$26)&lt;299.99,0,(J11/M11)),2)</f>
        <v>0</v>
      </c>
    </row>
    <row r="12" spans="1:18" ht="9" customHeight="1">
      <c r="B12" s="12"/>
      <c r="J12" s="43"/>
      <c r="K12" s="43"/>
      <c r="O12" s="43"/>
    </row>
    <row r="13" spans="1:18" ht="15">
      <c r="C13" s="12" t="s">
        <v>9</v>
      </c>
      <c r="F13" s="41" t="str">
        <f>IF(J13=0," ",IF($J$16&gt;300," ",'Input (2)'!G8))</f>
        <v xml:space="preserve"> </v>
      </c>
      <c r="G13" s="44" t="s">
        <v>31</v>
      </c>
      <c r="H13" s="38" t="str">
        <f>IF(J13=0," ",'C (2)'!H26)</f>
        <v xml:space="preserve"> </v>
      </c>
      <c r="I13" s="42" t="s">
        <v>29</v>
      </c>
      <c r="J13" s="1222">
        <f>IF('Input (2)'!G8=0,0,IF(SUM('Input (2)'!G7-'C (2)'!H25)+SUM('Input (2)'!G8-'C (2)'!H26)&gt;299.99,SUM('Input (2)'!G8-'C (2)'!H26),0))</f>
        <v>0</v>
      </c>
      <c r="K13" s="1222"/>
      <c r="L13" s="40" t="s">
        <v>28</v>
      </c>
      <c r="M13" s="41">
        <f>IF(SUM('Input (2)'!$G$7-'C (2)'!$H$25)+SUM('Input (2)'!$G$8-'C (2)'!$H$26)&gt;299.99,23,0)</f>
        <v>0</v>
      </c>
      <c r="N13" s="42" t="s">
        <v>29</v>
      </c>
      <c r="O13" s="38">
        <f>ROUND(IF(SUM('Input (2)'!$G$7-'C (2)'!$H$25)+SUM('Input (2)'!$G$8-'C (2)'!$H$26)&lt;299.99,0,IF(Q11+Q13&lt;15,0,($J$13/$M$13))),2)</f>
        <v>0</v>
      </c>
      <c r="P13" s="2" t="str">
        <f>IF(O13=0," ",IF(O13=Q13," ","Minimum"))</f>
        <v xml:space="preserve"> </v>
      </c>
      <c r="Q13" s="32">
        <f>ROUND(IF(SUM('Input (2)'!$G$7-'C (2)'!$H$25)+SUM('Input (2)'!$G$8-'C (2)'!$H$26)&lt;299.99,0,($J$13/$M$13)),2)</f>
        <v>0</v>
      </c>
    </row>
    <row r="14" spans="1:18" ht="15">
      <c r="B14" s="5" t="s">
        <v>7</v>
      </c>
      <c r="F14" s="36"/>
      <c r="G14" s="44"/>
      <c r="H14" s="39"/>
      <c r="I14" s="42"/>
      <c r="O14" s="39" t="str">
        <f>IF(P14="Minimum",15," ")</f>
        <v xml:space="preserve"> </v>
      </c>
      <c r="P14" s="2" t="str">
        <f>IF(Q11+Q13=0," ",IF(Q11+Q13&lt;15,"Minimum"," "))</f>
        <v xml:space="preserve"> </v>
      </c>
    </row>
    <row r="15" spans="1:18">
      <c r="B15" s="28" t="s">
        <v>32</v>
      </c>
      <c r="O15" s="43"/>
    </row>
    <row r="16" spans="1:18" ht="15">
      <c r="C16" s="12" t="s">
        <v>33</v>
      </c>
      <c r="F16" s="41">
        <f>IF(J16=0," ",IF(J16&lt;300,SUM('Input (2)'!G7+'Input (2)'!G8)," "))</f>
        <v>57</v>
      </c>
      <c r="G16" s="44" t="s">
        <v>31</v>
      </c>
      <c r="H16" s="38">
        <f>IF(J16=0," ",'C (2)'!H22)</f>
        <v>3.5999999999999996</v>
      </c>
      <c r="I16" s="42" t="s">
        <v>29</v>
      </c>
      <c r="J16" s="1222">
        <f>IF('Input (2)'!G9=0,0,IF(SUM('Input (2)'!G7-'C (2)'!H25)+SUM('Input (2)'!G8-'C (2)'!H26)&lt;300,IF(P7="ADD to 1-6",SUM('Input (2)'!G7-'C (2)'!H25)+SUM('Input (2)'!G8-'C (2)'!H26)+'Input (2)'!G4,SUM('Input (2)'!G7-'C (2)'!H25)+SUM('Input (2)'!G8-'C (2)'!H26)),0))</f>
        <v>53.4</v>
      </c>
      <c r="K16" s="1222"/>
      <c r="L16" s="40" t="s">
        <v>28</v>
      </c>
      <c r="M16" s="41">
        <f>IF(SUM('Input (2)'!$G$7-'C (2)'!$H$25)+SUM('Input (2)'!$G$8-'C (2)'!$H$26)&lt;299.99,LOOKUP(J16,'criteria (2)'!$M$3:$M$11,'criteria (2)'!$N$3:$N$11),0)</f>
        <v>15</v>
      </c>
      <c r="N16" s="42" t="s">
        <v>29</v>
      </c>
      <c r="O16" s="38">
        <f>IF(Q16=0,0,IF(Q16&lt;LOOKUP(J16,'criteria (2)'!$M$3:$M$10,'criteria (2)'!$O$3:$O$10),LOOKUP(J16,'criteria (2)'!$M$3:$M$10,'criteria (2)'!$O$3:$O$10),Q16))</f>
        <v>4</v>
      </c>
      <c r="P16" s="2" t="str">
        <f>IF(O16=0," ",IF(O16=Q16," ","Minimum"))</f>
        <v>Minimum</v>
      </c>
      <c r="Q16" s="32">
        <f>ROUND(IF('Input (2)'!G9=0,0,IF(SUM('Input (2)'!$G$7-'C (2)'!$H$25)+SUM('Input (2)'!$G$8-'C (2)'!$H$26)&gt;299.99,0,(J16/M16))),2)</f>
        <v>3.56</v>
      </c>
    </row>
    <row r="17" spans="1:17" ht="6" customHeight="1">
      <c r="J17" s="43"/>
      <c r="K17" s="43"/>
      <c r="O17" s="43"/>
    </row>
    <row r="18" spans="1:17" ht="15">
      <c r="B18" s="5" t="s">
        <v>10</v>
      </c>
      <c r="F18" s="41">
        <f>IF(J18=0," ",'Input (2)'!G10)</f>
        <v>77.899999999999991</v>
      </c>
      <c r="G18" s="44" t="s">
        <v>31</v>
      </c>
      <c r="H18" s="38"/>
      <c r="I18" s="42" t="s">
        <v>29</v>
      </c>
      <c r="J18" s="1222">
        <f>IF('Input (2)'!G10=0,0,'Input (2)'!G10)</f>
        <v>77.899999999999991</v>
      </c>
      <c r="K18" s="1222"/>
      <c r="L18" s="40" t="s">
        <v>28</v>
      </c>
      <c r="M18" s="41">
        <f>IF(J18=0,0,IF(J18&gt;99.99,LOOKUP(J18,'criteria (2)'!Q3:Q10,'criteria (2)'!R3:R10),12))</f>
        <v>12</v>
      </c>
      <c r="N18" s="42" t="s">
        <v>29</v>
      </c>
      <c r="O18" s="38">
        <f>ROUND(IF(J18=0,0,IF(J18&lt;99.99,IF(M18=0,8,(J18/M18)),IF(Q18&lt;LOOKUP(J18,'criteria (2)'!$Q$3:$Q$10,'criteria (2)'!$S$3:$S$10),LOOKUP(J18,'criteria (2)'!$Q$3:$Q$10,'criteria (2)'!$S$3:$S$10),Q18))),2)</f>
        <v>6.49</v>
      </c>
      <c r="P18" s="2" t="str">
        <f>IF(O18=0," ",IF(O18=Q18," ","Minimum"))</f>
        <v xml:space="preserve"> </v>
      </c>
      <c r="Q18" s="32">
        <f>ROUND(IF(M18=0,0,(J18/M18)),2)</f>
        <v>6.49</v>
      </c>
    </row>
    <row r="19" spans="1:17">
      <c r="B19" s="5"/>
      <c r="J19" s="39"/>
      <c r="K19" s="39"/>
      <c r="M19" s="36"/>
      <c r="N19" s="42"/>
      <c r="O19" s="36"/>
    </row>
    <row r="20" spans="1:17" ht="15.6">
      <c r="A20" s="48" t="s">
        <v>43</v>
      </c>
      <c r="J20" s="43"/>
      <c r="K20" s="43"/>
    </row>
    <row r="21" spans="1:17" ht="3.75" customHeight="1">
      <c r="J21" s="43"/>
      <c r="K21" s="43"/>
    </row>
    <row r="22" spans="1:17">
      <c r="B22" s="2" t="s">
        <v>44</v>
      </c>
      <c r="J22" s="1222" t="str">
        <f>IF('C (2)'!H55=0," ",'C (2)'!H55)</f>
        <v xml:space="preserve"> </v>
      </c>
      <c r="K22" s="1222"/>
    </row>
    <row r="23" spans="1:17" ht="6" customHeight="1">
      <c r="J23" s="43"/>
      <c r="K23" s="43"/>
    </row>
    <row r="24" spans="1:17">
      <c r="B24" s="2" t="s">
        <v>45</v>
      </c>
      <c r="J24" s="1222">
        <f>IF('C (2)'!H22=0," ",'C (2)'!H22)</f>
        <v>3.5999999999999996</v>
      </c>
      <c r="K24" s="1222"/>
    </row>
    <row r="25" spans="1:17" ht="6" customHeight="1">
      <c r="J25" s="43"/>
      <c r="K25" s="43"/>
    </row>
    <row r="26" spans="1:17">
      <c r="B26" s="2" t="s">
        <v>46</v>
      </c>
      <c r="J26" s="1222">
        <f>0</f>
        <v>0</v>
      </c>
      <c r="K26" s="1222"/>
    </row>
    <row r="27" spans="1:17" ht="6" customHeight="1">
      <c r="J27" s="43"/>
      <c r="K27" s="43"/>
    </row>
    <row r="28" spans="1:17" ht="6" customHeight="1">
      <c r="J28" s="39"/>
      <c r="K28" s="39"/>
    </row>
    <row r="29" spans="1:17" ht="13.5" customHeight="1" thickBot="1">
      <c r="B29" s="46" t="s">
        <v>47</v>
      </c>
      <c r="J29" s="1219">
        <f>SUM(J22:K27)</f>
        <v>3.5999999999999996</v>
      </c>
      <c r="K29" s="1219"/>
      <c r="L29" s="40" t="s">
        <v>28</v>
      </c>
      <c r="M29" s="41">
        <f>IF(SUM('Input (2)'!C4:C10)=0,0,IF(J29&gt;=14,LOOKUP(J29,'criteria (2)'!$U$3:$U$10,'criteria (2)'!$V$3:$V$10),0))</f>
        <v>0</v>
      </c>
      <c r="N29" s="42" t="s">
        <v>29</v>
      </c>
      <c r="O29" s="38">
        <f>IF(J29=0,0,IF(Q29&lt;LOOKUP(J29,'criteria (2)'!$U$3:$U$10,'criteria (2)'!$W$3:$W$10),LOOKUP(J29,'criteria (2)'!$U$3:$U$10,'criteria (2)'!$W$3:$W$10),Q29))</f>
        <v>0.25</v>
      </c>
      <c r="P29" s="2" t="str">
        <f>IF(O29=0," ",IF(O29=Q29," ","Minimum"))</f>
        <v>Minimum</v>
      </c>
      <c r="Q29" s="32">
        <f>ROUND(IF(SUM('Input (2)'!C4:C10)=0,0,IF(M29=0,0,(J29/M29))),2)</f>
        <v>0</v>
      </c>
    </row>
    <row r="30" spans="1:17" ht="12" customHeight="1" thickTop="1">
      <c r="B30" s="1226"/>
      <c r="C30" s="1226"/>
      <c r="D30" s="1226"/>
      <c r="E30" s="1226"/>
      <c r="F30" s="47"/>
      <c r="G30" s="47"/>
      <c r="H30" s="47"/>
      <c r="J30" s="12"/>
      <c r="N30" s="42"/>
      <c r="O30" s="39"/>
      <c r="P30" s="46"/>
    </row>
    <row r="31" spans="1:17" ht="19.5" customHeight="1">
      <c r="A31" s="48" t="s">
        <v>39</v>
      </c>
      <c r="O31" s="43"/>
    </row>
    <row r="32" spans="1:17" ht="15">
      <c r="B32" s="1227" t="str">
        <f>IF('Input (2)'!E14=0," ","Alternative Secondary High School")</f>
        <v xml:space="preserve"> </v>
      </c>
      <c r="C32" s="1227"/>
      <c r="D32" s="1227"/>
      <c r="E32" s="1227"/>
      <c r="F32" s="1227"/>
      <c r="J32" s="1222">
        <f>'Input (2)'!G14</f>
        <v>0</v>
      </c>
      <c r="K32" s="1222"/>
      <c r="L32" s="40" t="s">
        <v>28</v>
      </c>
      <c r="M32" s="41">
        <f>IF(J32=0,0,IF(Q32&lt;1,M18,12))</f>
        <v>0</v>
      </c>
      <c r="N32" s="42" t="s">
        <v>29</v>
      </c>
      <c r="O32" s="38">
        <f>ROUND(IF(J32=0,0,J32/M32),2)</f>
        <v>0</v>
      </c>
      <c r="P32" s="45"/>
      <c r="Q32" s="32">
        <f>ROUND(IF(J32=0,0,J32/12),2)</f>
        <v>0</v>
      </c>
    </row>
    <row r="33" spans="1:17" ht="11.25" customHeight="1">
      <c r="J33" s="43"/>
      <c r="K33" s="43"/>
      <c r="O33" s="43"/>
    </row>
    <row r="34" spans="1:17" ht="11.25" customHeight="1">
      <c r="B34" s="1227" t="str">
        <f>IF('Input (2)'!E15=0," ","Summer Alternative Secondary High School")</f>
        <v xml:space="preserve"> </v>
      </c>
      <c r="C34" s="1227"/>
      <c r="D34" s="1227"/>
      <c r="E34" s="1227"/>
      <c r="F34" s="1227"/>
      <c r="J34" s="1222">
        <f>'Input (2)'!E15</f>
        <v>0</v>
      </c>
      <c r="K34" s="1222"/>
      <c r="L34" s="40" t="s">
        <v>28</v>
      </c>
      <c r="M34" s="41">
        <f>IF(J34=0,0,40)</f>
        <v>0</v>
      </c>
      <c r="N34" s="42" t="s">
        <v>29</v>
      </c>
      <c r="O34" s="38">
        <f>ROUND(IF(J34=0,0,J34/M34),2)</f>
        <v>0</v>
      </c>
      <c r="P34" s="45"/>
      <c r="Q34" s="32">
        <f>ROUND(IF(J34=0,0,J34/12),2)</f>
        <v>0</v>
      </c>
    </row>
    <row r="35" spans="1:17" ht="13.5" customHeight="1">
      <c r="J35" s="36"/>
      <c r="K35" s="36"/>
      <c r="L35" s="40"/>
      <c r="M35" s="36"/>
      <c r="N35" s="42"/>
      <c r="O35" s="36"/>
      <c r="P35" s="46"/>
    </row>
    <row r="36" spans="1:17" ht="18.75" customHeight="1" thickBot="1">
      <c r="A36" s="45"/>
      <c r="B36" s="12" t="s">
        <v>40</v>
      </c>
      <c r="C36" s="46"/>
      <c r="D36" s="46"/>
      <c r="E36" s="46"/>
      <c r="F36" s="46"/>
      <c r="G36" s="46"/>
      <c r="H36" s="46"/>
      <c r="I36" s="46"/>
      <c r="J36" s="46"/>
      <c r="K36" s="46"/>
      <c r="M36" s="36"/>
      <c r="O36" s="52">
        <f>ROUND(IF(SUM(O7:O34)=0,0,SUM(O7:O34)),2)</f>
        <v>10.74</v>
      </c>
    </row>
    <row r="37" spans="1:17" ht="13.8" thickTop="1">
      <c r="M37" s="1218" t="str">
        <f>IF(O36=0," ",IF(O36&lt;'Best 28 (2)'!O36,"Do Not Use","You May Use this Calculation"))</f>
        <v>Do Not Use</v>
      </c>
      <c r="N37" s="1218"/>
      <c r="O37" s="1218"/>
      <c r="P37" s="1218"/>
    </row>
  </sheetData>
  <sheetProtection password="CDD6" sheet="1" objects="1" scenarios="1"/>
  <mergeCells count="19">
    <mergeCell ref="M37:P37"/>
    <mergeCell ref="J29:K29"/>
    <mergeCell ref="B30:E30"/>
    <mergeCell ref="B32:F32"/>
    <mergeCell ref="J32:K32"/>
    <mergeCell ref="B34:F34"/>
    <mergeCell ref="J34:K34"/>
    <mergeCell ref="J26:K26"/>
    <mergeCell ref="A1:O1"/>
    <mergeCell ref="A2:O2"/>
    <mergeCell ref="A3:O3"/>
    <mergeCell ref="J5:K5"/>
    <mergeCell ref="J7:K7"/>
    <mergeCell ref="J11:K11"/>
    <mergeCell ref="J13:K13"/>
    <mergeCell ref="J16:K16"/>
    <mergeCell ref="J18:K18"/>
    <mergeCell ref="J22:K22"/>
    <mergeCell ref="J24:K24"/>
  </mergeCells>
  <conditionalFormatting sqref="M37:P37">
    <cfRule type="cellIs" dxfId="45" priority="1" stopIfTrue="1" operator="equal">
      <formula>"Do Not Use"</formula>
    </cfRule>
    <cfRule type="cellIs" dxfId="44" priority="2" stopIfTrue="1" operator="equal">
      <formula>"You May Use this Calculation"</formula>
    </cfRule>
  </conditionalFormatting>
  <pageMargins left="0.5" right="0.5" top="0.5" bottom="0.5" header="0.25" footer="0.25"/>
  <pageSetup scale="76" orientation="portrait" r:id="rId1"/>
  <headerFooter alignWithMargins="0">
    <oddFooter>&amp;L&amp;F</oddFooter>
  </headerFooter>
  <colBreaks count="1" manualBreakCount="1">
    <brk id="16"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dimension ref="A1:K57"/>
  <sheetViews>
    <sheetView showGridLines="0" zoomScaleNormal="100" workbookViewId="0">
      <selection activeCell="C4" sqref="C4"/>
    </sheetView>
  </sheetViews>
  <sheetFormatPr defaultRowHeight="13.2"/>
  <cols>
    <col min="1" max="1" width="6" style="30" customWidth="1"/>
    <col min="2" max="5" width="9.21875" style="2"/>
    <col min="6" max="6" width="17.21875" style="2" customWidth="1"/>
    <col min="7" max="7" width="2.77734375" style="30" customWidth="1"/>
    <col min="8" max="9" width="9.21875" style="2"/>
    <col min="10" max="10" width="6.5546875" style="2" customWidth="1"/>
    <col min="11" max="11" width="10.21875" style="2" bestFit="1" customWidth="1"/>
    <col min="12" max="256" width="9.21875" style="2"/>
    <col min="257" max="257" width="6" style="2" customWidth="1"/>
    <col min="258" max="261" width="9.21875" style="2"/>
    <col min="262" max="262" width="17.21875" style="2" customWidth="1"/>
    <col min="263" max="263" width="2.77734375" style="2" customWidth="1"/>
    <col min="264" max="265" width="9.21875" style="2"/>
    <col min="266" max="266" width="6.5546875" style="2" customWidth="1"/>
    <col min="267" max="267" width="10.21875" style="2" bestFit="1" customWidth="1"/>
    <col min="268" max="512" width="9.21875" style="2"/>
    <col min="513" max="513" width="6" style="2" customWidth="1"/>
    <col min="514" max="517" width="9.21875" style="2"/>
    <col min="518" max="518" width="17.21875" style="2" customWidth="1"/>
    <col min="519" max="519" width="2.77734375" style="2" customWidth="1"/>
    <col min="520" max="521" width="9.21875" style="2"/>
    <col min="522" max="522" width="6.5546875" style="2" customWidth="1"/>
    <col min="523" max="523" width="10.21875" style="2" bestFit="1" customWidth="1"/>
    <col min="524" max="768" width="9.21875" style="2"/>
    <col min="769" max="769" width="6" style="2" customWidth="1"/>
    <col min="770" max="773" width="9.21875" style="2"/>
    <col min="774" max="774" width="17.21875" style="2" customWidth="1"/>
    <col min="775" max="775" width="2.77734375" style="2" customWidth="1"/>
    <col min="776" max="777" width="9.21875" style="2"/>
    <col min="778" max="778" width="6.5546875" style="2" customWidth="1"/>
    <col min="779" max="779" width="10.21875" style="2" bestFit="1" customWidth="1"/>
    <col min="780" max="1024" width="9.21875" style="2"/>
    <col min="1025" max="1025" width="6" style="2" customWidth="1"/>
    <col min="1026" max="1029" width="9.21875" style="2"/>
    <col min="1030" max="1030" width="17.21875" style="2" customWidth="1"/>
    <col min="1031" max="1031" width="2.77734375" style="2" customWidth="1"/>
    <col min="1032" max="1033" width="9.21875" style="2"/>
    <col min="1034" max="1034" width="6.5546875" style="2" customWidth="1"/>
    <col min="1035" max="1035" width="10.21875" style="2" bestFit="1" customWidth="1"/>
    <col min="1036" max="1280" width="9.21875" style="2"/>
    <col min="1281" max="1281" width="6" style="2" customWidth="1"/>
    <col min="1282" max="1285" width="9.21875" style="2"/>
    <col min="1286" max="1286" width="17.21875" style="2" customWidth="1"/>
    <col min="1287" max="1287" width="2.77734375" style="2" customWidth="1"/>
    <col min="1288" max="1289" width="9.21875" style="2"/>
    <col min="1290" max="1290" width="6.5546875" style="2" customWidth="1"/>
    <col min="1291" max="1291" width="10.21875" style="2" bestFit="1" customWidth="1"/>
    <col min="1292" max="1536" width="9.21875" style="2"/>
    <col min="1537" max="1537" width="6" style="2" customWidth="1"/>
    <col min="1538" max="1541" width="9.21875" style="2"/>
    <col min="1542" max="1542" width="17.21875" style="2" customWidth="1"/>
    <col min="1543" max="1543" width="2.77734375" style="2" customWidth="1"/>
    <col min="1544" max="1545" width="9.21875" style="2"/>
    <col min="1546" max="1546" width="6.5546875" style="2" customWidth="1"/>
    <col min="1547" max="1547" width="10.21875" style="2" bestFit="1" customWidth="1"/>
    <col min="1548" max="1792" width="9.21875" style="2"/>
    <col min="1793" max="1793" width="6" style="2" customWidth="1"/>
    <col min="1794" max="1797" width="9.21875" style="2"/>
    <col min="1798" max="1798" width="17.21875" style="2" customWidth="1"/>
    <col min="1799" max="1799" width="2.77734375" style="2" customWidth="1"/>
    <col min="1800" max="1801" width="9.21875" style="2"/>
    <col min="1802" max="1802" width="6.5546875" style="2" customWidth="1"/>
    <col min="1803" max="1803" width="10.21875" style="2" bestFit="1" customWidth="1"/>
    <col min="1804" max="2048" width="9.21875" style="2"/>
    <col min="2049" max="2049" width="6" style="2" customWidth="1"/>
    <col min="2050" max="2053" width="9.21875" style="2"/>
    <col min="2054" max="2054" width="17.21875" style="2" customWidth="1"/>
    <col min="2055" max="2055" width="2.77734375" style="2" customWidth="1"/>
    <col min="2056" max="2057" width="9.21875" style="2"/>
    <col min="2058" max="2058" width="6.5546875" style="2" customWidth="1"/>
    <col min="2059" max="2059" width="10.21875" style="2" bestFit="1" customWidth="1"/>
    <col min="2060" max="2304" width="9.21875" style="2"/>
    <col min="2305" max="2305" width="6" style="2" customWidth="1"/>
    <col min="2306" max="2309" width="9.21875" style="2"/>
    <col min="2310" max="2310" width="17.21875" style="2" customWidth="1"/>
    <col min="2311" max="2311" width="2.77734375" style="2" customWidth="1"/>
    <col min="2312" max="2313" width="9.21875" style="2"/>
    <col min="2314" max="2314" width="6.5546875" style="2" customWidth="1"/>
    <col min="2315" max="2315" width="10.21875" style="2" bestFit="1" customWidth="1"/>
    <col min="2316" max="2560" width="9.21875" style="2"/>
    <col min="2561" max="2561" width="6" style="2" customWidth="1"/>
    <col min="2562" max="2565" width="9.21875" style="2"/>
    <col min="2566" max="2566" width="17.21875" style="2" customWidth="1"/>
    <col min="2567" max="2567" width="2.77734375" style="2" customWidth="1"/>
    <col min="2568" max="2569" width="9.21875" style="2"/>
    <col min="2570" max="2570" width="6.5546875" style="2" customWidth="1"/>
    <col min="2571" max="2571" width="10.21875" style="2" bestFit="1" customWidth="1"/>
    <col min="2572" max="2816" width="9.21875" style="2"/>
    <col min="2817" max="2817" width="6" style="2" customWidth="1"/>
    <col min="2818" max="2821" width="9.21875" style="2"/>
    <col min="2822" max="2822" width="17.21875" style="2" customWidth="1"/>
    <col min="2823" max="2823" width="2.77734375" style="2" customWidth="1"/>
    <col min="2824" max="2825" width="9.21875" style="2"/>
    <col min="2826" max="2826" width="6.5546875" style="2" customWidth="1"/>
    <col min="2827" max="2827" width="10.21875" style="2" bestFit="1" customWidth="1"/>
    <col min="2828" max="3072" width="9.21875" style="2"/>
    <col min="3073" max="3073" width="6" style="2" customWidth="1"/>
    <col min="3074" max="3077" width="9.21875" style="2"/>
    <col min="3078" max="3078" width="17.21875" style="2" customWidth="1"/>
    <col min="3079" max="3079" width="2.77734375" style="2" customWidth="1"/>
    <col min="3080" max="3081" width="9.21875" style="2"/>
    <col min="3082" max="3082" width="6.5546875" style="2" customWidth="1"/>
    <col min="3083" max="3083" width="10.21875" style="2" bestFit="1" customWidth="1"/>
    <col min="3084" max="3328" width="9.21875" style="2"/>
    <col min="3329" max="3329" width="6" style="2" customWidth="1"/>
    <col min="3330" max="3333" width="9.21875" style="2"/>
    <col min="3334" max="3334" width="17.21875" style="2" customWidth="1"/>
    <col min="3335" max="3335" width="2.77734375" style="2" customWidth="1"/>
    <col min="3336" max="3337" width="9.21875" style="2"/>
    <col min="3338" max="3338" width="6.5546875" style="2" customWidth="1"/>
    <col min="3339" max="3339" width="10.21875" style="2" bestFit="1" customWidth="1"/>
    <col min="3340" max="3584" width="9.21875" style="2"/>
    <col min="3585" max="3585" width="6" style="2" customWidth="1"/>
    <col min="3586" max="3589" width="9.21875" style="2"/>
    <col min="3590" max="3590" width="17.21875" style="2" customWidth="1"/>
    <col min="3591" max="3591" width="2.77734375" style="2" customWidth="1"/>
    <col min="3592" max="3593" width="9.21875" style="2"/>
    <col min="3594" max="3594" width="6.5546875" style="2" customWidth="1"/>
    <col min="3595" max="3595" width="10.21875" style="2" bestFit="1" customWidth="1"/>
    <col min="3596" max="3840" width="9.21875" style="2"/>
    <col min="3841" max="3841" width="6" style="2" customWidth="1"/>
    <col min="3842" max="3845" width="9.21875" style="2"/>
    <col min="3846" max="3846" width="17.21875" style="2" customWidth="1"/>
    <col min="3847" max="3847" width="2.77734375" style="2" customWidth="1"/>
    <col min="3848" max="3849" width="9.21875" style="2"/>
    <col min="3850" max="3850" width="6.5546875" style="2" customWidth="1"/>
    <col min="3851" max="3851" width="10.21875" style="2" bestFit="1" customWidth="1"/>
    <col min="3852" max="4096" width="9.21875" style="2"/>
    <col min="4097" max="4097" width="6" style="2" customWidth="1"/>
    <col min="4098" max="4101" width="9.21875" style="2"/>
    <col min="4102" max="4102" width="17.21875" style="2" customWidth="1"/>
    <col min="4103" max="4103" width="2.77734375" style="2" customWidth="1"/>
    <col min="4104" max="4105" width="9.21875" style="2"/>
    <col min="4106" max="4106" width="6.5546875" style="2" customWidth="1"/>
    <col min="4107" max="4107" width="10.21875" style="2" bestFit="1" customWidth="1"/>
    <col min="4108" max="4352" width="9.21875" style="2"/>
    <col min="4353" max="4353" width="6" style="2" customWidth="1"/>
    <col min="4354" max="4357" width="9.21875" style="2"/>
    <col min="4358" max="4358" width="17.21875" style="2" customWidth="1"/>
    <col min="4359" max="4359" width="2.77734375" style="2" customWidth="1"/>
    <col min="4360" max="4361" width="9.21875" style="2"/>
    <col min="4362" max="4362" width="6.5546875" style="2" customWidth="1"/>
    <col min="4363" max="4363" width="10.21875" style="2" bestFit="1" customWidth="1"/>
    <col min="4364" max="4608" width="9.21875" style="2"/>
    <col min="4609" max="4609" width="6" style="2" customWidth="1"/>
    <col min="4610" max="4613" width="9.21875" style="2"/>
    <col min="4614" max="4614" width="17.21875" style="2" customWidth="1"/>
    <col min="4615" max="4615" width="2.77734375" style="2" customWidth="1"/>
    <col min="4616" max="4617" width="9.21875" style="2"/>
    <col min="4618" max="4618" width="6.5546875" style="2" customWidth="1"/>
    <col min="4619" max="4619" width="10.21875" style="2" bestFit="1" customWidth="1"/>
    <col min="4620" max="4864" width="9.21875" style="2"/>
    <col min="4865" max="4865" width="6" style="2" customWidth="1"/>
    <col min="4866" max="4869" width="9.21875" style="2"/>
    <col min="4870" max="4870" width="17.21875" style="2" customWidth="1"/>
    <col min="4871" max="4871" width="2.77734375" style="2" customWidth="1"/>
    <col min="4872" max="4873" width="9.21875" style="2"/>
    <col min="4874" max="4874" width="6.5546875" style="2" customWidth="1"/>
    <col min="4875" max="4875" width="10.21875" style="2" bestFit="1" customWidth="1"/>
    <col min="4876" max="5120" width="9.21875" style="2"/>
    <col min="5121" max="5121" width="6" style="2" customWidth="1"/>
    <col min="5122" max="5125" width="9.21875" style="2"/>
    <col min="5126" max="5126" width="17.21875" style="2" customWidth="1"/>
    <col min="5127" max="5127" width="2.77734375" style="2" customWidth="1"/>
    <col min="5128" max="5129" width="9.21875" style="2"/>
    <col min="5130" max="5130" width="6.5546875" style="2" customWidth="1"/>
    <col min="5131" max="5131" width="10.21875" style="2" bestFit="1" customWidth="1"/>
    <col min="5132" max="5376" width="9.21875" style="2"/>
    <col min="5377" max="5377" width="6" style="2" customWidth="1"/>
    <col min="5378" max="5381" width="9.21875" style="2"/>
    <col min="5382" max="5382" width="17.21875" style="2" customWidth="1"/>
    <col min="5383" max="5383" width="2.77734375" style="2" customWidth="1"/>
    <col min="5384" max="5385" width="9.21875" style="2"/>
    <col min="5386" max="5386" width="6.5546875" style="2" customWidth="1"/>
    <col min="5387" max="5387" width="10.21875" style="2" bestFit="1" customWidth="1"/>
    <col min="5388" max="5632" width="9.21875" style="2"/>
    <col min="5633" max="5633" width="6" style="2" customWidth="1"/>
    <col min="5634" max="5637" width="9.21875" style="2"/>
    <col min="5638" max="5638" width="17.21875" style="2" customWidth="1"/>
    <col min="5639" max="5639" width="2.77734375" style="2" customWidth="1"/>
    <col min="5640" max="5641" width="9.21875" style="2"/>
    <col min="5642" max="5642" width="6.5546875" style="2" customWidth="1"/>
    <col min="5643" max="5643" width="10.21875" style="2" bestFit="1" customWidth="1"/>
    <col min="5644" max="5888" width="9.21875" style="2"/>
    <col min="5889" max="5889" width="6" style="2" customWidth="1"/>
    <col min="5890" max="5893" width="9.21875" style="2"/>
    <col min="5894" max="5894" width="17.21875" style="2" customWidth="1"/>
    <col min="5895" max="5895" width="2.77734375" style="2" customWidth="1"/>
    <col min="5896" max="5897" width="9.21875" style="2"/>
    <col min="5898" max="5898" width="6.5546875" style="2" customWidth="1"/>
    <col min="5899" max="5899" width="10.21875" style="2" bestFit="1" customWidth="1"/>
    <col min="5900" max="6144" width="9.21875" style="2"/>
    <col min="6145" max="6145" width="6" style="2" customWidth="1"/>
    <col min="6146" max="6149" width="9.21875" style="2"/>
    <col min="6150" max="6150" width="17.21875" style="2" customWidth="1"/>
    <col min="6151" max="6151" width="2.77734375" style="2" customWidth="1"/>
    <col min="6152" max="6153" width="9.21875" style="2"/>
    <col min="6154" max="6154" width="6.5546875" style="2" customWidth="1"/>
    <col min="6155" max="6155" width="10.21875" style="2" bestFit="1" customWidth="1"/>
    <col min="6156" max="6400" width="9.21875" style="2"/>
    <col min="6401" max="6401" width="6" style="2" customWidth="1"/>
    <col min="6402" max="6405" width="9.21875" style="2"/>
    <col min="6406" max="6406" width="17.21875" style="2" customWidth="1"/>
    <col min="6407" max="6407" width="2.77734375" style="2" customWidth="1"/>
    <col min="6408" max="6409" width="9.21875" style="2"/>
    <col min="6410" max="6410" width="6.5546875" style="2" customWidth="1"/>
    <col min="6411" max="6411" width="10.21875" style="2" bestFit="1" customWidth="1"/>
    <col min="6412" max="6656" width="9.21875" style="2"/>
    <col min="6657" max="6657" width="6" style="2" customWidth="1"/>
    <col min="6658" max="6661" width="9.21875" style="2"/>
    <col min="6662" max="6662" width="17.21875" style="2" customWidth="1"/>
    <col min="6663" max="6663" width="2.77734375" style="2" customWidth="1"/>
    <col min="6664" max="6665" width="9.21875" style="2"/>
    <col min="6666" max="6666" width="6.5546875" style="2" customWidth="1"/>
    <col min="6667" max="6667" width="10.21875" style="2" bestFit="1" customWidth="1"/>
    <col min="6668" max="6912" width="9.21875" style="2"/>
    <col min="6913" max="6913" width="6" style="2" customWidth="1"/>
    <col min="6914" max="6917" width="9.21875" style="2"/>
    <col min="6918" max="6918" width="17.21875" style="2" customWidth="1"/>
    <col min="6919" max="6919" width="2.77734375" style="2" customWidth="1"/>
    <col min="6920" max="6921" width="9.21875" style="2"/>
    <col min="6922" max="6922" width="6.5546875" style="2" customWidth="1"/>
    <col min="6923" max="6923" width="10.21875" style="2" bestFit="1" customWidth="1"/>
    <col min="6924" max="7168" width="9.21875" style="2"/>
    <col min="7169" max="7169" width="6" style="2" customWidth="1"/>
    <col min="7170" max="7173" width="9.21875" style="2"/>
    <col min="7174" max="7174" width="17.21875" style="2" customWidth="1"/>
    <col min="7175" max="7175" width="2.77734375" style="2" customWidth="1"/>
    <col min="7176" max="7177" width="9.21875" style="2"/>
    <col min="7178" max="7178" width="6.5546875" style="2" customWidth="1"/>
    <col min="7179" max="7179" width="10.21875" style="2" bestFit="1" customWidth="1"/>
    <col min="7180" max="7424" width="9.21875" style="2"/>
    <col min="7425" max="7425" width="6" style="2" customWidth="1"/>
    <col min="7426" max="7429" width="9.21875" style="2"/>
    <col min="7430" max="7430" width="17.21875" style="2" customWidth="1"/>
    <col min="7431" max="7431" width="2.77734375" style="2" customWidth="1"/>
    <col min="7432" max="7433" width="9.21875" style="2"/>
    <col min="7434" max="7434" width="6.5546875" style="2" customWidth="1"/>
    <col min="7435" max="7435" width="10.21875" style="2" bestFit="1" customWidth="1"/>
    <col min="7436" max="7680" width="9.21875" style="2"/>
    <col min="7681" max="7681" width="6" style="2" customWidth="1"/>
    <col min="7682" max="7685" width="9.21875" style="2"/>
    <col min="7686" max="7686" width="17.21875" style="2" customWidth="1"/>
    <col min="7687" max="7687" width="2.77734375" style="2" customWidth="1"/>
    <col min="7688" max="7689" width="9.21875" style="2"/>
    <col min="7690" max="7690" width="6.5546875" style="2" customWidth="1"/>
    <col min="7691" max="7691" width="10.21875" style="2" bestFit="1" customWidth="1"/>
    <col min="7692" max="7936" width="9.21875" style="2"/>
    <col min="7937" max="7937" width="6" style="2" customWidth="1"/>
    <col min="7938" max="7941" width="9.21875" style="2"/>
    <col min="7942" max="7942" width="17.21875" style="2" customWidth="1"/>
    <col min="7943" max="7943" width="2.77734375" style="2" customWidth="1"/>
    <col min="7944" max="7945" width="9.21875" style="2"/>
    <col min="7946" max="7946" width="6.5546875" style="2" customWidth="1"/>
    <col min="7947" max="7947" width="10.21875" style="2" bestFit="1" customWidth="1"/>
    <col min="7948" max="8192" width="9.21875" style="2"/>
    <col min="8193" max="8193" width="6" style="2" customWidth="1"/>
    <col min="8194" max="8197" width="9.21875" style="2"/>
    <col min="8198" max="8198" width="17.21875" style="2" customWidth="1"/>
    <col min="8199" max="8199" width="2.77734375" style="2" customWidth="1"/>
    <col min="8200" max="8201" width="9.21875" style="2"/>
    <col min="8202" max="8202" width="6.5546875" style="2" customWidth="1"/>
    <col min="8203" max="8203" width="10.21875" style="2" bestFit="1" customWidth="1"/>
    <col min="8204" max="8448" width="9.21875" style="2"/>
    <col min="8449" max="8449" width="6" style="2" customWidth="1"/>
    <col min="8450" max="8453" width="9.21875" style="2"/>
    <col min="8454" max="8454" width="17.21875" style="2" customWidth="1"/>
    <col min="8455" max="8455" width="2.77734375" style="2" customWidth="1"/>
    <col min="8456" max="8457" width="9.21875" style="2"/>
    <col min="8458" max="8458" width="6.5546875" style="2" customWidth="1"/>
    <col min="8459" max="8459" width="10.21875" style="2" bestFit="1" customWidth="1"/>
    <col min="8460" max="8704" width="9.21875" style="2"/>
    <col min="8705" max="8705" width="6" style="2" customWidth="1"/>
    <col min="8706" max="8709" width="9.21875" style="2"/>
    <col min="8710" max="8710" width="17.21875" style="2" customWidth="1"/>
    <col min="8711" max="8711" width="2.77734375" style="2" customWidth="1"/>
    <col min="8712" max="8713" width="9.21875" style="2"/>
    <col min="8714" max="8714" width="6.5546875" style="2" customWidth="1"/>
    <col min="8715" max="8715" width="10.21875" style="2" bestFit="1" customWidth="1"/>
    <col min="8716" max="8960" width="9.21875" style="2"/>
    <col min="8961" max="8961" width="6" style="2" customWidth="1"/>
    <col min="8962" max="8965" width="9.21875" style="2"/>
    <col min="8966" max="8966" width="17.21875" style="2" customWidth="1"/>
    <col min="8967" max="8967" width="2.77734375" style="2" customWidth="1"/>
    <col min="8968" max="8969" width="9.21875" style="2"/>
    <col min="8970" max="8970" width="6.5546875" style="2" customWidth="1"/>
    <col min="8971" max="8971" width="10.21875" style="2" bestFit="1" customWidth="1"/>
    <col min="8972" max="9216" width="9.21875" style="2"/>
    <col min="9217" max="9217" width="6" style="2" customWidth="1"/>
    <col min="9218" max="9221" width="9.21875" style="2"/>
    <col min="9222" max="9222" width="17.21875" style="2" customWidth="1"/>
    <col min="9223" max="9223" width="2.77734375" style="2" customWidth="1"/>
    <col min="9224" max="9225" width="9.21875" style="2"/>
    <col min="9226" max="9226" width="6.5546875" style="2" customWidth="1"/>
    <col min="9227" max="9227" width="10.21875" style="2" bestFit="1" customWidth="1"/>
    <col min="9228" max="9472" width="9.21875" style="2"/>
    <col min="9473" max="9473" width="6" style="2" customWidth="1"/>
    <col min="9474" max="9477" width="9.21875" style="2"/>
    <col min="9478" max="9478" width="17.21875" style="2" customWidth="1"/>
    <col min="9479" max="9479" width="2.77734375" style="2" customWidth="1"/>
    <col min="9480" max="9481" width="9.21875" style="2"/>
    <col min="9482" max="9482" width="6.5546875" style="2" customWidth="1"/>
    <col min="9483" max="9483" width="10.21875" style="2" bestFit="1" customWidth="1"/>
    <col min="9484" max="9728" width="9.21875" style="2"/>
    <col min="9729" max="9729" width="6" style="2" customWidth="1"/>
    <col min="9730" max="9733" width="9.21875" style="2"/>
    <col min="9734" max="9734" width="17.21875" style="2" customWidth="1"/>
    <col min="9735" max="9735" width="2.77734375" style="2" customWidth="1"/>
    <col min="9736" max="9737" width="9.21875" style="2"/>
    <col min="9738" max="9738" width="6.5546875" style="2" customWidth="1"/>
    <col min="9739" max="9739" width="10.21875" style="2" bestFit="1" customWidth="1"/>
    <col min="9740" max="9984" width="9.21875" style="2"/>
    <col min="9985" max="9985" width="6" style="2" customWidth="1"/>
    <col min="9986" max="9989" width="9.21875" style="2"/>
    <col min="9990" max="9990" width="17.21875" style="2" customWidth="1"/>
    <col min="9991" max="9991" width="2.77734375" style="2" customWidth="1"/>
    <col min="9992" max="9993" width="9.21875" style="2"/>
    <col min="9994" max="9994" width="6.5546875" style="2" customWidth="1"/>
    <col min="9995" max="9995" width="10.21875" style="2" bestFit="1" customWidth="1"/>
    <col min="9996" max="10240" width="9.21875" style="2"/>
    <col min="10241" max="10241" width="6" style="2" customWidth="1"/>
    <col min="10242" max="10245" width="9.21875" style="2"/>
    <col min="10246" max="10246" width="17.21875" style="2" customWidth="1"/>
    <col min="10247" max="10247" width="2.77734375" style="2" customWidth="1"/>
    <col min="10248" max="10249" width="9.21875" style="2"/>
    <col min="10250" max="10250" width="6.5546875" style="2" customWidth="1"/>
    <col min="10251" max="10251" width="10.21875" style="2" bestFit="1" customWidth="1"/>
    <col min="10252" max="10496" width="9.21875" style="2"/>
    <col min="10497" max="10497" width="6" style="2" customWidth="1"/>
    <col min="10498" max="10501" width="9.21875" style="2"/>
    <col min="10502" max="10502" width="17.21875" style="2" customWidth="1"/>
    <col min="10503" max="10503" width="2.77734375" style="2" customWidth="1"/>
    <col min="10504" max="10505" width="9.21875" style="2"/>
    <col min="10506" max="10506" width="6.5546875" style="2" customWidth="1"/>
    <col min="10507" max="10507" width="10.21875" style="2" bestFit="1" customWidth="1"/>
    <col min="10508" max="10752" width="9.21875" style="2"/>
    <col min="10753" max="10753" width="6" style="2" customWidth="1"/>
    <col min="10754" max="10757" width="9.21875" style="2"/>
    <col min="10758" max="10758" width="17.21875" style="2" customWidth="1"/>
    <col min="10759" max="10759" width="2.77734375" style="2" customWidth="1"/>
    <col min="10760" max="10761" width="9.21875" style="2"/>
    <col min="10762" max="10762" width="6.5546875" style="2" customWidth="1"/>
    <col min="10763" max="10763" width="10.21875" style="2" bestFit="1" customWidth="1"/>
    <col min="10764" max="11008" width="9.21875" style="2"/>
    <col min="11009" max="11009" width="6" style="2" customWidth="1"/>
    <col min="11010" max="11013" width="9.21875" style="2"/>
    <col min="11014" max="11014" width="17.21875" style="2" customWidth="1"/>
    <col min="11015" max="11015" width="2.77734375" style="2" customWidth="1"/>
    <col min="11016" max="11017" width="9.21875" style="2"/>
    <col min="11018" max="11018" width="6.5546875" style="2" customWidth="1"/>
    <col min="11019" max="11019" width="10.21875" style="2" bestFit="1" customWidth="1"/>
    <col min="11020" max="11264" width="9.21875" style="2"/>
    <col min="11265" max="11265" width="6" style="2" customWidth="1"/>
    <col min="11266" max="11269" width="9.21875" style="2"/>
    <col min="11270" max="11270" width="17.21875" style="2" customWidth="1"/>
    <col min="11271" max="11271" width="2.77734375" style="2" customWidth="1"/>
    <col min="11272" max="11273" width="9.21875" style="2"/>
    <col min="11274" max="11274" width="6.5546875" style="2" customWidth="1"/>
    <col min="11275" max="11275" width="10.21875" style="2" bestFit="1" customWidth="1"/>
    <col min="11276" max="11520" width="9.21875" style="2"/>
    <col min="11521" max="11521" width="6" style="2" customWidth="1"/>
    <col min="11522" max="11525" width="9.21875" style="2"/>
    <col min="11526" max="11526" width="17.21875" style="2" customWidth="1"/>
    <col min="11527" max="11527" width="2.77734375" style="2" customWidth="1"/>
    <col min="11528" max="11529" width="9.21875" style="2"/>
    <col min="11530" max="11530" width="6.5546875" style="2" customWidth="1"/>
    <col min="11531" max="11531" width="10.21875" style="2" bestFit="1" customWidth="1"/>
    <col min="11532" max="11776" width="9.21875" style="2"/>
    <col min="11777" max="11777" width="6" style="2" customWidth="1"/>
    <col min="11778" max="11781" width="9.21875" style="2"/>
    <col min="11782" max="11782" width="17.21875" style="2" customWidth="1"/>
    <col min="11783" max="11783" width="2.77734375" style="2" customWidth="1"/>
    <col min="11784" max="11785" width="9.21875" style="2"/>
    <col min="11786" max="11786" width="6.5546875" style="2" customWidth="1"/>
    <col min="11787" max="11787" width="10.21875" style="2" bestFit="1" customWidth="1"/>
    <col min="11788" max="12032" width="9.21875" style="2"/>
    <col min="12033" max="12033" width="6" style="2" customWidth="1"/>
    <col min="12034" max="12037" width="9.21875" style="2"/>
    <col min="12038" max="12038" width="17.21875" style="2" customWidth="1"/>
    <col min="12039" max="12039" width="2.77734375" style="2" customWidth="1"/>
    <col min="12040" max="12041" width="9.21875" style="2"/>
    <col min="12042" max="12042" width="6.5546875" style="2" customWidth="1"/>
    <col min="12043" max="12043" width="10.21875" style="2" bestFit="1" customWidth="1"/>
    <col min="12044" max="12288" width="9.21875" style="2"/>
    <col min="12289" max="12289" width="6" style="2" customWidth="1"/>
    <col min="12290" max="12293" width="9.21875" style="2"/>
    <col min="12294" max="12294" width="17.21875" style="2" customWidth="1"/>
    <col min="12295" max="12295" width="2.77734375" style="2" customWidth="1"/>
    <col min="12296" max="12297" width="9.21875" style="2"/>
    <col min="12298" max="12298" width="6.5546875" style="2" customWidth="1"/>
    <col min="12299" max="12299" width="10.21875" style="2" bestFit="1" customWidth="1"/>
    <col min="12300" max="12544" width="9.21875" style="2"/>
    <col min="12545" max="12545" width="6" style="2" customWidth="1"/>
    <col min="12546" max="12549" width="9.21875" style="2"/>
    <col min="12550" max="12550" width="17.21875" style="2" customWidth="1"/>
    <col min="12551" max="12551" width="2.77734375" style="2" customWidth="1"/>
    <col min="12552" max="12553" width="9.21875" style="2"/>
    <col min="12554" max="12554" width="6.5546875" style="2" customWidth="1"/>
    <col min="12555" max="12555" width="10.21875" style="2" bestFit="1" customWidth="1"/>
    <col min="12556" max="12800" width="9.21875" style="2"/>
    <col min="12801" max="12801" width="6" style="2" customWidth="1"/>
    <col min="12802" max="12805" width="9.21875" style="2"/>
    <col min="12806" max="12806" width="17.21875" style="2" customWidth="1"/>
    <col min="12807" max="12807" width="2.77734375" style="2" customWidth="1"/>
    <col min="12808" max="12809" width="9.21875" style="2"/>
    <col min="12810" max="12810" width="6.5546875" style="2" customWidth="1"/>
    <col min="12811" max="12811" width="10.21875" style="2" bestFit="1" customWidth="1"/>
    <col min="12812" max="13056" width="9.21875" style="2"/>
    <col min="13057" max="13057" width="6" style="2" customWidth="1"/>
    <col min="13058" max="13061" width="9.21875" style="2"/>
    <col min="13062" max="13062" width="17.21875" style="2" customWidth="1"/>
    <col min="13063" max="13063" width="2.77734375" style="2" customWidth="1"/>
    <col min="13064" max="13065" width="9.21875" style="2"/>
    <col min="13066" max="13066" width="6.5546875" style="2" customWidth="1"/>
    <col min="13067" max="13067" width="10.21875" style="2" bestFit="1" customWidth="1"/>
    <col min="13068" max="13312" width="9.21875" style="2"/>
    <col min="13313" max="13313" width="6" style="2" customWidth="1"/>
    <col min="13314" max="13317" width="9.21875" style="2"/>
    <col min="13318" max="13318" width="17.21875" style="2" customWidth="1"/>
    <col min="13319" max="13319" width="2.77734375" style="2" customWidth="1"/>
    <col min="13320" max="13321" width="9.21875" style="2"/>
    <col min="13322" max="13322" width="6.5546875" style="2" customWidth="1"/>
    <col min="13323" max="13323" width="10.21875" style="2" bestFit="1" customWidth="1"/>
    <col min="13324" max="13568" width="9.21875" style="2"/>
    <col min="13569" max="13569" width="6" style="2" customWidth="1"/>
    <col min="13570" max="13573" width="9.21875" style="2"/>
    <col min="13574" max="13574" width="17.21875" style="2" customWidth="1"/>
    <col min="13575" max="13575" width="2.77734375" style="2" customWidth="1"/>
    <col min="13576" max="13577" width="9.21875" style="2"/>
    <col min="13578" max="13578" width="6.5546875" style="2" customWidth="1"/>
    <col min="13579" max="13579" width="10.21875" style="2" bestFit="1" customWidth="1"/>
    <col min="13580" max="13824" width="9.21875" style="2"/>
    <col min="13825" max="13825" width="6" style="2" customWidth="1"/>
    <col min="13826" max="13829" width="9.21875" style="2"/>
    <col min="13830" max="13830" width="17.21875" style="2" customWidth="1"/>
    <col min="13831" max="13831" width="2.77734375" style="2" customWidth="1"/>
    <col min="13832" max="13833" width="9.21875" style="2"/>
    <col min="13834" max="13834" width="6.5546875" style="2" customWidth="1"/>
    <col min="13835" max="13835" width="10.21875" style="2" bestFit="1" customWidth="1"/>
    <col min="13836" max="14080" width="9.21875" style="2"/>
    <col min="14081" max="14081" width="6" style="2" customWidth="1"/>
    <col min="14082" max="14085" width="9.21875" style="2"/>
    <col min="14086" max="14086" width="17.21875" style="2" customWidth="1"/>
    <col min="14087" max="14087" width="2.77734375" style="2" customWidth="1"/>
    <col min="14088" max="14089" width="9.21875" style="2"/>
    <col min="14090" max="14090" width="6.5546875" style="2" customWidth="1"/>
    <col min="14091" max="14091" width="10.21875" style="2" bestFit="1" customWidth="1"/>
    <col min="14092" max="14336" width="9.21875" style="2"/>
    <col min="14337" max="14337" width="6" style="2" customWidth="1"/>
    <col min="14338" max="14341" width="9.21875" style="2"/>
    <col min="14342" max="14342" width="17.21875" style="2" customWidth="1"/>
    <col min="14343" max="14343" width="2.77734375" style="2" customWidth="1"/>
    <col min="14344" max="14345" width="9.21875" style="2"/>
    <col min="14346" max="14346" width="6.5546875" style="2" customWidth="1"/>
    <col min="14347" max="14347" width="10.21875" style="2" bestFit="1" customWidth="1"/>
    <col min="14348" max="14592" width="9.21875" style="2"/>
    <col min="14593" max="14593" width="6" style="2" customWidth="1"/>
    <col min="14594" max="14597" width="9.21875" style="2"/>
    <col min="14598" max="14598" width="17.21875" style="2" customWidth="1"/>
    <col min="14599" max="14599" width="2.77734375" style="2" customWidth="1"/>
    <col min="14600" max="14601" width="9.21875" style="2"/>
    <col min="14602" max="14602" width="6.5546875" style="2" customWidth="1"/>
    <col min="14603" max="14603" width="10.21875" style="2" bestFit="1" customWidth="1"/>
    <col min="14604" max="14848" width="9.21875" style="2"/>
    <col min="14849" max="14849" width="6" style="2" customWidth="1"/>
    <col min="14850" max="14853" width="9.21875" style="2"/>
    <col min="14854" max="14854" width="17.21875" style="2" customWidth="1"/>
    <col min="14855" max="14855" width="2.77734375" style="2" customWidth="1"/>
    <col min="14856" max="14857" width="9.21875" style="2"/>
    <col min="14858" max="14858" width="6.5546875" style="2" customWidth="1"/>
    <col min="14859" max="14859" width="10.21875" style="2" bestFit="1" customWidth="1"/>
    <col min="14860" max="15104" width="9.21875" style="2"/>
    <col min="15105" max="15105" width="6" style="2" customWidth="1"/>
    <col min="15106" max="15109" width="9.21875" style="2"/>
    <col min="15110" max="15110" width="17.21875" style="2" customWidth="1"/>
    <col min="15111" max="15111" width="2.77734375" style="2" customWidth="1"/>
    <col min="15112" max="15113" width="9.21875" style="2"/>
    <col min="15114" max="15114" width="6.5546875" style="2" customWidth="1"/>
    <col min="15115" max="15115" width="10.21875" style="2" bestFit="1" customWidth="1"/>
    <col min="15116" max="15360" width="9.21875" style="2"/>
    <col min="15361" max="15361" width="6" style="2" customWidth="1"/>
    <col min="15362" max="15365" width="9.21875" style="2"/>
    <col min="15366" max="15366" width="17.21875" style="2" customWidth="1"/>
    <col min="15367" max="15367" width="2.77734375" style="2" customWidth="1"/>
    <col min="15368" max="15369" width="9.21875" style="2"/>
    <col min="15370" max="15370" width="6.5546875" style="2" customWidth="1"/>
    <col min="15371" max="15371" width="10.21875" style="2" bestFit="1" customWidth="1"/>
    <col min="15372" max="15616" width="9.21875" style="2"/>
    <col min="15617" max="15617" width="6" style="2" customWidth="1"/>
    <col min="15618" max="15621" width="9.21875" style="2"/>
    <col min="15622" max="15622" width="17.21875" style="2" customWidth="1"/>
    <col min="15623" max="15623" width="2.77734375" style="2" customWidth="1"/>
    <col min="15624" max="15625" width="9.21875" style="2"/>
    <col min="15626" max="15626" width="6.5546875" style="2" customWidth="1"/>
    <col min="15627" max="15627" width="10.21875" style="2" bestFit="1" customWidth="1"/>
    <col min="15628" max="15872" width="9.21875" style="2"/>
    <col min="15873" max="15873" width="6" style="2" customWidth="1"/>
    <col min="15874" max="15877" width="9.21875" style="2"/>
    <col min="15878" max="15878" width="17.21875" style="2" customWidth="1"/>
    <col min="15879" max="15879" width="2.77734375" style="2" customWidth="1"/>
    <col min="15880" max="15881" width="9.21875" style="2"/>
    <col min="15882" max="15882" width="6.5546875" style="2" customWidth="1"/>
    <col min="15883" max="15883" width="10.21875" style="2" bestFit="1" customWidth="1"/>
    <col min="15884" max="16128" width="9.21875" style="2"/>
    <col min="16129" max="16129" width="6" style="2" customWidth="1"/>
    <col min="16130" max="16133" width="9.21875" style="2"/>
    <col min="16134" max="16134" width="17.21875" style="2" customWidth="1"/>
    <col min="16135" max="16135" width="2.77734375" style="2" customWidth="1"/>
    <col min="16136" max="16137" width="9.21875" style="2"/>
    <col min="16138" max="16138" width="6.5546875" style="2" customWidth="1"/>
    <col min="16139" max="16139" width="10.21875" style="2" bestFit="1" customWidth="1"/>
    <col min="16140" max="16384" width="9.21875" style="2"/>
  </cols>
  <sheetData>
    <row r="1" spans="1:11" ht="15.6">
      <c r="I1" s="31"/>
      <c r="K1" s="31" t="s">
        <v>49</v>
      </c>
    </row>
    <row r="3" spans="1:11" ht="15.6">
      <c r="A3" s="1220" t="s">
        <v>50</v>
      </c>
      <c r="B3" s="1220"/>
      <c r="C3" s="1220"/>
      <c r="D3" s="1220"/>
      <c r="E3" s="1220"/>
      <c r="F3" s="1220"/>
      <c r="G3" s="1220"/>
      <c r="H3" s="1220"/>
      <c r="I3" s="1220"/>
      <c r="J3" s="1227"/>
      <c r="K3" s="1227"/>
    </row>
    <row r="5" spans="1:11" ht="15.6">
      <c r="A5" s="1220" t="s">
        <v>51</v>
      </c>
      <c r="B5" s="1220"/>
      <c r="C5" s="1220"/>
      <c r="D5" s="1220"/>
      <c r="E5" s="1220"/>
      <c r="F5" s="1220"/>
      <c r="G5" s="1220"/>
      <c r="H5" s="1220"/>
      <c r="I5" s="1220"/>
      <c r="J5" s="1229"/>
      <c r="K5" s="1227"/>
    </row>
    <row r="6" spans="1:11">
      <c r="K6" s="2" t="s">
        <v>52</v>
      </c>
    </row>
    <row r="7" spans="1:11">
      <c r="K7" s="2" t="s">
        <v>53</v>
      </c>
    </row>
    <row r="8" spans="1:11" ht="15.6">
      <c r="A8" s="48" t="s">
        <v>54</v>
      </c>
    </row>
    <row r="9" spans="1:11" ht="8.25" customHeight="1">
      <c r="A9" s="48"/>
    </row>
    <row r="10" spans="1:11" ht="15">
      <c r="A10" s="45" t="s">
        <v>55</v>
      </c>
      <c r="B10" s="46" t="s">
        <v>56</v>
      </c>
      <c r="C10" s="46"/>
      <c r="D10" s="46"/>
      <c r="E10" s="46"/>
      <c r="F10" s="46"/>
      <c r="G10" s="45" t="s">
        <v>29</v>
      </c>
      <c r="H10" s="1228">
        <f>IF('Input (2)'!C4+'Input (2)'!C7=0,0,SUM('Input (2)'!C4+'Input (2)'!C7))</f>
        <v>0</v>
      </c>
      <c r="I10" s="1228"/>
      <c r="J10" s="46"/>
      <c r="K10" s="53">
        <f>IF(H10=0,0,(H10/($H$10+$H$13)))</f>
        <v>0</v>
      </c>
    </row>
    <row r="11" spans="1:11" ht="7.5" customHeight="1">
      <c r="H11" s="54"/>
      <c r="I11" s="54"/>
    </row>
    <row r="12" spans="1:11" s="46" customFormat="1" ht="15">
      <c r="A12" s="45" t="s">
        <v>57</v>
      </c>
      <c r="B12" s="46" t="s">
        <v>58</v>
      </c>
      <c r="G12" s="45"/>
      <c r="H12" s="55"/>
      <c r="I12" s="55"/>
    </row>
    <row r="13" spans="1:11" ht="15">
      <c r="B13" s="28" t="s">
        <v>59</v>
      </c>
      <c r="G13" s="30" t="s">
        <v>29</v>
      </c>
      <c r="H13" s="1228">
        <f>IF('Input (2)'!C8=0,0,SUM('Input (2)'!C8))</f>
        <v>60</v>
      </c>
      <c r="I13" s="1228"/>
      <c r="K13" s="53">
        <f>IF(H13=0,0,(H13/($H$10+$H$13)))</f>
        <v>1</v>
      </c>
    </row>
    <row r="14" spans="1:11" ht="6.75" customHeight="1">
      <c r="H14" s="54"/>
      <c r="I14" s="54"/>
    </row>
    <row r="15" spans="1:11" s="46" customFormat="1" ht="15">
      <c r="A15" s="45" t="s">
        <v>60</v>
      </c>
      <c r="B15" s="46" t="s">
        <v>61</v>
      </c>
      <c r="G15" s="45"/>
      <c r="H15" s="55"/>
      <c r="I15" s="55"/>
    </row>
    <row r="16" spans="1:11" s="46" customFormat="1" ht="15">
      <c r="A16" s="45"/>
      <c r="B16" s="46" t="s">
        <v>62</v>
      </c>
      <c r="G16" s="45" t="s">
        <v>29</v>
      </c>
      <c r="H16" s="1230">
        <f>IF('Input (2)'!C22=0,0,SUM('Input (2)'!C22))</f>
        <v>0</v>
      </c>
      <c r="I16" s="1230"/>
    </row>
    <row r="17" spans="1:9" ht="6.75" customHeight="1">
      <c r="H17" s="54"/>
      <c r="I17" s="54"/>
    </row>
    <row r="18" spans="1:9" s="46" customFormat="1" ht="15">
      <c r="A18" s="45" t="s">
        <v>63</v>
      </c>
      <c r="B18" s="46" t="s">
        <v>64</v>
      </c>
      <c r="G18" s="45" t="s">
        <v>29</v>
      </c>
      <c r="H18" s="1228">
        <f>H10+H13-H16</f>
        <v>60</v>
      </c>
      <c r="I18" s="1228"/>
    </row>
    <row r="19" spans="1:9" ht="6.75" customHeight="1">
      <c r="H19" s="43"/>
      <c r="I19" s="43"/>
    </row>
    <row r="20" spans="1:9" s="46" customFormat="1" ht="15">
      <c r="A20" s="45" t="s">
        <v>65</v>
      </c>
      <c r="B20" s="46" t="s">
        <v>66</v>
      </c>
      <c r="G20" s="45" t="s">
        <v>29</v>
      </c>
      <c r="H20" s="1228">
        <f>H18*0.06</f>
        <v>3.5999999999999996</v>
      </c>
      <c r="I20" s="1228"/>
    </row>
    <row r="21" spans="1:9" ht="6.75" customHeight="1">
      <c r="H21" s="43"/>
      <c r="I21" s="43"/>
    </row>
    <row r="22" spans="1:9" s="46" customFormat="1" ht="15">
      <c r="A22" s="45" t="s">
        <v>67</v>
      </c>
      <c r="B22" s="46" t="s">
        <v>68</v>
      </c>
      <c r="G22" s="45" t="s">
        <v>29</v>
      </c>
      <c r="H22" s="1228">
        <f>H16+H20</f>
        <v>3.5999999999999996</v>
      </c>
      <c r="I22" s="1228"/>
    </row>
    <row r="23" spans="1:9" s="46" customFormat="1" ht="15">
      <c r="A23" s="45"/>
      <c r="B23" s="46" t="s">
        <v>69</v>
      </c>
      <c r="G23" s="45"/>
      <c r="H23" s="55"/>
      <c r="I23" s="55"/>
    </row>
    <row r="24" spans="1:9" s="46" customFormat="1" ht="15">
      <c r="A24" s="45"/>
      <c r="G24" s="45"/>
      <c r="H24" s="55"/>
      <c r="I24" s="55"/>
    </row>
    <row r="25" spans="1:9" s="46" customFormat="1" ht="15">
      <c r="A25" s="45" t="s">
        <v>70</v>
      </c>
      <c r="B25" s="56">
        <f>K10</f>
        <v>0</v>
      </c>
      <c r="C25" s="44" t="s">
        <v>71</v>
      </c>
      <c r="D25" s="57">
        <f>H22</f>
        <v>3.5999999999999996</v>
      </c>
      <c r="E25" s="46" t="s">
        <v>72</v>
      </c>
      <c r="G25" s="45" t="s">
        <v>29</v>
      </c>
      <c r="H25" s="1228">
        <f>ROUND(SUM(B25*D25),2)</f>
        <v>0</v>
      </c>
      <c r="I25" s="1228"/>
    </row>
    <row r="26" spans="1:9" s="46" customFormat="1" ht="15">
      <c r="A26" s="45" t="s">
        <v>73</v>
      </c>
      <c r="B26" s="56">
        <f>K13</f>
        <v>1</v>
      </c>
      <c r="C26" s="44" t="s">
        <v>71</v>
      </c>
      <c r="D26" s="57">
        <f>H22</f>
        <v>3.5999999999999996</v>
      </c>
      <c r="E26" s="46" t="s">
        <v>74</v>
      </c>
      <c r="G26" s="45" t="s">
        <v>29</v>
      </c>
      <c r="H26" s="1231">
        <f>ROUND(SUM(H22-H25),2)</f>
        <v>3.6</v>
      </c>
      <c r="I26" s="1231"/>
    </row>
    <row r="27" spans="1:9" s="46" customFormat="1" ht="15">
      <c r="A27" s="45"/>
      <c r="G27" s="45"/>
      <c r="H27" s="55"/>
      <c r="I27" s="55"/>
    </row>
    <row r="28" spans="1:9" ht="15.6">
      <c r="A28" s="48" t="s">
        <v>75</v>
      </c>
      <c r="H28" s="54"/>
      <c r="I28" s="54"/>
    </row>
    <row r="29" spans="1:9" ht="6.75" customHeight="1">
      <c r="H29" s="54"/>
      <c r="I29" s="54"/>
    </row>
    <row r="30" spans="1:9" s="46" customFormat="1" ht="15">
      <c r="A30" s="45" t="s">
        <v>76</v>
      </c>
      <c r="B30" s="46" t="s">
        <v>77</v>
      </c>
      <c r="G30" s="45"/>
      <c r="H30" s="55"/>
      <c r="I30" s="55"/>
    </row>
    <row r="31" spans="1:9" s="46" customFormat="1" ht="15">
      <c r="A31" s="45"/>
      <c r="B31" s="46" t="s">
        <v>78</v>
      </c>
      <c r="G31" s="45" t="s">
        <v>29</v>
      </c>
      <c r="H31" s="1228">
        <f>IF('Input (2)'!$C$10=0,0,'Input (2)'!C10)</f>
        <v>82</v>
      </c>
      <c r="I31" s="1228"/>
    </row>
    <row r="32" spans="1:9" s="46" customFormat="1" ht="15">
      <c r="A32" s="45"/>
      <c r="B32" s="28" t="s">
        <v>79</v>
      </c>
      <c r="G32" s="45"/>
      <c r="H32" s="55"/>
      <c r="I32" s="55"/>
    </row>
    <row r="33" spans="1:9" s="46" customFormat="1" ht="15">
      <c r="A33" s="45"/>
      <c r="B33" s="28" t="s">
        <v>80</v>
      </c>
      <c r="G33" s="45"/>
      <c r="H33" s="55"/>
      <c r="I33" s="55"/>
    </row>
    <row r="34" spans="1:9" ht="6.75" customHeight="1">
      <c r="H34" s="54"/>
      <c r="I34" s="54"/>
    </row>
    <row r="35" spans="1:9" s="46" customFormat="1" ht="15">
      <c r="A35" s="45" t="s">
        <v>81</v>
      </c>
      <c r="B35" s="46" t="s">
        <v>82</v>
      </c>
      <c r="G35" s="45"/>
      <c r="H35" s="55"/>
      <c r="I35" s="55"/>
    </row>
    <row r="36" spans="1:9" s="46" customFormat="1" ht="15">
      <c r="A36" s="45"/>
      <c r="B36" s="46" t="s">
        <v>83</v>
      </c>
      <c r="G36" s="45"/>
      <c r="H36" s="55"/>
      <c r="I36" s="55"/>
    </row>
    <row r="37" spans="1:9" s="46" customFormat="1" ht="15">
      <c r="A37" s="45"/>
      <c r="B37" s="28" t="s">
        <v>84</v>
      </c>
      <c r="G37" s="45" t="s">
        <v>29</v>
      </c>
      <c r="H37" s="1228">
        <f>IF('Input (2)'!C23=0,0,SUM('Input (2)'!C23))</f>
        <v>0</v>
      </c>
      <c r="I37" s="1228"/>
    </row>
    <row r="38" spans="1:9" ht="6.75" customHeight="1">
      <c r="H38" s="43"/>
      <c r="I38" s="43"/>
    </row>
    <row r="39" spans="1:9" s="46" customFormat="1" ht="15">
      <c r="A39" s="45" t="s">
        <v>85</v>
      </c>
      <c r="B39" s="46" t="s">
        <v>86</v>
      </c>
      <c r="G39" s="45" t="s">
        <v>29</v>
      </c>
      <c r="H39" s="1228">
        <f>IF('Input (2)'!$C$10=0,0,SUM(H31-H37))</f>
        <v>82</v>
      </c>
      <c r="I39" s="1228"/>
    </row>
    <row r="40" spans="1:9" ht="6.75" customHeight="1">
      <c r="H40" s="43"/>
      <c r="I40" s="43"/>
    </row>
    <row r="41" spans="1:9" s="46" customFormat="1" ht="15">
      <c r="A41" s="45" t="s">
        <v>87</v>
      </c>
      <c r="B41" s="46" t="s">
        <v>88</v>
      </c>
      <c r="G41" s="45" t="s">
        <v>29</v>
      </c>
      <c r="H41" s="1228">
        <f>IF('Input (2)'!$C$10=0,0,H39*0.055)</f>
        <v>4.51</v>
      </c>
      <c r="I41" s="1228"/>
    </row>
    <row r="42" spans="1:9" ht="6.75" customHeight="1">
      <c r="H42" s="43"/>
      <c r="I42" s="43"/>
    </row>
    <row r="43" spans="1:9" s="46" customFormat="1" ht="15">
      <c r="A43" s="45" t="s">
        <v>89</v>
      </c>
      <c r="B43" s="46" t="s">
        <v>90</v>
      </c>
      <c r="G43" s="45" t="s">
        <v>29</v>
      </c>
      <c r="H43" s="1228">
        <f>ROUND(IF('Input (2)'!$C$10=0,0,SUM(H37+H41)),2)</f>
        <v>4.51</v>
      </c>
      <c r="I43" s="1228"/>
    </row>
    <row r="44" spans="1:9" s="46" customFormat="1" ht="15">
      <c r="A44" s="45"/>
      <c r="B44" s="46" t="s">
        <v>91</v>
      </c>
      <c r="G44" s="45"/>
    </row>
    <row r="46" spans="1:9" ht="15.6">
      <c r="A46" s="48" t="s">
        <v>92</v>
      </c>
    </row>
    <row r="47" spans="1:9" ht="6.75" customHeight="1"/>
    <row r="48" spans="1:9" s="46" customFormat="1" ht="15">
      <c r="A48" s="45" t="s">
        <v>93</v>
      </c>
      <c r="B48" s="46" t="s">
        <v>94</v>
      </c>
      <c r="G48" s="45"/>
    </row>
    <row r="49" spans="1:9" s="46" customFormat="1" ht="15">
      <c r="A49" s="45"/>
      <c r="B49" s="46" t="s">
        <v>95</v>
      </c>
      <c r="G49" s="45"/>
    </row>
    <row r="50" spans="1:9" s="46" customFormat="1" ht="15">
      <c r="A50" s="45"/>
      <c r="B50" s="46" t="s">
        <v>96</v>
      </c>
      <c r="G50" s="45"/>
    </row>
    <row r="51" spans="1:9" s="46" customFormat="1" ht="15">
      <c r="A51" s="45"/>
      <c r="B51" s="46" t="s">
        <v>97</v>
      </c>
      <c r="G51" s="45"/>
    </row>
    <row r="52" spans="1:9" s="46" customFormat="1" ht="15">
      <c r="A52" s="45"/>
      <c r="B52" s="46" t="s">
        <v>98</v>
      </c>
      <c r="G52" s="45"/>
    </row>
    <row r="53" spans="1:9" s="46" customFormat="1" ht="15">
      <c r="A53" s="45"/>
      <c r="B53" s="46" t="s">
        <v>99</v>
      </c>
      <c r="G53" s="45"/>
    </row>
    <row r="54" spans="1:9" ht="6.75" customHeight="1"/>
    <row r="55" spans="1:9" s="46" customFormat="1" ht="15">
      <c r="A55" s="45"/>
      <c r="B55" s="46" t="s">
        <v>100</v>
      </c>
      <c r="G55" s="45" t="s">
        <v>29</v>
      </c>
      <c r="H55" s="1230">
        <f>IF('Input (2)'!$E$18+'Input (2)'!$E$19=0,0,SUM(('Input (2)'!E18*'Input (2)'!E19)/16))</f>
        <v>0</v>
      </c>
      <c r="I55" s="1230"/>
    </row>
    <row r="56" spans="1:9" s="46" customFormat="1" ht="15">
      <c r="A56" s="45"/>
      <c r="B56" s="46" t="s">
        <v>101</v>
      </c>
      <c r="G56" s="45"/>
    </row>
    <row r="57" spans="1:9" s="46" customFormat="1" ht="15">
      <c r="A57" s="45"/>
      <c r="B57" s="46" t="s">
        <v>102</v>
      </c>
      <c r="G57" s="45"/>
    </row>
  </sheetData>
  <sheetProtection password="CDD6" sheet="1" objects="1" scenarios="1"/>
  <mergeCells count="16">
    <mergeCell ref="H39:I39"/>
    <mergeCell ref="H41:I41"/>
    <mergeCell ref="H43:I43"/>
    <mergeCell ref="H55:I55"/>
    <mergeCell ref="H20:I20"/>
    <mergeCell ref="H22:I22"/>
    <mergeCell ref="H25:I25"/>
    <mergeCell ref="H26:I26"/>
    <mergeCell ref="H31:I31"/>
    <mergeCell ref="H37:I37"/>
    <mergeCell ref="H18:I18"/>
    <mergeCell ref="A3:K3"/>
    <mergeCell ref="A5:K5"/>
    <mergeCell ref="H10:I10"/>
    <mergeCell ref="H13:I13"/>
    <mergeCell ref="H16:I16"/>
  </mergeCells>
  <pageMargins left="0.5" right="0.5" top="0.63" bottom="1" header="0.33" footer="0.5"/>
  <pageSetup scale="93" orientation="portrait" r:id="rId1"/>
  <headerFooter alignWithMargins="0">
    <oddFooter>&amp;L&amp;F</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8"/>
  <dimension ref="A1:R37"/>
  <sheetViews>
    <sheetView showGridLines="0" zoomScale="90" zoomScaleNormal="100" workbookViewId="0">
      <selection activeCell="C4" sqref="C4"/>
    </sheetView>
  </sheetViews>
  <sheetFormatPr defaultRowHeight="13.2"/>
  <cols>
    <col min="1" max="1" width="4.21875" style="30" customWidth="1"/>
    <col min="2" max="2" width="2.5546875" style="2" customWidth="1"/>
    <col min="3" max="6" width="9.21875" style="2"/>
    <col min="7" max="7" width="4.5546875" style="2" customWidth="1"/>
    <col min="8" max="8" width="10.21875" style="2" customWidth="1"/>
    <col min="9" max="9" width="3.21875" style="2" customWidth="1"/>
    <col min="10" max="10" width="9.21875" style="2"/>
    <col min="11" max="11" width="6.21875" style="2" customWidth="1"/>
    <col min="12" max="12" width="3.77734375" style="2" customWidth="1"/>
    <col min="13" max="13" width="10.77734375" style="2" customWidth="1"/>
    <col min="14" max="14" width="4.21875" style="2" customWidth="1"/>
    <col min="15" max="15" width="12.21875" style="2" customWidth="1"/>
    <col min="16" max="16" width="10.21875" style="2" customWidth="1"/>
    <col min="17" max="17" width="9.21875" style="32" customWidth="1"/>
    <col min="18" max="256" width="9.21875" style="2"/>
    <col min="257" max="257" width="4.21875" style="2" customWidth="1"/>
    <col min="258" max="258" width="2.5546875" style="2" customWidth="1"/>
    <col min="259" max="262" width="9.21875" style="2"/>
    <col min="263" max="263" width="4.5546875" style="2" customWidth="1"/>
    <col min="264" max="264" width="10.21875" style="2" customWidth="1"/>
    <col min="265" max="265" width="3.21875" style="2" customWidth="1"/>
    <col min="266" max="266" width="9.21875" style="2"/>
    <col min="267" max="267" width="6.21875" style="2" customWidth="1"/>
    <col min="268" max="268" width="3.77734375" style="2" customWidth="1"/>
    <col min="269" max="269" width="10.77734375" style="2" customWidth="1"/>
    <col min="270" max="270" width="4.21875" style="2" customWidth="1"/>
    <col min="271" max="271" width="12.21875" style="2" customWidth="1"/>
    <col min="272" max="272" width="10.21875" style="2" customWidth="1"/>
    <col min="273" max="273" width="9.21875" style="2" customWidth="1"/>
    <col min="274" max="512" width="9.21875" style="2"/>
    <col min="513" max="513" width="4.21875" style="2" customWidth="1"/>
    <col min="514" max="514" width="2.5546875" style="2" customWidth="1"/>
    <col min="515" max="518" width="9.21875" style="2"/>
    <col min="519" max="519" width="4.5546875" style="2" customWidth="1"/>
    <col min="520" max="520" width="10.21875" style="2" customWidth="1"/>
    <col min="521" max="521" width="3.21875" style="2" customWidth="1"/>
    <col min="522" max="522" width="9.21875" style="2"/>
    <col min="523" max="523" width="6.21875" style="2" customWidth="1"/>
    <col min="524" max="524" width="3.77734375" style="2" customWidth="1"/>
    <col min="525" max="525" width="10.77734375" style="2" customWidth="1"/>
    <col min="526" max="526" width="4.21875" style="2" customWidth="1"/>
    <col min="527" max="527" width="12.21875" style="2" customWidth="1"/>
    <col min="528" max="528" width="10.21875" style="2" customWidth="1"/>
    <col min="529" max="529" width="9.21875" style="2" customWidth="1"/>
    <col min="530" max="768" width="9.21875" style="2"/>
    <col min="769" max="769" width="4.21875" style="2" customWidth="1"/>
    <col min="770" max="770" width="2.5546875" style="2" customWidth="1"/>
    <col min="771" max="774" width="9.21875" style="2"/>
    <col min="775" max="775" width="4.5546875" style="2" customWidth="1"/>
    <col min="776" max="776" width="10.21875" style="2" customWidth="1"/>
    <col min="777" max="777" width="3.21875" style="2" customWidth="1"/>
    <col min="778" max="778" width="9.21875" style="2"/>
    <col min="779" max="779" width="6.21875" style="2" customWidth="1"/>
    <col min="780" max="780" width="3.77734375" style="2" customWidth="1"/>
    <col min="781" max="781" width="10.77734375" style="2" customWidth="1"/>
    <col min="782" max="782" width="4.21875" style="2" customWidth="1"/>
    <col min="783" max="783" width="12.21875" style="2" customWidth="1"/>
    <col min="784" max="784" width="10.21875" style="2" customWidth="1"/>
    <col min="785" max="785" width="9.21875" style="2" customWidth="1"/>
    <col min="786" max="1024" width="9.21875" style="2"/>
    <col min="1025" max="1025" width="4.21875" style="2" customWidth="1"/>
    <col min="1026" max="1026" width="2.5546875" style="2" customWidth="1"/>
    <col min="1027" max="1030" width="9.21875" style="2"/>
    <col min="1031" max="1031" width="4.5546875" style="2" customWidth="1"/>
    <col min="1032" max="1032" width="10.21875" style="2" customWidth="1"/>
    <col min="1033" max="1033" width="3.21875" style="2" customWidth="1"/>
    <col min="1034" max="1034" width="9.21875" style="2"/>
    <col min="1035" max="1035" width="6.21875" style="2" customWidth="1"/>
    <col min="1036" max="1036" width="3.77734375" style="2" customWidth="1"/>
    <col min="1037" max="1037" width="10.77734375" style="2" customWidth="1"/>
    <col min="1038" max="1038" width="4.21875" style="2" customWidth="1"/>
    <col min="1039" max="1039" width="12.21875" style="2" customWidth="1"/>
    <col min="1040" max="1040" width="10.21875" style="2" customWidth="1"/>
    <col min="1041" max="1041" width="9.21875" style="2" customWidth="1"/>
    <col min="1042" max="1280" width="9.21875" style="2"/>
    <col min="1281" max="1281" width="4.21875" style="2" customWidth="1"/>
    <col min="1282" max="1282" width="2.5546875" style="2" customWidth="1"/>
    <col min="1283" max="1286" width="9.21875" style="2"/>
    <col min="1287" max="1287" width="4.5546875" style="2" customWidth="1"/>
    <col min="1288" max="1288" width="10.21875" style="2" customWidth="1"/>
    <col min="1289" max="1289" width="3.21875" style="2" customWidth="1"/>
    <col min="1290" max="1290" width="9.21875" style="2"/>
    <col min="1291" max="1291" width="6.21875" style="2" customWidth="1"/>
    <col min="1292" max="1292" width="3.77734375" style="2" customWidth="1"/>
    <col min="1293" max="1293" width="10.77734375" style="2" customWidth="1"/>
    <col min="1294" max="1294" width="4.21875" style="2" customWidth="1"/>
    <col min="1295" max="1295" width="12.21875" style="2" customWidth="1"/>
    <col min="1296" max="1296" width="10.21875" style="2" customWidth="1"/>
    <col min="1297" max="1297" width="9.21875" style="2" customWidth="1"/>
    <col min="1298" max="1536" width="9.21875" style="2"/>
    <col min="1537" max="1537" width="4.21875" style="2" customWidth="1"/>
    <col min="1538" max="1538" width="2.5546875" style="2" customWidth="1"/>
    <col min="1539" max="1542" width="9.21875" style="2"/>
    <col min="1543" max="1543" width="4.5546875" style="2" customWidth="1"/>
    <col min="1544" max="1544" width="10.21875" style="2" customWidth="1"/>
    <col min="1545" max="1545" width="3.21875" style="2" customWidth="1"/>
    <col min="1546" max="1546" width="9.21875" style="2"/>
    <col min="1547" max="1547" width="6.21875" style="2" customWidth="1"/>
    <col min="1548" max="1548" width="3.77734375" style="2" customWidth="1"/>
    <col min="1549" max="1549" width="10.77734375" style="2" customWidth="1"/>
    <col min="1550" max="1550" width="4.21875" style="2" customWidth="1"/>
    <col min="1551" max="1551" width="12.21875" style="2" customWidth="1"/>
    <col min="1552" max="1552" width="10.21875" style="2" customWidth="1"/>
    <col min="1553" max="1553" width="9.21875" style="2" customWidth="1"/>
    <col min="1554" max="1792" width="9.21875" style="2"/>
    <col min="1793" max="1793" width="4.21875" style="2" customWidth="1"/>
    <col min="1794" max="1794" width="2.5546875" style="2" customWidth="1"/>
    <col min="1795" max="1798" width="9.21875" style="2"/>
    <col min="1799" max="1799" width="4.5546875" style="2" customWidth="1"/>
    <col min="1800" max="1800" width="10.21875" style="2" customWidth="1"/>
    <col min="1801" max="1801" width="3.21875" style="2" customWidth="1"/>
    <col min="1802" max="1802" width="9.21875" style="2"/>
    <col min="1803" max="1803" width="6.21875" style="2" customWidth="1"/>
    <col min="1804" max="1804" width="3.77734375" style="2" customWidth="1"/>
    <col min="1805" max="1805" width="10.77734375" style="2" customWidth="1"/>
    <col min="1806" max="1806" width="4.21875" style="2" customWidth="1"/>
    <col min="1807" max="1807" width="12.21875" style="2" customWidth="1"/>
    <col min="1808" max="1808" width="10.21875" style="2" customWidth="1"/>
    <col min="1809" max="1809" width="9.21875" style="2" customWidth="1"/>
    <col min="1810" max="2048" width="9.21875" style="2"/>
    <col min="2049" max="2049" width="4.21875" style="2" customWidth="1"/>
    <col min="2050" max="2050" width="2.5546875" style="2" customWidth="1"/>
    <col min="2051" max="2054" width="9.21875" style="2"/>
    <col min="2055" max="2055" width="4.5546875" style="2" customWidth="1"/>
    <col min="2056" max="2056" width="10.21875" style="2" customWidth="1"/>
    <col min="2057" max="2057" width="3.21875" style="2" customWidth="1"/>
    <col min="2058" max="2058" width="9.21875" style="2"/>
    <col min="2059" max="2059" width="6.21875" style="2" customWidth="1"/>
    <col min="2060" max="2060" width="3.77734375" style="2" customWidth="1"/>
    <col min="2061" max="2061" width="10.77734375" style="2" customWidth="1"/>
    <col min="2062" max="2062" width="4.21875" style="2" customWidth="1"/>
    <col min="2063" max="2063" width="12.21875" style="2" customWidth="1"/>
    <col min="2064" max="2064" width="10.21875" style="2" customWidth="1"/>
    <col min="2065" max="2065" width="9.21875" style="2" customWidth="1"/>
    <col min="2066" max="2304" width="9.21875" style="2"/>
    <col min="2305" max="2305" width="4.21875" style="2" customWidth="1"/>
    <col min="2306" max="2306" width="2.5546875" style="2" customWidth="1"/>
    <col min="2307" max="2310" width="9.21875" style="2"/>
    <col min="2311" max="2311" width="4.5546875" style="2" customWidth="1"/>
    <col min="2312" max="2312" width="10.21875" style="2" customWidth="1"/>
    <col min="2313" max="2313" width="3.21875" style="2" customWidth="1"/>
    <col min="2314" max="2314" width="9.21875" style="2"/>
    <col min="2315" max="2315" width="6.21875" style="2" customWidth="1"/>
    <col min="2316" max="2316" width="3.77734375" style="2" customWidth="1"/>
    <col min="2317" max="2317" width="10.77734375" style="2" customWidth="1"/>
    <col min="2318" max="2318" width="4.21875" style="2" customWidth="1"/>
    <col min="2319" max="2319" width="12.21875" style="2" customWidth="1"/>
    <col min="2320" max="2320" width="10.21875" style="2" customWidth="1"/>
    <col min="2321" max="2321" width="9.21875" style="2" customWidth="1"/>
    <col min="2322" max="2560" width="9.21875" style="2"/>
    <col min="2561" max="2561" width="4.21875" style="2" customWidth="1"/>
    <col min="2562" max="2562" width="2.5546875" style="2" customWidth="1"/>
    <col min="2563" max="2566" width="9.21875" style="2"/>
    <col min="2567" max="2567" width="4.5546875" style="2" customWidth="1"/>
    <col min="2568" max="2568" width="10.21875" style="2" customWidth="1"/>
    <col min="2569" max="2569" width="3.21875" style="2" customWidth="1"/>
    <col min="2570" max="2570" width="9.21875" style="2"/>
    <col min="2571" max="2571" width="6.21875" style="2" customWidth="1"/>
    <col min="2572" max="2572" width="3.77734375" style="2" customWidth="1"/>
    <col min="2573" max="2573" width="10.77734375" style="2" customWidth="1"/>
    <col min="2574" max="2574" width="4.21875" style="2" customWidth="1"/>
    <col min="2575" max="2575" width="12.21875" style="2" customWidth="1"/>
    <col min="2576" max="2576" width="10.21875" style="2" customWidth="1"/>
    <col min="2577" max="2577" width="9.21875" style="2" customWidth="1"/>
    <col min="2578" max="2816" width="9.21875" style="2"/>
    <col min="2817" max="2817" width="4.21875" style="2" customWidth="1"/>
    <col min="2818" max="2818" width="2.5546875" style="2" customWidth="1"/>
    <col min="2819" max="2822" width="9.21875" style="2"/>
    <col min="2823" max="2823" width="4.5546875" style="2" customWidth="1"/>
    <col min="2824" max="2824" width="10.21875" style="2" customWidth="1"/>
    <col min="2825" max="2825" width="3.21875" style="2" customWidth="1"/>
    <col min="2826" max="2826" width="9.21875" style="2"/>
    <col min="2827" max="2827" width="6.21875" style="2" customWidth="1"/>
    <col min="2828" max="2828" width="3.77734375" style="2" customWidth="1"/>
    <col min="2829" max="2829" width="10.77734375" style="2" customWidth="1"/>
    <col min="2830" max="2830" width="4.21875" style="2" customWidth="1"/>
    <col min="2831" max="2831" width="12.21875" style="2" customWidth="1"/>
    <col min="2832" max="2832" width="10.21875" style="2" customWidth="1"/>
    <col min="2833" max="2833" width="9.21875" style="2" customWidth="1"/>
    <col min="2834" max="3072" width="9.21875" style="2"/>
    <col min="3073" max="3073" width="4.21875" style="2" customWidth="1"/>
    <col min="3074" max="3074" width="2.5546875" style="2" customWidth="1"/>
    <col min="3075" max="3078" width="9.21875" style="2"/>
    <col min="3079" max="3079" width="4.5546875" style="2" customWidth="1"/>
    <col min="3080" max="3080" width="10.21875" style="2" customWidth="1"/>
    <col min="3081" max="3081" width="3.21875" style="2" customWidth="1"/>
    <col min="3082" max="3082" width="9.21875" style="2"/>
    <col min="3083" max="3083" width="6.21875" style="2" customWidth="1"/>
    <col min="3084" max="3084" width="3.77734375" style="2" customWidth="1"/>
    <col min="3085" max="3085" width="10.77734375" style="2" customWidth="1"/>
    <col min="3086" max="3086" width="4.21875" style="2" customWidth="1"/>
    <col min="3087" max="3087" width="12.21875" style="2" customWidth="1"/>
    <col min="3088" max="3088" width="10.21875" style="2" customWidth="1"/>
    <col min="3089" max="3089" width="9.21875" style="2" customWidth="1"/>
    <col min="3090" max="3328" width="9.21875" style="2"/>
    <col min="3329" max="3329" width="4.21875" style="2" customWidth="1"/>
    <col min="3330" max="3330" width="2.5546875" style="2" customWidth="1"/>
    <col min="3331" max="3334" width="9.21875" style="2"/>
    <col min="3335" max="3335" width="4.5546875" style="2" customWidth="1"/>
    <col min="3336" max="3336" width="10.21875" style="2" customWidth="1"/>
    <col min="3337" max="3337" width="3.21875" style="2" customWidth="1"/>
    <col min="3338" max="3338" width="9.21875" style="2"/>
    <col min="3339" max="3339" width="6.21875" style="2" customWidth="1"/>
    <col min="3340" max="3340" width="3.77734375" style="2" customWidth="1"/>
    <col min="3341" max="3341" width="10.77734375" style="2" customWidth="1"/>
    <col min="3342" max="3342" width="4.21875" style="2" customWidth="1"/>
    <col min="3343" max="3343" width="12.21875" style="2" customWidth="1"/>
    <col min="3344" max="3344" width="10.21875" style="2" customWidth="1"/>
    <col min="3345" max="3345" width="9.21875" style="2" customWidth="1"/>
    <col min="3346" max="3584" width="9.21875" style="2"/>
    <col min="3585" max="3585" width="4.21875" style="2" customWidth="1"/>
    <col min="3586" max="3586" width="2.5546875" style="2" customWidth="1"/>
    <col min="3587" max="3590" width="9.21875" style="2"/>
    <col min="3591" max="3591" width="4.5546875" style="2" customWidth="1"/>
    <col min="3592" max="3592" width="10.21875" style="2" customWidth="1"/>
    <col min="3593" max="3593" width="3.21875" style="2" customWidth="1"/>
    <col min="3594" max="3594" width="9.21875" style="2"/>
    <col min="3595" max="3595" width="6.21875" style="2" customWidth="1"/>
    <col min="3596" max="3596" width="3.77734375" style="2" customWidth="1"/>
    <col min="3597" max="3597" width="10.77734375" style="2" customWidth="1"/>
    <col min="3598" max="3598" width="4.21875" style="2" customWidth="1"/>
    <col min="3599" max="3599" width="12.21875" style="2" customWidth="1"/>
    <col min="3600" max="3600" width="10.21875" style="2" customWidth="1"/>
    <col min="3601" max="3601" width="9.21875" style="2" customWidth="1"/>
    <col min="3602" max="3840" width="9.21875" style="2"/>
    <col min="3841" max="3841" width="4.21875" style="2" customWidth="1"/>
    <col min="3842" max="3842" width="2.5546875" style="2" customWidth="1"/>
    <col min="3843" max="3846" width="9.21875" style="2"/>
    <col min="3847" max="3847" width="4.5546875" style="2" customWidth="1"/>
    <col min="3848" max="3848" width="10.21875" style="2" customWidth="1"/>
    <col min="3849" max="3849" width="3.21875" style="2" customWidth="1"/>
    <col min="3850" max="3850" width="9.21875" style="2"/>
    <col min="3851" max="3851" width="6.21875" style="2" customWidth="1"/>
    <col min="3852" max="3852" width="3.77734375" style="2" customWidth="1"/>
    <col min="3853" max="3853" width="10.77734375" style="2" customWidth="1"/>
    <col min="3854" max="3854" width="4.21875" style="2" customWidth="1"/>
    <col min="3855" max="3855" width="12.21875" style="2" customWidth="1"/>
    <col min="3856" max="3856" width="10.21875" style="2" customWidth="1"/>
    <col min="3857" max="3857" width="9.21875" style="2" customWidth="1"/>
    <col min="3858" max="4096" width="9.21875" style="2"/>
    <col min="4097" max="4097" width="4.21875" style="2" customWidth="1"/>
    <col min="4098" max="4098" width="2.5546875" style="2" customWidth="1"/>
    <col min="4099" max="4102" width="9.21875" style="2"/>
    <col min="4103" max="4103" width="4.5546875" style="2" customWidth="1"/>
    <col min="4104" max="4104" width="10.21875" style="2" customWidth="1"/>
    <col min="4105" max="4105" width="3.21875" style="2" customWidth="1"/>
    <col min="4106" max="4106" width="9.21875" style="2"/>
    <col min="4107" max="4107" width="6.21875" style="2" customWidth="1"/>
    <col min="4108" max="4108" width="3.77734375" style="2" customWidth="1"/>
    <col min="4109" max="4109" width="10.77734375" style="2" customWidth="1"/>
    <col min="4110" max="4110" width="4.21875" style="2" customWidth="1"/>
    <col min="4111" max="4111" width="12.21875" style="2" customWidth="1"/>
    <col min="4112" max="4112" width="10.21875" style="2" customWidth="1"/>
    <col min="4113" max="4113" width="9.21875" style="2" customWidth="1"/>
    <col min="4114" max="4352" width="9.21875" style="2"/>
    <col min="4353" max="4353" width="4.21875" style="2" customWidth="1"/>
    <col min="4354" max="4354" width="2.5546875" style="2" customWidth="1"/>
    <col min="4355" max="4358" width="9.21875" style="2"/>
    <col min="4359" max="4359" width="4.5546875" style="2" customWidth="1"/>
    <col min="4360" max="4360" width="10.21875" style="2" customWidth="1"/>
    <col min="4361" max="4361" width="3.21875" style="2" customWidth="1"/>
    <col min="4362" max="4362" width="9.21875" style="2"/>
    <col min="4363" max="4363" width="6.21875" style="2" customWidth="1"/>
    <col min="4364" max="4364" width="3.77734375" style="2" customWidth="1"/>
    <col min="4365" max="4365" width="10.77734375" style="2" customWidth="1"/>
    <col min="4366" max="4366" width="4.21875" style="2" customWidth="1"/>
    <col min="4367" max="4367" width="12.21875" style="2" customWidth="1"/>
    <col min="4368" max="4368" width="10.21875" style="2" customWidth="1"/>
    <col min="4369" max="4369" width="9.21875" style="2" customWidth="1"/>
    <col min="4370" max="4608" width="9.21875" style="2"/>
    <col min="4609" max="4609" width="4.21875" style="2" customWidth="1"/>
    <col min="4610" max="4610" width="2.5546875" style="2" customWidth="1"/>
    <col min="4611" max="4614" width="9.21875" style="2"/>
    <col min="4615" max="4615" width="4.5546875" style="2" customWidth="1"/>
    <col min="4616" max="4616" width="10.21875" style="2" customWidth="1"/>
    <col min="4617" max="4617" width="3.21875" style="2" customWidth="1"/>
    <col min="4618" max="4618" width="9.21875" style="2"/>
    <col min="4619" max="4619" width="6.21875" style="2" customWidth="1"/>
    <col min="4620" max="4620" width="3.77734375" style="2" customWidth="1"/>
    <col min="4621" max="4621" width="10.77734375" style="2" customWidth="1"/>
    <col min="4622" max="4622" width="4.21875" style="2" customWidth="1"/>
    <col min="4623" max="4623" width="12.21875" style="2" customWidth="1"/>
    <col min="4624" max="4624" width="10.21875" style="2" customWidth="1"/>
    <col min="4625" max="4625" width="9.21875" style="2" customWidth="1"/>
    <col min="4626" max="4864" width="9.21875" style="2"/>
    <col min="4865" max="4865" width="4.21875" style="2" customWidth="1"/>
    <col min="4866" max="4866" width="2.5546875" style="2" customWidth="1"/>
    <col min="4867" max="4870" width="9.21875" style="2"/>
    <col min="4871" max="4871" width="4.5546875" style="2" customWidth="1"/>
    <col min="4872" max="4872" width="10.21875" style="2" customWidth="1"/>
    <col min="4873" max="4873" width="3.21875" style="2" customWidth="1"/>
    <col min="4874" max="4874" width="9.21875" style="2"/>
    <col min="4875" max="4875" width="6.21875" style="2" customWidth="1"/>
    <col min="4876" max="4876" width="3.77734375" style="2" customWidth="1"/>
    <col min="4877" max="4877" width="10.77734375" style="2" customWidth="1"/>
    <col min="4878" max="4878" width="4.21875" style="2" customWidth="1"/>
    <col min="4879" max="4879" width="12.21875" style="2" customWidth="1"/>
    <col min="4880" max="4880" width="10.21875" style="2" customWidth="1"/>
    <col min="4881" max="4881" width="9.21875" style="2" customWidth="1"/>
    <col min="4882" max="5120" width="9.21875" style="2"/>
    <col min="5121" max="5121" width="4.21875" style="2" customWidth="1"/>
    <col min="5122" max="5122" width="2.5546875" style="2" customWidth="1"/>
    <col min="5123" max="5126" width="9.21875" style="2"/>
    <col min="5127" max="5127" width="4.5546875" style="2" customWidth="1"/>
    <col min="5128" max="5128" width="10.21875" style="2" customWidth="1"/>
    <col min="5129" max="5129" width="3.21875" style="2" customWidth="1"/>
    <col min="5130" max="5130" width="9.21875" style="2"/>
    <col min="5131" max="5131" width="6.21875" style="2" customWidth="1"/>
    <col min="5132" max="5132" width="3.77734375" style="2" customWidth="1"/>
    <col min="5133" max="5133" width="10.77734375" style="2" customWidth="1"/>
    <col min="5134" max="5134" width="4.21875" style="2" customWidth="1"/>
    <col min="5135" max="5135" width="12.21875" style="2" customWidth="1"/>
    <col min="5136" max="5136" width="10.21875" style="2" customWidth="1"/>
    <col min="5137" max="5137" width="9.21875" style="2" customWidth="1"/>
    <col min="5138" max="5376" width="9.21875" style="2"/>
    <col min="5377" max="5377" width="4.21875" style="2" customWidth="1"/>
    <col min="5378" max="5378" width="2.5546875" style="2" customWidth="1"/>
    <col min="5379" max="5382" width="9.21875" style="2"/>
    <col min="5383" max="5383" width="4.5546875" style="2" customWidth="1"/>
    <col min="5384" max="5384" width="10.21875" style="2" customWidth="1"/>
    <col min="5385" max="5385" width="3.21875" style="2" customWidth="1"/>
    <col min="5386" max="5386" width="9.21875" style="2"/>
    <col min="5387" max="5387" width="6.21875" style="2" customWidth="1"/>
    <col min="5388" max="5388" width="3.77734375" style="2" customWidth="1"/>
    <col min="5389" max="5389" width="10.77734375" style="2" customWidth="1"/>
    <col min="5390" max="5390" width="4.21875" style="2" customWidth="1"/>
    <col min="5391" max="5391" width="12.21875" style="2" customWidth="1"/>
    <col min="5392" max="5392" width="10.21875" style="2" customWidth="1"/>
    <col min="5393" max="5393" width="9.21875" style="2" customWidth="1"/>
    <col min="5394" max="5632" width="9.21875" style="2"/>
    <col min="5633" max="5633" width="4.21875" style="2" customWidth="1"/>
    <col min="5634" max="5634" width="2.5546875" style="2" customWidth="1"/>
    <col min="5635" max="5638" width="9.21875" style="2"/>
    <col min="5639" max="5639" width="4.5546875" style="2" customWidth="1"/>
    <col min="5640" max="5640" width="10.21875" style="2" customWidth="1"/>
    <col min="5641" max="5641" width="3.21875" style="2" customWidth="1"/>
    <col min="5642" max="5642" width="9.21875" style="2"/>
    <col min="5643" max="5643" width="6.21875" style="2" customWidth="1"/>
    <col min="5644" max="5644" width="3.77734375" style="2" customWidth="1"/>
    <col min="5645" max="5645" width="10.77734375" style="2" customWidth="1"/>
    <col min="5646" max="5646" width="4.21875" style="2" customWidth="1"/>
    <col min="5647" max="5647" width="12.21875" style="2" customWidth="1"/>
    <col min="5648" max="5648" width="10.21875" style="2" customWidth="1"/>
    <col min="5649" max="5649" width="9.21875" style="2" customWidth="1"/>
    <col min="5650" max="5888" width="9.21875" style="2"/>
    <col min="5889" max="5889" width="4.21875" style="2" customWidth="1"/>
    <col min="5890" max="5890" width="2.5546875" style="2" customWidth="1"/>
    <col min="5891" max="5894" width="9.21875" style="2"/>
    <col min="5895" max="5895" width="4.5546875" style="2" customWidth="1"/>
    <col min="5896" max="5896" width="10.21875" style="2" customWidth="1"/>
    <col min="5897" max="5897" width="3.21875" style="2" customWidth="1"/>
    <col min="5898" max="5898" width="9.21875" style="2"/>
    <col min="5899" max="5899" width="6.21875" style="2" customWidth="1"/>
    <col min="5900" max="5900" width="3.77734375" style="2" customWidth="1"/>
    <col min="5901" max="5901" width="10.77734375" style="2" customWidth="1"/>
    <col min="5902" max="5902" width="4.21875" style="2" customWidth="1"/>
    <col min="5903" max="5903" width="12.21875" style="2" customWidth="1"/>
    <col min="5904" max="5904" width="10.21875" style="2" customWidth="1"/>
    <col min="5905" max="5905" width="9.21875" style="2" customWidth="1"/>
    <col min="5906" max="6144" width="9.21875" style="2"/>
    <col min="6145" max="6145" width="4.21875" style="2" customWidth="1"/>
    <col min="6146" max="6146" width="2.5546875" style="2" customWidth="1"/>
    <col min="6147" max="6150" width="9.21875" style="2"/>
    <col min="6151" max="6151" width="4.5546875" style="2" customWidth="1"/>
    <col min="6152" max="6152" width="10.21875" style="2" customWidth="1"/>
    <col min="6153" max="6153" width="3.21875" style="2" customWidth="1"/>
    <col min="6154" max="6154" width="9.21875" style="2"/>
    <col min="6155" max="6155" width="6.21875" style="2" customWidth="1"/>
    <col min="6156" max="6156" width="3.77734375" style="2" customWidth="1"/>
    <col min="6157" max="6157" width="10.77734375" style="2" customWidth="1"/>
    <col min="6158" max="6158" width="4.21875" style="2" customWidth="1"/>
    <col min="6159" max="6159" width="12.21875" style="2" customWidth="1"/>
    <col min="6160" max="6160" width="10.21875" style="2" customWidth="1"/>
    <col min="6161" max="6161" width="9.21875" style="2" customWidth="1"/>
    <col min="6162" max="6400" width="9.21875" style="2"/>
    <col min="6401" max="6401" width="4.21875" style="2" customWidth="1"/>
    <col min="6402" max="6402" width="2.5546875" style="2" customWidth="1"/>
    <col min="6403" max="6406" width="9.21875" style="2"/>
    <col min="6407" max="6407" width="4.5546875" style="2" customWidth="1"/>
    <col min="6408" max="6408" width="10.21875" style="2" customWidth="1"/>
    <col min="6409" max="6409" width="3.21875" style="2" customWidth="1"/>
    <col min="6410" max="6410" width="9.21875" style="2"/>
    <col min="6411" max="6411" width="6.21875" style="2" customWidth="1"/>
    <col min="6412" max="6412" width="3.77734375" style="2" customWidth="1"/>
    <col min="6413" max="6413" width="10.77734375" style="2" customWidth="1"/>
    <col min="6414" max="6414" width="4.21875" style="2" customWidth="1"/>
    <col min="6415" max="6415" width="12.21875" style="2" customWidth="1"/>
    <col min="6416" max="6416" width="10.21875" style="2" customWidth="1"/>
    <col min="6417" max="6417" width="9.21875" style="2" customWidth="1"/>
    <col min="6418" max="6656" width="9.21875" style="2"/>
    <col min="6657" max="6657" width="4.21875" style="2" customWidth="1"/>
    <col min="6658" max="6658" width="2.5546875" style="2" customWidth="1"/>
    <col min="6659" max="6662" width="9.21875" style="2"/>
    <col min="6663" max="6663" width="4.5546875" style="2" customWidth="1"/>
    <col min="6664" max="6664" width="10.21875" style="2" customWidth="1"/>
    <col min="6665" max="6665" width="3.21875" style="2" customWidth="1"/>
    <col min="6666" max="6666" width="9.21875" style="2"/>
    <col min="6667" max="6667" width="6.21875" style="2" customWidth="1"/>
    <col min="6668" max="6668" width="3.77734375" style="2" customWidth="1"/>
    <col min="6669" max="6669" width="10.77734375" style="2" customWidth="1"/>
    <col min="6670" max="6670" width="4.21875" style="2" customWidth="1"/>
    <col min="6671" max="6671" width="12.21875" style="2" customWidth="1"/>
    <col min="6672" max="6672" width="10.21875" style="2" customWidth="1"/>
    <col min="6673" max="6673" width="9.21875" style="2" customWidth="1"/>
    <col min="6674" max="6912" width="9.21875" style="2"/>
    <col min="6913" max="6913" width="4.21875" style="2" customWidth="1"/>
    <col min="6914" max="6914" width="2.5546875" style="2" customWidth="1"/>
    <col min="6915" max="6918" width="9.21875" style="2"/>
    <col min="6919" max="6919" width="4.5546875" style="2" customWidth="1"/>
    <col min="6920" max="6920" width="10.21875" style="2" customWidth="1"/>
    <col min="6921" max="6921" width="3.21875" style="2" customWidth="1"/>
    <col min="6922" max="6922" width="9.21875" style="2"/>
    <col min="6923" max="6923" width="6.21875" style="2" customWidth="1"/>
    <col min="6924" max="6924" width="3.77734375" style="2" customWidth="1"/>
    <col min="6925" max="6925" width="10.77734375" style="2" customWidth="1"/>
    <col min="6926" max="6926" width="4.21875" style="2" customWidth="1"/>
    <col min="6927" max="6927" width="12.21875" style="2" customWidth="1"/>
    <col min="6928" max="6928" width="10.21875" style="2" customWidth="1"/>
    <col min="6929" max="6929" width="9.21875" style="2" customWidth="1"/>
    <col min="6930" max="7168" width="9.21875" style="2"/>
    <col min="7169" max="7169" width="4.21875" style="2" customWidth="1"/>
    <col min="7170" max="7170" width="2.5546875" style="2" customWidth="1"/>
    <col min="7171" max="7174" width="9.21875" style="2"/>
    <col min="7175" max="7175" width="4.5546875" style="2" customWidth="1"/>
    <col min="7176" max="7176" width="10.21875" style="2" customWidth="1"/>
    <col min="7177" max="7177" width="3.21875" style="2" customWidth="1"/>
    <col min="7178" max="7178" width="9.21875" style="2"/>
    <col min="7179" max="7179" width="6.21875" style="2" customWidth="1"/>
    <col min="7180" max="7180" width="3.77734375" style="2" customWidth="1"/>
    <col min="7181" max="7181" width="10.77734375" style="2" customWidth="1"/>
    <col min="7182" max="7182" width="4.21875" style="2" customWidth="1"/>
    <col min="7183" max="7183" width="12.21875" style="2" customWidth="1"/>
    <col min="7184" max="7184" width="10.21875" style="2" customWidth="1"/>
    <col min="7185" max="7185" width="9.21875" style="2" customWidth="1"/>
    <col min="7186" max="7424" width="9.21875" style="2"/>
    <col min="7425" max="7425" width="4.21875" style="2" customWidth="1"/>
    <col min="7426" max="7426" width="2.5546875" style="2" customWidth="1"/>
    <col min="7427" max="7430" width="9.21875" style="2"/>
    <col min="7431" max="7431" width="4.5546875" style="2" customWidth="1"/>
    <col min="7432" max="7432" width="10.21875" style="2" customWidth="1"/>
    <col min="7433" max="7433" width="3.21875" style="2" customWidth="1"/>
    <col min="7434" max="7434" width="9.21875" style="2"/>
    <col min="7435" max="7435" width="6.21875" style="2" customWidth="1"/>
    <col min="7436" max="7436" width="3.77734375" style="2" customWidth="1"/>
    <col min="7437" max="7437" width="10.77734375" style="2" customWidth="1"/>
    <col min="7438" max="7438" width="4.21875" style="2" customWidth="1"/>
    <col min="7439" max="7439" width="12.21875" style="2" customWidth="1"/>
    <col min="7440" max="7440" width="10.21875" style="2" customWidth="1"/>
    <col min="7441" max="7441" width="9.21875" style="2" customWidth="1"/>
    <col min="7442" max="7680" width="9.21875" style="2"/>
    <col min="7681" max="7681" width="4.21875" style="2" customWidth="1"/>
    <col min="7682" max="7682" width="2.5546875" style="2" customWidth="1"/>
    <col min="7683" max="7686" width="9.21875" style="2"/>
    <col min="7687" max="7687" width="4.5546875" style="2" customWidth="1"/>
    <col min="7688" max="7688" width="10.21875" style="2" customWidth="1"/>
    <col min="7689" max="7689" width="3.21875" style="2" customWidth="1"/>
    <col min="7690" max="7690" width="9.21875" style="2"/>
    <col min="7691" max="7691" width="6.21875" style="2" customWidth="1"/>
    <col min="7692" max="7692" width="3.77734375" style="2" customWidth="1"/>
    <col min="7693" max="7693" width="10.77734375" style="2" customWidth="1"/>
    <col min="7694" max="7694" width="4.21875" style="2" customWidth="1"/>
    <col min="7695" max="7695" width="12.21875" style="2" customWidth="1"/>
    <col min="7696" max="7696" width="10.21875" style="2" customWidth="1"/>
    <col min="7697" max="7697" width="9.21875" style="2" customWidth="1"/>
    <col min="7698" max="7936" width="9.21875" style="2"/>
    <col min="7937" max="7937" width="4.21875" style="2" customWidth="1"/>
    <col min="7938" max="7938" width="2.5546875" style="2" customWidth="1"/>
    <col min="7939" max="7942" width="9.21875" style="2"/>
    <col min="7943" max="7943" width="4.5546875" style="2" customWidth="1"/>
    <col min="7944" max="7944" width="10.21875" style="2" customWidth="1"/>
    <col min="7945" max="7945" width="3.21875" style="2" customWidth="1"/>
    <col min="7946" max="7946" width="9.21875" style="2"/>
    <col min="7947" max="7947" width="6.21875" style="2" customWidth="1"/>
    <col min="7948" max="7948" width="3.77734375" style="2" customWidth="1"/>
    <col min="7949" max="7949" width="10.77734375" style="2" customWidth="1"/>
    <col min="7950" max="7950" width="4.21875" style="2" customWidth="1"/>
    <col min="7951" max="7951" width="12.21875" style="2" customWidth="1"/>
    <col min="7952" max="7952" width="10.21875" style="2" customWidth="1"/>
    <col min="7953" max="7953" width="9.21875" style="2" customWidth="1"/>
    <col min="7954" max="8192" width="9.21875" style="2"/>
    <col min="8193" max="8193" width="4.21875" style="2" customWidth="1"/>
    <col min="8194" max="8194" width="2.5546875" style="2" customWidth="1"/>
    <col min="8195" max="8198" width="9.21875" style="2"/>
    <col min="8199" max="8199" width="4.5546875" style="2" customWidth="1"/>
    <col min="8200" max="8200" width="10.21875" style="2" customWidth="1"/>
    <col min="8201" max="8201" width="3.21875" style="2" customWidth="1"/>
    <col min="8202" max="8202" width="9.21875" style="2"/>
    <col min="8203" max="8203" width="6.21875" style="2" customWidth="1"/>
    <col min="8204" max="8204" width="3.77734375" style="2" customWidth="1"/>
    <col min="8205" max="8205" width="10.77734375" style="2" customWidth="1"/>
    <col min="8206" max="8206" width="4.21875" style="2" customWidth="1"/>
    <col min="8207" max="8207" width="12.21875" style="2" customWidth="1"/>
    <col min="8208" max="8208" width="10.21875" style="2" customWidth="1"/>
    <col min="8209" max="8209" width="9.21875" style="2" customWidth="1"/>
    <col min="8210" max="8448" width="9.21875" style="2"/>
    <col min="8449" max="8449" width="4.21875" style="2" customWidth="1"/>
    <col min="8450" max="8450" width="2.5546875" style="2" customWidth="1"/>
    <col min="8451" max="8454" width="9.21875" style="2"/>
    <col min="8455" max="8455" width="4.5546875" style="2" customWidth="1"/>
    <col min="8456" max="8456" width="10.21875" style="2" customWidth="1"/>
    <col min="8457" max="8457" width="3.21875" style="2" customWidth="1"/>
    <col min="8458" max="8458" width="9.21875" style="2"/>
    <col min="8459" max="8459" width="6.21875" style="2" customWidth="1"/>
    <col min="8460" max="8460" width="3.77734375" style="2" customWidth="1"/>
    <col min="8461" max="8461" width="10.77734375" style="2" customWidth="1"/>
    <col min="8462" max="8462" width="4.21875" style="2" customWidth="1"/>
    <col min="8463" max="8463" width="12.21875" style="2" customWidth="1"/>
    <col min="8464" max="8464" width="10.21875" style="2" customWidth="1"/>
    <col min="8465" max="8465" width="9.21875" style="2" customWidth="1"/>
    <col min="8466" max="8704" width="9.21875" style="2"/>
    <col min="8705" max="8705" width="4.21875" style="2" customWidth="1"/>
    <col min="8706" max="8706" width="2.5546875" style="2" customWidth="1"/>
    <col min="8707" max="8710" width="9.21875" style="2"/>
    <col min="8711" max="8711" width="4.5546875" style="2" customWidth="1"/>
    <col min="8712" max="8712" width="10.21875" style="2" customWidth="1"/>
    <col min="8713" max="8713" width="3.21875" style="2" customWidth="1"/>
    <col min="8714" max="8714" width="9.21875" style="2"/>
    <col min="8715" max="8715" width="6.21875" style="2" customWidth="1"/>
    <col min="8716" max="8716" width="3.77734375" style="2" customWidth="1"/>
    <col min="8717" max="8717" width="10.77734375" style="2" customWidth="1"/>
    <col min="8718" max="8718" width="4.21875" style="2" customWidth="1"/>
    <col min="8719" max="8719" width="12.21875" style="2" customWidth="1"/>
    <col min="8720" max="8720" width="10.21875" style="2" customWidth="1"/>
    <col min="8721" max="8721" width="9.21875" style="2" customWidth="1"/>
    <col min="8722" max="8960" width="9.21875" style="2"/>
    <col min="8961" max="8961" width="4.21875" style="2" customWidth="1"/>
    <col min="8962" max="8962" width="2.5546875" style="2" customWidth="1"/>
    <col min="8963" max="8966" width="9.21875" style="2"/>
    <col min="8967" max="8967" width="4.5546875" style="2" customWidth="1"/>
    <col min="8968" max="8968" width="10.21875" style="2" customWidth="1"/>
    <col min="8969" max="8969" width="3.21875" style="2" customWidth="1"/>
    <col min="8970" max="8970" width="9.21875" style="2"/>
    <col min="8971" max="8971" width="6.21875" style="2" customWidth="1"/>
    <col min="8972" max="8972" width="3.77734375" style="2" customWidth="1"/>
    <col min="8973" max="8973" width="10.77734375" style="2" customWidth="1"/>
    <col min="8974" max="8974" width="4.21875" style="2" customWidth="1"/>
    <col min="8975" max="8975" width="12.21875" style="2" customWidth="1"/>
    <col min="8976" max="8976" width="10.21875" style="2" customWidth="1"/>
    <col min="8977" max="8977" width="9.21875" style="2" customWidth="1"/>
    <col min="8978" max="9216" width="9.21875" style="2"/>
    <col min="9217" max="9217" width="4.21875" style="2" customWidth="1"/>
    <col min="9218" max="9218" width="2.5546875" style="2" customWidth="1"/>
    <col min="9219" max="9222" width="9.21875" style="2"/>
    <col min="9223" max="9223" width="4.5546875" style="2" customWidth="1"/>
    <col min="9224" max="9224" width="10.21875" style="2" customWidth="1"/>
    <col min="9225" max="9225" width="3.21875" style="2" customWidth="1"/>
    <col min="9226" max="9226" width="9.21875" style="2"/>
    <col min="9227" max="9227" width="6.21875" style="2" customWidth="1"/>
    <col min="9228" max="9228" width="3.77734375" style="2" customWidth="1"/>
    <col min="9229" max="9229" width="10.77734375" style="2" customWidth="1"/>
    <col min="9230" max="9230" width="4.21875" style="2" customWidth="1"/>
    <col min="9231" max="9231" width="12.21875" style="2" customWidth="1"/>
    <col min="9232" max="9232" width="10.21875" style="2" customWidth="1"/>
    <col min="9233" max="9233" width="9.21875" style="2" customWidth="1"/>
    <col min="9234" max="9472" width="9.21875" style="2"/>
    <col min="9473" max="9473" width="4.21875" style="2" customWidth="1"/>
    <col min="9474" max="9474" width="2.5546875" style="2" customWidth="1"/>
    <col min="9475" max="9478" width="9.21875" style="2"/>
    <col min="9479" max="9479" width="4.5546875" style="2" customWidth="1"/>
    <col min="9480" max="9480" width="10.21875" style="2" customWidth="1"/>
    <col min="9481" max="9481" width="3.21875" style="2" customWidth="1"/>
    <col min="9482" max="9482" width="9.21875" style="2"/>
    <col min="9483" max="9483" width="6.21875" style="2" customWidth="1"/>
    <col min="9484" max="9484" width="3.77734375" style="2" customWidth="1"/>
    <col min="9485" max="9485" width="10.77734375" style="2" customWidth="1"/>
    <col min="9486" max="9486" width="4.21875" style="2" customWidth="1"/>
    <col min="9487" max="9487" width="12.21875" style="2" customWidth="1"/>
    <col min="9488" max="9488" width="10.21875" style="2" customWidth="1"/>
    <col min="9489" max="9489" width="9.21875" style="2" customWidth="1"/>
    <col min="9490" max="9728" width="9.21875" style="2"/>
    <col min="9729" max="9729" width="4.21875" style="2" customWidth="1"/>
    <col min="9730" max="9730" width="2.5546875" style="2" customWidth="1"/>
    <col min="9731" max="9734" width="9.21875" style="2"/>
    <col min="9735" max="9735" width="4.5546875" style="2" customWidth="1"/>
    <col min="9736" max="9736" width="10.21875" style="2" customWidth="1"/>
    <col min="9737" max="9737" width="3.21875" style="2" customWidth="1"/>
    <col min="9738" max="9738" width="9.21875" style="2"/>
    <col min="9739" max="9739" width="6.21875" style="2" customWidth="1"/>
    <col min="9740" max="9740" width="3.77734375" style="2" customWidth="1"/>
    <col min="9741" max="9741" width="10.77734375" style="2" customWidth="1"/>
    <col min="9742" max="9742" width="4.21875" style="2" customWidth="1"/>
    <col min="9743" max="9743" width="12.21875" style="2" customWidth="1"/>
    <col min="9744" max="9744" width="10.21875" style="2" customWidth="1"/>
    <col min="9745" max="9745" width="9.21875" style="2" customWidth="1"/>
    <col min="9746" max="9984" width="9.21875" style="2"/>
    <col min="9985" max="9985" width="4.21875" style="2" customWidth="1"/>
    <col min="9986" max="9986" width="2.5546875" style="2" customWidth="1"/>
    <col min="9987" max="9990" width="9.21875" style="2"/>
    <col min="9991" max="9991" width="4.5546875" style="2" customWidth="1"/>
    <col min="9992" max="9992" width="10.21875" style="2" customWidth="1"/>
    <col min="9993" max="9993" width="3.21875" style="2" customWidth="1"/>
    <col min="9994" max="9994" width="9.21875" style="2"/>
    <col min="9995" max="9995" width="6.21875" style="2" customWidth="1"/>
    <col min="9996" max="9996" width="3.77734375" style="2" customWidth="1"/>
    <col min="9997" max="9997" width="10.77734375" style="2" customWidth="1"/>
    <col min="9998" max="9998" width="4.21875" style="2" customWidth="1"/>
    <col min="9999" max="9999" width="12.21875" style="2" customWidth="1"/>
    <col min="10000" max="10000" width="10.21875" style="2" customWidth="1"/>
    <col min="10001" max="10001" width="9.21875" style="2" customWidth="1"/>
    <col min="10002" max="10240" width="9.21875" style="2"/>
    <col min="10241" max="10241" width="4.21875" style="2" customWidth="1"/>
    <col min="10242" max="10242" width="2.5546875" style="2" customWidth="1"/>
    <col min="10243" max="10246" width="9.21875" style="2"/>
    <col min="10247" max="10247" width="4.5546875" style="2" customWidth="1"/>
    <col min="10248" max="10248" width="10.21875" style="2" customWidth="1"/>
    <col min="10249" max="10249" width="3.21875" style="2" customWidth="1"/>
    <col min="10250" max="10250" width="9.21875" style="2"/>
    <col min="10251" max="10251" width="6.21875" style="2" customWidth="1"/>
    <col min="10252" max="10252" width="3.77734375" style="2" customWidth="1"/>
    <col min="10253" max="10253" width="10.77734375" style="2" customWidth="1"/>
    <col min="10254" max="10254" width="4.21875" style="2" customWidth="1"/>
    <col min="10255" max="10255" width="12.21875" style="2" customWidth="1"/>
    <col min="10256" max="10256" width="10.21875" style="2" customWidth="1"/>
    <col min="10257" max="10257" width="9.21875" style="2" customWidth="1"/>
    <col min="10258" max="10496" width="9.21875" style="2"/>
    <col min="10497" max="10497" width="4.21875" style="2" customWidth="1"/>
    <col min="10498" max="10498" width="2.5546875" style="2" customWidth="1"/>
    <col min="10499" max="10502" width="9.21875" style="2"/>
    <col min="10503" max="10503" width="4.5546875" style="2" customWidth="1"/>
    <col min="10504" max="10504" width="10.21875" style="2" customWidth="1"/>
    <col min="10505" max="10505" width="3.21875" style="2" customWidth="1"/>
    <col min="10506" max="10506" width="9.21875" style="2"/>
    <col min="10507" max="10507" width="6.21875" style="2" customWidth="1"/>
    <col min="10508" max="10508" width="3.77734375" style="2" customWidth="1"/>
    <col min="10509" max="10509" width="10.77734375" style="2" customWidth="1"/>
    <col min="10510" max="10510" width="4.21875" style="2" customWidth="1"/>
    <col min="10511" max="10511" width="12.21875" style="2" customWidth="1"/>
    <col min="10512" max="10512" width="10.21875" style="2" customWidth="1"/>
    <col min="10513" max="10513" width="9.21875" style="2" customWidth="1"/>
    <col min="10514" max="10752" width="9.21875" style="2"/>
    <col min="10753" max="10753" width="4.21875" style="2" customWidth="1"/>
    <col min="10754" max="10754" width="2.5546875" style="2" customWidth="1"/>
    <col min="10755" max="10758" width="9.21875" style="2"/>
    <col min="10759" max="10759" width="4.5546875" style="2" customWidth="1"/>
    <col min="10760" max="10760" width="10.21875" style="2" customWidth="1"/>
    <col min="10761" max="10761" width="3.21875" style="2" customWidth="1"/>
    <col min="10762" max="10762" width="9.21875" style="2"/>
    <col min="10763" max="10763" width="6.21875" style="2" customWidth="1"/>
    <col min="10764" max="10764" width="3.77734375" style="2" customWidth="1"/>
    <col min="10765" max="10765" width="10.77734375" style="2" customWidth="1"/>
    <col min="10766" max="10766" width="4.21875" style="2" customWidth="1"/>
    <col min="10767" max="10767" width="12.21875" style="2" customWidth="1"/>
    <col min="10768" max="10768" width="10.21875" style="2" customWidth="1"/>
    <col min="10769" max="10769" width="9.21875" style="2" customWidth="1"/>
    <col min="10770" max="11008" width="9.21875" style="2"/>
    <col min="11009" max="11009" width="4.21875" style="2" customWidth="1"/>
    <col min="11010" max="11010" width="2.5546875" style="2" customWidth="1"/>
    <col min="11011" max="11014" width="9.21875" style="2"/>
    <col min="11015" max="11015" width="4.5546875" style="2" customWidth="1"/>
    <col min="11016" max="11016" width="10.21875" style="2" customWidth="1"/>
    <col min="11017" max="11017" width="3.21875" style="2" customWidth="1"/>
    <col min="11018" max="11018" width="9.21875" style="2"/>
    <col min="11019" max="11019" width="6.21875" style="2" customWidth="1"/>
    <col min="11020" max="11020" width="3.77734375" style="2" customWidth="1"/>
    <col min="11021" max="11021" width="10.77734375" style="2" customWidth="1"/>
    <col min="11022" max="11022" width="4.21875" style="2" customWidth="1"/>
    <col min="11023" max="11023" width="12.21875" style="2" customWidth="1"/>
    <col min="11024" max="11024" width="10.21875" style="2" customWidth="1"/>
    <col min="11025" max="11025" width="9.21875" style="2" customWidth="1"/>
    <col min="11026" max="11264" width="9.21875" style="2"/>
    <col min="11265" max="11265" width="4.21875" style="2" customWidth="1"/>
    <col min="11266" max="11266" width="2.5546875" style="2" customWidth="1"/>
    <col min="11267" max="11270" width="9.21875" style="2"/>
    <col min="11271" max="11271" width="4.5546875" style="2" customWidth="1"/>
    <col min="11272" max="11272" width="10.21875" style="2" customWidth="1"/>
    <col min="11273" max="11273" width="3.21875" style="2" customWidth="1"/>
    <col min="11274" max="11274" width="9.21875" style="2"/>
    <col min="11275" max="11275" width="6.21875" style="2" customWidth="1"/>
    <col min="11276" max="11276" width="3.77734375" style="2" customWidth="1"/>
    <col min="11277" max="11277" width="10.77734375" style="2" customWidth="1"/>
    <col min="11278" max="11278" width="4.21875" style="2" customWidth="1"/>
    <col min="11279" max="11279" width="12.21875" style="2" customWidth="1"/>
    <col min="11280" max="11280" width="10.21875" style="2" customWidth="1"/>
    <col min="11281" max="11281" width="9.21875" style="2" customWidth="1"/>
    <col min="11282" max="11520" width="9.21875" style="2"/>
    <col min="11521" max="11521" width="4.21875" style="2" customWidth="1"/>
    <col min="11522" max="11522" width="2.5546875" style="2" customWidth="1"/>
    <col min="11523" max="11526" width="9.21875" style="2"/>
    <col min="11527" max="11527" width="4.5546875" style="2" customWidth="1"/>
    <col min="11528" max="11528" width="10.21875" style="2" customWidth="1"/>
    <col min="11529" max="11529" width="3.21875" style="2" customWidth="1"/>
    <col min="11530" max="11530" width="9.21875" style="2"/>
    <col min="11531" max="11531" width="6.21875" style="2" customWidth="1"/>
    <col min="11532" max="11532" width="3.77734375" style="2" customWidth="1"/>
    <col min="11533" max="11533" width="10.77734375" style="2" customWidth="1"/>
    <col min="11534" max="11534" width="4.21875" style="2" customWidth="1"/>
    <col min="11535" max="11535" width="12.21875" style="2" customWidth="1"/>
    <col min="11536" max="11536" width="10.21875" style="2" customWidth="1"/>
    <col min="11537" max="11537" width="9.21875" style="2" customWidth="1"/>
    <col min="11538" max="11776" width="9.21875" style="2"/>
    <col min="11777" max="11777" width="4.21875" style="2" customWidth="1"/>
    <col min="11778" max="11778" width="2.5546875" style="2" customWidth="1"/>
    <col min="11779" max="11782" width="9.21875" style="2"/>
    <col min="11783" max="11783" width="4.5546875" style="2" customWidth="1"/>
    <col min="11784" max="11784" width="10.21875" style="2" customWidth="1"/>
    <col min="11785" max="11785" width="3.21875" style="2" customWidth="1"/>
    <col min="11786" max="11786" width="9.21875" style="2"/>
    <col min="11787" max="11787" width="6.21875" style="2" customWidth="1"/>
    <col min="11788" max="11788" width="3.77734375" style="2" customWidth="1"/>
    <col min="11789" max="11789" width="10.77734375" style="2" customWidth="1"/>
    <col min="11790" max="11790" width="4.21875" style="2" customWidth="1"/>
    <col min="11791" max="11791" width="12.21875" style="2" customWidth="1"/>
    <col min="11792" max="11792" width="10.21875" style="2" customWidth="1"/>
    <col min="11793" max="11793" width="9.21875" style="2" customWidth="1"/>
    <col min="11794" max="12032" width="9.21875" style="2"/>
    <col min="12033" max="12033" width="4.21875" style="2" customWidth="1"/>
    <col min="12034" max="12034" width="2.5546875" style="2" customWidth="1"/>
    <col min="12035" max="12038" width="9.21875" style="2"/>
    <col min="12039" max="12039" width="4.5546875" style="2" customWidth="1"/>
    <col min="12040" max="12040" width="10.21875" style="2" customWidth="1"/>
    <col min="12041" max="12041" width="3.21875" style="2" customWidth="1"/>
    <col min="12042" max="12042" width="9.21875" style="2"/>
    <col min="12043" max="12043" width="6.21875" style="2" customWidth="1"/>
    <col min="12044" max="12044" width="3.77734375" style="2" customWidth="1"/>
    <col min="12045" max="12045" width="10.77734375" style="2" customWidth="1"/>
    <col min="12046" max="12046" width="4.21875" style="2" customWidth="1"/>
    <col min="12047" max="12047" width="12.21875" style="2" customWidth="1"/>
    <col min="12048" max="12048" width="10.21875" style="2" customWidth="1"/>
    <col min="12049" max="12049" width="9.21875" style="2" customWidth="1"/>
    <col min="12050" max="12288" width="9.21875" style="2"/>
    <col min="12289" max="12289" width="4.21875" style="2" customWidth="1"/>
    <col min="12290" max="12290" width="2.5546875" style="2" customWidth="1"/>
    <col min="12291" max="12294" width="9.21875" style="2"/>
    <col min="12295" max="12295" width="4.5546875" style="2" customWidth="1"/>
    <col min="12296" max="12296" width="10.21875" style="2" customWidth="1"/>
    <col min="12297" max="12297" width="3.21875" style="2" customWidth="1"/>
    <col min="12298" max="12298" width="9.21875" style="2"/>
    <col min="12299" max="12299" width="6.21875" style="2" customWidth="1"/>
    <col min="12300" max="12300" width="3.77734375" style="2" customWidth="1"/>
    <col min="12301" max="12301" width="10.77734375" style="2" customWidth="1"/>
    <col min="12302" max="12302" width="4.21875" style="2" customWidth="1"/>
    <col min="12303" max="12303" width="12.21875" style="2" customWidth="1"/>
    <col min="12304" max="12304" width="10.21875" style="2" customWidth="1"/>
    <col min="12305" max="12305" width="9.21875" style="2" customWidth="1"/>
    <col min="12306" max="12544" width="9.21875" style="2"/>
    <col min="12545" max="12545" width="4.21875" style="2" customWidth="1"/>
    <col min="12546" max="12546" width="2.5546875" style="2" customWidth="1"/>
    <col min="12547" max="12550" width="9.21875" style="2"/>
    <col min="12551" max="12551" width="4.5546875" style="2" customWidth="1"/>
    <col min="12552" max="12552" width="10.21875" style="2" customWidth="1"/>
    <col min="12553" max="12553" width="3.21875" style="2" customWidth="1"/>
    <col min="12554" max="12554" width="9.21875" style="2"/>
    <col min="12555" max="12555" width="6.21875" style="2" customWidth="1"/>
    <col min="12556" max="12556" width="3.77734375" style="2" customWidth="1"/>
    <col min="12557" max="12557" width="10.77734375" style="2" customWidth="1"/>
    <col min="12558" max="12558" width="4.21875" style="2" customWidth="1"/>
    <col min="12559" max="12559" width="12.21875" style="2" customWidth="1"/>
    <col min="12560" max="12560" width="10.21875" style="2" customWidth="1"/>
    <col min="12561" max="12561" width="9.21875" style="2" customWidth="1"/>
    <col min="12562" max="12800" width="9.21875" style="2"/>
    <col min="12801" max="12801" width="4.21875" style="2" customWidth="1"/>
    <col min="12802" max="12802" width="2.5546875" style="2" customWidth="1"/>
    <col min="12803" max="12806" width="9.21875" style="2"/>
    <col min="12807" max="12807" width="4.5546875" style="2" customWidth="1"/>
    <col min="12808" max="12808" width="10.21875" style="2" customWidth="1"/>
    <col min="12809" max="12809" width="3.21875" style="2" customWidth="1"/>
    <col min="12810" max="12810" width="9.21875" style="2"/>
    <col min="12811" max="12811" width="6.21875" style="2" customWidth="1"/>
    <col min="12812" max="12812" width="3.77734375" style="2" customWidth="1"/>
    <col min="12813" max="12813" width="10.77734375" style="2" customWidth="1"/>
    <col min="12814" max="12814" width="4.21875" style="2" customWidth="1"/>
    <col min="12815" max="12815" width="12.21875" style="2" customWidth="1"/>
    <col min="12816" max="12816" width="10.21875" style="2" customWidth="1"/>
    <col min="12817" max="12817" width="9.21875" style="2" customWidth="1"/>
    <col min="12818" max="13056" width="9.21875" style="2"/>
    <col min="13057" max="13057" width="4.21875" style="2" customWidth="1"/>
    <col min="13058" max="13058" width="2.5546875" style="2" customWidth="1"/>
    <col min="13059" max="13062" width="9.21875" style="2"/>
    <col min="13063" max="13063" width="4.5546875" style="2" customWidth="1"/>
    <col min="13064" max="13064" width="10.21875" style="2" customWidth="1"/>
    <col min="13065" max="13065" width="3.21875" style="2" customWidth="1"/>
    <col min="13066" max="13066" width="9.21875" style="2"/>
    <col min="13067" max="13067" width="6.21875" style="2" customWidth="1"/>
    <col min="13068" max="13068" width="3.77734375" style="2" customWidth="1"/>
    <col min="13069" max="13069" width="10.77734375" style="2" customWidth="1"/>
    <col min="13070" max="13070" width="4.21875" style="2" customWidth="1"/>
    <col min="13071" max="13071" width="12.21875" style="2" customWidth="1"/>
    <col min="13072" max="13072" width="10.21875" style="2" customWidth="1"/>
    <col min="13073" max="13073" width="9.21875" style="2" customWidth="1"/>
    <col min="13074" max="13312" width="9.21875" style="2"/>
    <col min="13313" max="13313" width="4.21875" style="2" customWidth="1"/>
    <col min="13314" max="13314" width="2.5546875" style="2" customWidth="1"/>
    <col min="13315" max="13318" width="9.21875" style="2"/>
    <col min="13319" max="13319" width="4.5546875" style="2" customWidth="1"/>
    <col min="13320" max="13320" width="10.21875" style="2" customWidth="1"/>
    <col min="13321" max="13321" width="3.21875" style="2" customWidth="1"/>
    <col min="13322" max="13322" width="9.21875" style="2"/>
    <col min="13323" max="13323" width="6.21875" style="2" customWidth="1"/>
    <col min="13324" max="13324" width="3.77734375" style="2" customWidth="1"/>
    <col min="13325" max="13325" width="10.77734375" style="2" customWidth="1"/>
    <col min="13326" max="13326" width="4.21875" style="2" customWidth="1"/>
    <col min="13327" max="13327" width="12.21875" style="2" customWidth="1"/>
    <col min="13328" max="13328" width="10.21875" style="2" customWidth="1"/>
    <col min="13329" max="13329" width="9.21875" style="2" customWidth="1"/>
    <col min="13330" max="13568" width="9.21875" style="2"/>
    <col min="13569" max="13569" width="4.21875" style="2" customWidth="1"/>
    <col min="13570" max="13570" width="2.5546875" style="2" customWidth="1"/>
    <col min="13571" max="13574" width="9.21875" style="2"/>
    <col min="13575" max="13575" width="4.5546875" style="2" customWidth="1"/>
    <col min="13576" max="13576" width="10.21875" style="2" customWidth="1"/>
    <col min="13577" max="13577" width="3.21875" style="2" customWidth="1"/>
    <col min="13578" max="13578" width="9.21875" style="2"/>
    <col min="13579" max="13579" width="6.21875" style="2" customWidth="1"/>
    <col min="13580" max="13580" width="3.77734375" style="2" customWidth="1"/>
    <col min="13581" max="13581" width="10.77734375" style="2" customWidth="1"/>
    <col min="13582" max="13582" width="4.21875" style="2" customWidth="1"/>
    <col min="13583" max="13583" width="12.21875" style="2" customWidth="1"/>
    <col min="13584" max="13584" width="10.21875" style="2" customWidth="1"/>
    <col min="13585" max="13585" width="9.21875" style="2" customWidth="1"/>
    <col min="13586" max="13824" width="9.21875" style="2"/>
    <col min="13825" max="13825" width="4.21875" style="2" customWidth="1"/>
    <col min="13826" max="13826" width="2.5546875" style="2" customWidth="1"/>
    <col min="13827" max="13830" width="9.21875" style="2"/>
    <col min="13831" max="13831" width="4.5546875" style="2" customWidth="1"/>
    <col min="13832" max="13832" width="10.21875" style="2" customWidth="1"/>
    <col min="13833" max="13833" width="3.21875" style="2" customWidth="1"/>
    <col min="13834" max="13834" width="9.21875" style="2"/>
    <col min="13835" max="13835" width="6.21875" style="2" customWidth="1"/>
    <col min="13836" max="13836" width="3.77734375" style="2" customWidth="1"/>
    <col min="13837" max="13837" width="10.77734375" style="2" customWidth="1"/>
    <col min="13838" max="13838" width="4.21875" style="2" customWidth="1"/>
    <col min="13839" max="13839" width="12.21875" style="2" customWidth="1"/>
    <col min="13840" max="13840" width="10.21875" style="2" customWidth="1"/>
    <col min="13841" max="13841" width="9.21875" style="2" customWidth="1"/>
    <col min="13842" max="14080" width="9.21875" style="2"/>
    <col min="14081" max="14081" width="4.21875" style="2" customWidth="1"/>
    <col min="14082" max="14082" width="2.5546875" style="2" customWidth="1"/>
    <col min="14083" max="14086" width="9.21875" style="2"/>
    <col min="14087" max="14087" width="4.5546875" style="2" customWidth="1"/>
    <col min="14088" max="14088" width="10.21875" style="2" customWidth="1"/>
    <col min="14089" max="14089" width="3.21875" style="2" customWidth="1"/>
    <col min="14090" max="14090" width="9.21875" style="2"/>
    <col min="14091" max="14091" width="6.21875" style="2" customWidth="1"/>
    <col min="14092" max="14092" width="3.77734375" style="2" customWidth="1"/>
    <col min="14093" max="14093" width="10.77734375" style="2" customWidth="1"/>
    <col min="14094" max="14094" width="4.21875" style="2" customWidth="1"/>
    <col min="14095" max="14095" width="12.21875" style="2" customWidth="1"/>
    <col min="14096" max="14096" width="10.21875" style="2" customWidth="1"/>
    <col min="14097" max="14097" width="9.21875" style="2" customWidth="1"/>
    <col min="14098" max="14336" width="9.21875" style="2"/>
    <col min="14337" max="14337" width="4.21875" style="2" customWidth="1"/>
    <col min="14338" max="14338" width="2.5546875" style="2" customWidth="1"/>
    <col min="14339" max="14342" width="9.21875" style="2"/>
    <col min="14343" max="14343" width="4.5546875" style="2" customWidth="1"/>
    <col min="14344" max="14344" width="10.21875" style="2" customWidth="1"/>
    <col min="14345" max="14345" width="3.21875" style="2" customWidth="1"/>
    <col min="14346" max="14346" width="9.21875" style="2"/>
    <col min="14347" max="14347" width="6.21875" style="2" customWidth="1"/>
    <col min="14348" max="14348" width="3.77734375" style="2" customWidth="1"/>
    <col min="14349" max="14349" width="10.77734375" style="2" customWidth="1"/>
    <col min="14350" max="14350" width="4.21875" style="2" customWidth="1"/>
    <col min="14351" max="14351" width="12.21875" style="2" customWidth="1"/>
    <col min="14352" max="14352" width="10.21875" style="2" customWidth="1"/>
    <col min="14353" max="14353" width="9.21875" style="2" customWidth="1"/>
    <col min="14354" max="14592" width="9.21875" style="2"/>
    <col min="14593" max="14593" width="4.21875" style="2" customWidth="1"/>
    <col min="14594" max="14594" width="2.5546875" style="2" customWidth="1"/>
    <col min="14595" max="14598" width="9.21875" style="2"/>
    <col min="14599" max="14599" width="4.5546875" style="2" customWidth="1"/>
    <col min="14600" max="14600" width="10.21875" style="2" customWidth="1"/>
    <col min="14601" max="14601" width="3.21875" style="2" customWidth="1"/>
    <col min="14602" max="14602" width="9.21875" style="2"/>
    <col min="14603" max="14603" width="6.21875" style="2" customWidth="1"/>
    <col min="14604" max="14604" width="3.77734375" style="2" customWidth="1"/>
    <col min="14605" max="14605" width="10.77734375" style="2" customWidth="1"/>
    <col min="14606" max="14606" width="4.21875" style="2" customWidth="1"/>
    <col min="14607" max="14607" width="12.21875" style="2" customWidth="1"/>
    <col min="14608" max="14608" width="10.21875" style="2" customWidth="1"/>
    <col min="14609" max="14609" width="9.21875" style="2" customWidth="1"/>
    <col min="14610" max="14848" width="9.21875" style="2"/>
    <col min="14849" max="14849" width="4.21875" style="2" customWidth="1"/>
    <col min="14850" max="14850" width="2.5546875" style="2" customWidth="1"/>
    <col min="14851" max="14854" width="9.21875" style="2"/>
    <col min="14855" max="14855" width="4.5546875" style="2" customWidth="1"/>
    <col min="14856" max="14856" width="10.21875" style="2" customWidth="1"/>
    <col min="14857" max="14857" width="3.21875" style="2" customWidth="1"/>
    <col min="14858" max="14858" width="9.21875" style="2"/>
    <col min="14859" max="14859" width="6.21875" style="2" customWidth="1"/>
    <col min="14860" max="14860" width="3.77734375" style="2" customWidth="1"/>
    <col min="14861" max="14861" width="10.77734375" style="2" customWidth="1"/>
    <col min="14862" max="14862" width="4.21875" style="2" customWidth="1"/>
    <col min="14863" max="14863" width="12.21875" style="2" customWidth="1"/>
    <col min="14864" max="14864" width="10.21875" style="2" customWidth="1"/>
    <col min="14865" max="14865" width="9.21875" style="2" customWidth="1"/>
    <col min="14866" max="15104" width="9.21875" style="2"/>
    <col min="15105" max="15105" width="4.21875" style="2" customWidth="1"/>
    <col min="15106" max="15106" width="2.5546875" style="2" customWidth="1"/>
    <col min="15107" max="15110" width="9.21875" style="2"/>
    <col min="15111" max="15111" width="4.5546875" style="2" customWidth="1"/>
    <col min="15112" max="15112" width="10.21875" style="2" customWidth="1"/>
    <col min="15113" max="15113" width="3.21875" style="2" customWidth="1"/>
    <col min="15114" max="15114" width="9.21875" style="2"/>
    <col min="15115" max="15115" width="6.21875" style="2" customWidth="1"/>
    <col min="15116" max="15116" width="3.77734375" style="2" customWidth="1"/>
    <col min="15117" max="15117" width="10.77734375" style="2" customWidth="1"/>
    <col min="15118" max="15118" width="4.21875" style="2" customWidth="1"/>
    <col min="15119" max="15119" width="12.21875" style="2" customWidth="1"/>
    <col min="15120" max="15120" width="10.21875" style="2" customWidth="1"/>
    <col min="15121" max="15121" width="9.21875" style="2" customWidth="1"/>
    <col min="15122" max="15360" width="9.21875" style="2"/>
    <col min="15361" max="15361" width="4.21875" style="2" customWidth="1"/>
    <col min="15362" max="15362" width="2.5546875" style="2" customWidth="1"/>
    <col min="15363" max="15366" width="9.21875" style="2"/>
    <col min="15367" max="15367" width="4.5546875" style="2" customWidth="1"/>
    <col min="15368" max="15368" width="10.21875" style="2" customWidth="1"/>
    <col min="15369" max="15369" width="3.21875" style="2" customWidth="1"/>
    <col min="15370" max="15370" width="9.21875" style="2"/>
    <col min="15371" max="15371" width="6.21875" style="2" customWidth="1"/>
    <col min="15372" max="15372" width="3.77734375" style="2" customWidth="1"/>
    <col min="15373" max="15373" width="10.77734375" style="2" customWidth="1"/>
    <col min="15374" max="15374" width="4.21875" style="2" customWidth="1"/>
    <col min="15375" max="15375" width="12.21875" style="2" customWidth="1"/>
    <col min="15376" max="15376" width="10.21875" style="2" customWidth="1"/>
    <col min="15377" max="15377" width="9.21875" style="2" customWidth="1"/>
    <col min="15378" max="15616" width="9.21875" style="2"/>
    <col min="15617" max="15617" width="4.21875" style="2" customWidth="1"/>
    <col min="15618" max="15618" width="2.5546875" style="2" customWidth="1"/>
    <col min="15619" max="15622" width="9.21875" style="2"/>
    <col min="15623" max="15623" width="4.5546875" style="2" customWidth="1"/>
    <col min="15624" max="15624" width="10.21875" style="2" customWidth="1"/>
    <col min="15625" max="15625" width="3.21875" style="2" customWidth="1"/>
    <col min="15626" max="15626" width="9.21875" style="2"/>
    <col min="15627" max="15627" width="6.21875" style="2" customWidth="1"/>
    <col min="15628" max="15628" width="3.77734375" style="2" customWidth="1"/>
    <col min="15629" max="15629" width="10.77734375" style="2" customWidth="1"/>
    <col min="15630" max="15630" width="4.21875" style="2" customWidth="1"/>
    <col min="15631" max="15631" width="12.21875" style="2" customWidth="1"/>
    <col min="15632" max="15632" width="10.21875" style="2" customWidth="1"/>
    <col min="15633" max="15633" width="9.21875" style="2" customWidth="1"/>
    <col min="15634" max="15872" width="9.21875" style="2"/>
    <col min="15873" max="15873" width="4.21875" style="2" customWidth="1"/>
    <col min="15874" max="15874" width="2.5546875" style="2" customWidth="1"/>
    <col min="15875" max="15878" width="9.21875" style="2"/>
    <col min="15879" max="15879" width="4.5546875" style="2" customWidth="1"/>
    <col min="15880" max="15880" width="10.21875" style="2" customWidth="1"/>
    <col min="15881" max="15881" width="3.21875" style="2" customWidth="1"/>
    <col min="15882" max="15882" width="9.21875" style="2"/>
    <col min="15883" max="15883" width="6.21875" style="2" customWidth="1"/>
    <col min="15884" max="15884" width="3.77734375" style="2" customWidth="1"/>
    <col min="15885" max="15885" width="10.77734375" style="2" customWidth="1"/>
    <col min="15886" max="15886" width="4.21875" style="2" customWidth="1"/>
    <col min="15887" max="15887" width="12.21875" style="2" customWidth="1"/>
    <col min="15888" max="15888" width="10.21875" style="2" customWidth="1"/>
    <col min="15889" max="15889" width="9.21875" style="2" customWidth="1"/>
    <col min="15890" max="16128" width="9.21875" style="2"/>
    <col min="16129" max="16129" width="4.21875" style="2" customWidth="1"/>
    <col min="16130" max="16130" width="2.5546875" style="2" customWidth="1"/>
    <col min="16131" max="16134" width="9.21875" style="2"/>
    <col min="16135" max="16135" width="4.5546875" style="2" customWidth="1"/>
    <col min="16136" max="16136" width="10.21875" style="2" customWidth="1"/>
    <col min="16137" max="16137" width="3.21875" style="2" customWidth="1"/>
    <col min="16138" max="16138" width="9.21875" style="2"/>
    <col min="16139" max="16139" width="6.21875" style="2" customWidth="1"/>
    <col min="16140" max="16140" width="3.77734375" style="2" customWidth="1"/>
    <col min="16141" max="16141" width="10.77734375" style="2" customWidth="1"/>
    <col min="16142" max="16142" width="4.21875" style="2" customWidth="1"/>
    <col min="16143" max="16143" width="12.21875" style="2" customWidth="1"/>
    <col min="16144" max="16144" width="10.21875" style="2" customWidth="1"/>
    <col min="16145" max="16145" width="9.21875" style="2" customWidth="1"/>
    <col min="16146" max="16384" width="9.21875" style="2"/>
  </cols>
  <sheetData>
    <row r="1" spans="1:18" ht="14.25" customHeight="1">
      <c r="A1" s="1220" t="s">
        <v>20</v>
      </c>
      <c r="B1" s="1220"/>
      <c r="C1" s="1220"/>
      <c r="D1" s="1220"/>
      <c r="E1" s="1220"/>
      <c r="F1" s="1220"/>
      <c r="G1" s="1220"/>
      <c r="H1" s="1220"/>
      <c r="I1" s="1220"/>
      <c r="J1" s="1220"/>
      <c r="K1" s="1220"/>
      <c r="L1" s="1220"/>
      <c r="M1" s="1220"/>
      <c r="N1" s="1220"/>
      <c r="O1" s="1220"/>
      <c r="P1" s="49"/>
      <c r="Q1" s="50"/>
      <c r="R1" s="49"/>
    </row>
    <row r="2" spans="1:18" ht="15.6">
      <c r="A2" s="1220" t="s">
        <v>21</v>
      </c>
      <c r="B2" s="1220"/>
      <c r="C2" s="1220"/>
      <c r="D2" s="1220"/>
      <c r="E2" s="1220"/>
      <c r="F2" s="1220"/>
      <c r="G2" s="1220"/>
      <c r="H2" s="1220"/>
      <c r="I2" s="1220"/>
      <c r="J2" s="1220"/>
      <c r="K2" s="1220"/>
      <c r="L2" s="1220"/>
      <c r="M2" s="1220"/>
      <c r="N2" s="1220"/>
      <c r="O2" s="1220"/>
      <c r="P2" s="49"/>
      <c r="Q2" s="50"/>
      <c r="R2" s="49"/>
    </row>
    <row r="3" spans="1:18" ht="15.6">
      <c r="A3" s="1225" t="s">
        <v>41</v>
      </c>
      <c r="B3" s="1225"/>
      <c r="C3" s="1225"/>
      <c r="D3" s="1225"/>
      <c r="E3" s="1225"/>
      <c r="F3" s="1225"/>
      <c r="G3" s="1225"/>
      <c r="H3" s="1225"/>
      <c r="I3" s="1225"/>
      <c r="J3" s="1225"/>
      <c r="K3" s="1225"/>
      <c r="L3" s="1225"/>
      <c r="M3" s="1225"/>
      <c r="N3" s="1225"/>
      <c r="O3" s="1225"/>
    </row>
    <row r="4" spans="1:18" ht="39" customHeight="1">
      <c r="A4" s="33" t="s">
        <v>22</v>
      </c>
      <c r="F4" s="34" t="s">
        <v>23</v>
      </c>
      <c r="H4" s="35" t="s">
        <v>24</v>
      </c>
      <c r="I4" s="36"/>
      <c r="J4" s="1221" t="s">
        <v>25</v>
      </c>
      <c r="K4" s="1217"/>
      <c r="M4" s="3" t="s">
        <v>26</v>
      </c>
      <c r="O4" s="37" t="s">
        <v>27</v>
      </c>
    </row>
    <row r="5" spans="1:18" ht="6.75" customHeight="1"/>
    <row r="6" spans="1:18" ht="15">
      <c r="B6" s="5" t="s">
        <v>6</v>
      </c>
      <c r="F6" s="38" t="str">
        <f>IF('Input (2)'!$E$4=0,"0",'Input (2)'!$E$4)</f>
        <v>0</v>
      </c>
      <c r="J6" s="1222" t="str">
        <f>IF('Input (2)'!E4=0,"0",'Input (2)'!E4)</f>
        <v>0</v>
      </c>
      <c r="K6" s="1222"/>
      <c r="L6" s="40" t="s">
        <v>28</v>
      </c>
      <c r="M6" s="41">
        <f>IF('Input (2)'!E4=0,0,LOOKUP(J6,'criteria (2)'!$A$3:$A$10,'criteria (2)'!$B$3:$B$10))</f>
        <v>0</v>
      </c>
      <c r="N6" s="42" t="s">
        <v>29</v>
      </c>
      <c r="O6" s="38">
        <f>IF(Q6=0,0,IF(Q6&lt;LOOKUP(J6,'criteria (2)'!$A$3:$A$10,'criteria (2)'!$C$3:$C$10),LOOKUP(J6,'criteria (2)'!$A$3:$A$10,'criteria (2)'!$C$3:$C$10),IF(LOOKUP(J6,'criteria (2)'!$A$3:$A$10,'criteria (2)'!$C$3:$C$10)=0,0,Q6)))</f>
        <v>0</v>
      </c>
      <c r="P6" s="28" t="str">
        <f>IF('Input (2)'!E4=0," ",IF(O6=0,"ADD to 1-6",IF(O6=Q6," ","Minimum")))</f>
        <v xml:space="preserve"> </v>
      </c>
      <c r="Q6" s="32">
        <f>ROUND(IF('Input (2)'!E4=0,0,IF(M6=0,0,(J6/M6))),2)</f>
        <v>0</v>
      </c>
    </row>
    <row r="7" spans="1:18" ht="6.75" customHeight="1">
      <c r="J7" s="43"/>
      <c r="K7" s="43"/>
    </row>
    <row r="8" spans="1:18">
      <c r="B8" s="5" t="s">
        <v>7</v>
      </c>
      <c r="J8" s="43"/>
      <c r="K8" s="43"/>
    </row>
    <row r="9" spans="1:18">
      <c r="B9" s="28" t="s">
        <v>30</v>
      </c>
      <c r="J9" s="43"/>
      <c r="K9" s="43"/>
    </row>
    <row r="10" spans="1:18" ht="16.5" customHeight="1">
      <c r="C10" s="12" t="s">
        <v>8</v>
      </c>
      <c r="F10" s="41" t="str">
        <f>IF(J10=0," ",IF($J$15&gt;300," ",'Input (2)'!E7))</f>
        <v xml:space="preserve"> </v>
      </c>
      <c r="G10" s="44" t="s">
        <v>31</v>
      </c>
      <c r="H10" s="38" t="str">
        <f>IF(J10=0," ",'C (2)'!H25)</f>
        <v xml:space="preserve"> </v>
      </c>
      <c r="I10" s="42" t="s">
        <v>29</v>
      </c>
      <c r="J10" s="1222">
        <f>IF('Input (2)'!E7=0,0,IF(SUM('Input (2)'!E7-'C (2)'!H25)+SUM('Input (2)'!E8-'C (2)'!H26)&gt;299.99,SUM('Input (2)'!E7-'C (2)'!H25),0))</f>
        <v>0</v>
      </c>
      <c r="K10" s="1222"/>
      <c r="L10" s="40" t="s">
        <v>28</v>
      </c>
      <c r="M10" s="41">
        <f>IF(SUM('Input (2)'!$E$7-'C (2)'!$H$25)+SUM('Input (2)'!$E$8-'C (2)'!$H$26)&gt;299.99,20,0)</f>
        <v>0</v>
      </c>
      <c r="N10" s="42" t="s">
        <v>29</v>
      </c>
      <c r="O10" s="41">
        <f>ROUND(IF(SUM('Input (2)'!$E$7-'C (2)'!$H$25)+SUM('Input (2)'!$E$8-'C (2)'!$H$26)&lt;299.99,0,IF(Q10+Q12&lt;15,0,(J10/M10))),2)</f>
        <v>0</v>
      </c>
      <c r="P10" s="2" t="str">
        <f>IF(O10=0," ",IF(O10=Q10," ","Minimum"))</f>
        <v xml:space="preserve"> </v>
      </c>
      <c r="Q10" s="32">
        <f>ROUND(IF(SUM('Input (2)'!$E$7-'C (2)'!$H$25)+SUM('Input (2)'!$E$8-'C (2)'!$H$26)&lt;299.99,0,(J10/M10)),2)</f>
        <v>0</v>
      </c>
    </row>
    <row r="11" spans="1:18" ht="10.5" customHeight="1">
      <c r="B11" s="12"/>
      <c r="J11" s="43"/>
      <c r="K11" s="43"/>
    </row>
    <row r="12" spans="1:18" ht="15">
      <c r="C12" s="12" t="s">
        <v>9</v>
      </c>
      <c r="F12" s="41" t="str">
        <f>IF(J12=0," ",IF($J$15&gt;300," ",'Input (2)'!E8))</f>
        <v xml:space="preserve"> </v>
      </c>
      <c r="G12" s="44" t="s">
        <v>31</v>
      </c>
      <c r="H12" s="38" t="str">
        <f>IF(J12=0," ",'C (2)'!H26)</f>
        <v xml:space="preserve"> </v>
      </c>
      <c r="I12" s="42" t="s">
        <v>29</v>
      </c>
      <c r="J12" s="1222">
        <f>IF('Input (2)'!E8=0,0,IF(SUM('Input (2)'!E7-'C (2)'!H25)+SUM('Input (2)'!E8-'C (2)'!H26)&gt;299.99,SUM('Input (2)'!E8-'C (2)'!H26),0))</f>
        <v>0</v>
      </c>
      <c r="K12" s="1222"/>
      <c r="L12" s="40" t="s">
        <v>28</v>
      </c>
      <c r="M12" s="41">
        <f>IF(SUM('Input (2)'!$E$7-'C (2)'!$H$25)+SUM('Input (2)'!$E$8-'C (2)'!$H$26)&gt;299.99,23,0)</f>
        <v>0</v>
      </c>
      <c r="N12" s="42" t="s">
        <v>29</v>
      </c>
      <c r="O12" s="41">
        <f>ROUND(IF(SUM('Input (2)'!$E$7-'C (2)'!$H$25)+SUM('Input (2)'!$E$8-'C (2)'!$H$26)&lt;299.99,0,IF(Q10+Q12&lt;15,0,($J$12/$M$12))),2)</f>
        <v>0</v>
      </c>
      <c r="P12" s="2" t="str">
        <f>IF(O12=0," ",IF(O12=Q12," ","Minimum"))</f>
        <v xml:space="preserve"> </v>
      </c>
      <c r="Q12" s="32">
        <f>ROUND(IF(SUM('Input (2)'!$E$7-'C (2)'!$H$25)+SUM('Input (2)'!$E$8-'C (2)'!$H$26)&lt;299.99,0,($J$12/$M$12)),2)</f>
        <v>0</v>
      </c>
    </row>
    <row r="13" spans="1:18">
      <c r="O13" s="36" t="str">
        <f>IF(P13="Minimum",15," ")</f>
        <v xml:space="preserve"> </v>
      </c>
      <c r="P13" s="2" t="str">
        <f>IF(Q10+Q12=0," ",IF(Q10+Q12&lt;15,"Minimum"," "))</f>
        <v xml:space="preserve"> </v>
      </c>
    </row>
    <row r="14" spans="1:18">
      <c r="B14" s="5" t="s">
        <v>7</v>
      </c>
    </row>
    <row r="15" spans="1:18">
      <c r="B15" s="28" t="s">
        <v>32</v>
      </c>
    </row>
    <row r="16" spans="1:18" ht="15">
      <c r="C16" s="12" t="s">
        <v>33</v>
      </c>
      <c r="F16" s="41">
        <f>IF(J16=0," ",IF(J16&lt;300,SUM('Input (2)'!E7+'Input (2)'!E8)," "))</f>
        <v>57</v>
      </c>
      <c r="G16" s="44" t="s">
        <v>31</v>
      </c>
      <c r="H16" s="38">
        <f>IF(J16=0," ",'C (2)'!H22)</f>
        <v>3.5999999999999996</v>
      </c>
      <c r="I16" s="42" t="s">
        <v>29</v>
      </c>
      <c r="J16" s="1222">
        <f>IF('Input (2)'!E9=0,0,IF(SUM('Input (2)'!E7-'C (2)'!H25)+SUM('Input (2)'!E8-'C (2)'!H26)&lt;300,IF(P6="ADD to 1-6",SUM('Input (2)'!E7-'C (2)'!H25)+SUM('Input (2)'!E8-'C (2)'!H26)+'Input (2)'!E4,SUM('Input (2)'!E7-'C (2)'!H25)+SUM('Input (2)'!E8-'C (2)'!H26)),0))</f>
        <v>53.4</v>
      </c>
      <c r="K16" s="1222"/>
      <c r="L16" s="40" t="s">
        <v>28</v>
      </c>
      <c r="M16" s="41">
        <f>IF(J16=0,0,LOOKUP(J16,'criteria (2)'!$M$3:$M$11,'criteria (2)'!$N$3:$N$11))</f>
        <v>15</v>
      </c>
      <c r="N16" s="42" t="s">
        <v>29</v>
      </c>
      <c r="O16" s="38">
        <f>IF(Q16=0,0,IF(Q16&lt;LOOKUP(J16,'criteria (2)'!$M$3:$M$10,'criteria (2)'!$O$3:$O$10),LOOKUP(J16,'criteria (2)'!$M$3:$M$10,'criteria (2)'!$O$3:$O$10),Q16))</f>
        <v>4</v>
      </c>
      <c r="P16" s="2" t="str">
        <f>IF(O16=0," ",IF(O16=Q16," ","Minimum"))</f>
        <v>Minimum</v>
      </c>
      <c r="Q16" s="32">
        <f>ROUND(IF('Input (2)'!E9=0,0,IF(SUM('Input (2)'!$E$7-'C (2)'!$H$25)+SUM('Input (2)'!$E$8-'C (2)'!$H$26)&gt;299.99,0,(J16/M16))),2)</f>
        <v>3.56</v>
      </c>
    </row>
    <row r="17" spans="1:17" ht="6" customHeight="1">
      <c r="J17" s="43"/>
      <c r="K17" s="43"/>
    </row>
    <row r="18" spans="1:17" ht="15">
      <c r="B18" s="5" t="s">
        <v>10</v>
      </c>
      <c r="F18" s="38">
        <f>IF('Input (2)'!$E$10=0,0,'Input (2)'!$E$10)</f>
        <v>77.899999999999991</v>
      </c>
      <c r="G18" s="44" t="s">
        <v>31</v>
      </c>
      <c r="H18" s="51"/>
      <c r="I18" s="42" t="s">
        <v>29</v>
      </c>
      <c r="J18" s="1222">
        <f>IF('Input (2)'!$E$10=0,0,'Input (2)'!$E$10)</f>
        <v>77.899999999999991</v>
      </c>
      <c r="K18" s="1222"/>
      <c r="L18" s="40" t="s">
        <v>28</v>
      </c>
      <c r="M18" s="41">
        <f>IF('Input (2)'!C10=0,0,IF(J18&gt;99.99,LOOKUP(J18,'criteria (2)'!Q3:Q10,'criteria (2)'!R3:R10),12))</f>
        <v>12</v>
      </c>
      <c r="N18" s="42" t="s">
        <v>29</v>
      </c>
      <c r="O18" s="41">
        <f>ROUND(IF(J18=0,0,IF(J18&lt;99.99,IF(M18=0,8,(J18/M18)),IF(Q18&lt;LOOKUP(J18,'criteria (2)'!$Q$3:$Q$10,'criteria (2)'!$S$3:$S$10),LOOKUP(J18,'criteria (2)'!$Q$3:$Q$10,'criteria (2)'!$S$3:$S$10),Q18))),2)</f>
        <v>6.49</v>
      </c>
      <c r="P18" s="2" t="str">
        <f>IF(O18=0," ",IF(O18=Q18," ","Minimum"))</f>
        <v xml:space="preserve"> </v>
      </c>
      <c r="Q18" s="32">
        <f>ROUND(IF(M18=0,0,(J18/M18)),2)</f>
        <v>6.49</v>
      </c>
    </row>
    <row r="19" spans="1:17">
      <c r="B19" s="5"/>
      <c r="J19" s="39"/>
      <c r="K19" s="39"/>
      <c r="M19" s="36"/>
      <c r="N19" s="42"/>
      <c r="O19" s="36"/>
    </row>
    <row r="20" spans="1:17" ht="15">
      <c r="A20" s="45" t="s">
        <v>34</v>
      </c>
      <c r="J20" s="43"/>
      <c r="K20" s="43"/>
    </row>
    <row r="21" spans="1:17" ht="3.75" customHeight="1">
      <c r="J21" s="43"/>
      <c r="K21" s="43"/>
    </row>
    <row r="22" spans="1:17">
      <c r="B22" s="2" t="s">
        <v>35</v>
      </c>
      <c r="J22" s="1222" t="str">
        <f>IF('C (2)'!H55=0," ",'C (2)'!H55)</f>
        <v xml:space="preserve"> </v>
      </c>
      <c r="K22" s="1222"/>
    </row>
    <row r="23" spans="1:17" ht="7.5" customHeight="1">
      <c r="J23" s="43"/>
      <c r="K23" s="43"/>
    </row>
    <row r="24" spans="1:17">
      <c r="B24" s="2" t="s">
        <v>36</v>
      </c>
      <c r="J24" s="1222">
        <f>IF('C (2)'!H22=0," ",'C (2)'!H22)</f>
        <v>3.5999999999999996</v>
      </c>
      <c r="K24" s="1222"/>
    </row>
    <row r="25" spans="1:17" ht="7.5" customHeight="1">
      <c r="J25" s="43"/>
      <c r="K25" s="43"/>
    </row>
    <row r="26" spans="1:17">
      <c r="B26" s="2" t="s">
        <v>37</v>
      </c>
      <c r="J26" s="1222">
        <f>0</f>
        <v>0</v>
      </c>
      <c r="K26" s="1222"/>
    </row>
    <row r="27" spans="1:17" ht="7.5" customHeight="1">
      <c r="J27" s="43"/>
      <c r="K27" s="43"/>
    </row>
    <row r="28" spans="1:17" ht="6" customHeight="1">
      <c r="J28" s="39"/>
      <c r="K28" s="39"/>
    </row>
    <row r="29" spans="1:17" ht="15.6" thickBot="1">
      <c r="B29" s="46" t="s">
        <v>38</v>
      </c>
      <c r="J29" s="1219">
        <f>SUM(J22:K27)</f>
        <v>3.5999999999999996</v>
      </c>
      <c r="K29" s="1219"/>
      <c r="L29" s="40" t="s">
        <v>28</v>
      </c>
      <c r="M29" s="41">
        <f>IF(SUM('Input (2)'!C4:C10)=0,0,IF(J29&gt;=14,LOOKUP(J29,'criteria (2)'!$U$3:$U$10,'criteria (2)'!$V$3:$V$10),0))</f>
        <v>0</v>
      </c>
      <c r="N29" s="42" t="s">
        <v>29</v>
      </c>
      <c r="O29" s="41">
        <f>IF(J29=0,0,IF(Q29&lt;LOOKUP(J29,'criteria (2)'!$U$3:$U$10,'criteria (2)'!$W$3:$W$10),LOOKUP(J29,'criteria (2)'!$U$3:$U$10,'criteria (2)'!$W$3:$W$10),Q29))</f>
        <v>0.25</v>
      </c>
      <c r="P29" s="2" t="str">
        <f>IF(O29=0," ",IF(O29=Q29," ","Minimum"))</f>
        <v>Minimum</v>
      </c>
      <c r="Q29" s="32">
        <f>ROUND(IF(SUM('Input (2)'!C4:C10)=0,0,IF(M29=0,0,(J29/M29))),2)</f>
        <v>0</v>
      </c>
    </row>
    <row r="30" spans="1:17" ht="11.25" customHeight="1" thickTop="1">
      <c r="B30" s="46"/>
      <c r="J30" s="39"/>
      <c r="K30" s="39"/>
      <c r="L30" s="40"/>
      <c r="M30" s="36"/>
      <c r="N30" s="42"/>
      <c r="O30" s="36"/>
    </row>
    <row r="31" spans="1:17" ht="19.5" customHeight="1">
      <c r="A31" s="48" t="s">
        <v>39</v>
      </c>
    </row>
    <row r="32" spans="1:17" ht="15">
      <c r="B32" s="1223" t="str">
        <f>IF('Input (2)'!E14=0," ","Alternative Secondary High School")</f>
        <v xml:space="preserve"> </v>
      </c>
      <c r="C32" s="1223"/>
      <c r="D32" s="1223"/>
      <c r="E32" s="1223"/>
      <c r="F32" s="1223"/>
      <c r="G32" s="1223"/>
      <c r="H32" s="1223"/>
      <c r="J32" s="1222">
        <f>'Input (2)'!E14</f>
        <v>0</v>
      </c>
      <c r="K32" s="1222"/>
      <c r="L32" s="40" t="s">
        <v>28</v>
      </c>
      <c r="M32" s="41">
        <f>IF(J32=0,0,IF(Q32&lt;1,M18,12))</f>
        <v>0</v>
      </c>
      <c r="N32" s="42" t="s">
        <v>29</v>
      </c>
      <c r="O32" s="38">
        <f>ROUND(IF(J32=0,0,J32/M32),2)</f>
        <v>0</v>
      </c>
      <c r="P32" s="45"/>
      <c r="Q32" s="32">
        <f>ROUND(IF(J32=0,0,J32/12),2)</f>
        <v>0</v>
      </c>
    </row>
    <row r="33" spans="1:17" ht="11.25" customHeight="1">
      <c r="J33" s="43"/>
      <c r="K33" s="43"/>
      <c r="O33" s="43"/>
    </row>
    <row r="34" spans="1:17" ht="11.25" customHeight="1">
      <c r="B34" s="1223" t="str">
        <f>IF('Input (2)'!E15=0," ","Summer Alternative Secondary High School")</f>
        <v xml:space="preserve"> </v>
      </c>
      <c r="C34" s="1223"/>
      <c r="D34" s="1223"/>
      <c r="E34" s="1223"/>
      <c r="F34" s="1223"/>
      <c r="G34" s="1223"/>
      <c r="J34" s="1222">
        <f>'Input (2)'!E15</f>
        <v>0</v>
      </c>
      <c r="K34" s="1222"/>
      <c r="L34" s="40" t="s">
        <v>28</v>
      </c>
      <c r="M34" s="41">
        <f>IF(J34=0,0,40)</f>
        <v>0</v>
      </c>
      <c r="N34" s="42" t="s">
        <v>29</v>
      </c>
      <c r="O34" s="38">
        <f>ROUND(IF(J34=0,0,J34/M34),2)</f>
        <v>0</v>
      </c>
      <c r="P34" s="45"/>
      <c r="Q34" s="32">
        <f>ROUND(IF(J34=0,0,J34/12),2)</f>
        <v>0</v>
      </c>
    </row>
    <row r="35" spans="1:17" ht="13.5" customHeight="1">
      <c r="J35" s="36"/>
      <c r="K35" s="36"/>
      <c r="L35" s="40"/>
      <c r="M35" s="36"/>
      <c r="N35" s="42"/>
      <c r="O35" s="36"/>
      <c r="P35" s="46"/>
    </row>
    <row r="36" spans="1:17" ht="18.75" customHeight="1" thickBot="1">
      <c r="A36" s="45"/>
      <c r="B36" s="12" t="s">
        <v>40</v>
      </c>
      <c r="C36" s="46"/>
      <c r="D36" s="46"/>
      <c r="E36" s="46"/>
      <c r="F36" s="46"/>
      <c r="G36" s="46"/>
      <c r="H36" s="46"/>
      <c r="I36" s="46"/>
      <c r="J36" s="46"/>
      <c r="K36" s="46"/>
      <c r="M36" s="36" t="s">
        <v>29</v>
      </c>
      <c r="N36" s="1224">
        <f>ROUND(IF(SUM(O6:O34)=0,0,SUM(O6:O34)),2)</f>
        <v>10.74</v>
      </c>
      <c r="O36" s="1224"/>
    </row>
    <row r="37" spans="1:17" ht="13.8" thickTop="1">
      <c r="M37" s="1218" t="str">
        <f>IF(N36=0," ",IF(N36&lt;'Current Year (2)'!N36,"Do Not Use","You May Use this Calculation"))</f>
        <v>Do Not Use</v>
      </c>
      <c r="N37" s="1218"/>
      <c r="O37" s="1218"/>
      <c r="P37" s="1218"/>
    </row>
  </sheetData>
  <sheetProtection password="CC16" sheet="1" objects="1" scenarios="1"/>
  <mergeCells count="19">
    <mergeCell ref="M37:P37"/>
    <mergeCell ref="J29:K29"/>
    <mergeCell ref="B32:H32"/>
    <mergeCell ref="J32:K32"/>
    <mergeCell ref="B34:G34"/>
    <mergeCell ref="J34:K34"/>
    <mergeCell ref="N36:O36"/>
    <mergeCell ref="J26:K26"/>
    <mergeCell ref="A1:O1"/>
    <mergeCell ref="A2:O2"/>
    <mergeCell ref="A3:O3"/>
    <mergeCell ref="J4:K4"/>
    <mergeCell ref="J6:K6"/>
    <mergeCell ref="J10:K10"/>
    <mergeCell ref="J12:K12"/>
    <mergeCell ref="J16:K16"/>
    <mergeCell ref="J18:K18"/>
    <mergeCell ref="J22:K22"/>
    <mergeCell ref="J24:K24"/>
  </mergeCells>
  <conditionalFormatting sqref="M37:P37">
    <cfRule type="cellIs" dxfId="43" priority="1" stopIfTrue="1" operator="equal">
      <formula>"Do Not Use"</formula>
    </cfRule>
    <cfRule type="cellIs" dxfId="42" priority="2" stopIfTrue="1" operator="equal">
      <formula>"You May Use this Calculation"</formula>
    </cfRule>
  </conditionalFormatting>
  <pageMargins left="0.5" right="0.5" top="0.5" bottom="0.5" header="0.25" footer="0.25"/>
  <pageSetup scale="82" orientation="portrait" r:id="rId1"/>
  <headerFooter alignWithMargins="0">
    <oddFooter>&amp;L&amp;F</oddFooter>
  </headerFooter>
  <colBreaks count="1" manualBreakCount="1">
    <brk id="16"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dimension ref="A1:AB12"/>
  <sheetViews>
    <sheetView workbookViewId="0">
      <selection activeCell="C4" sqref="C4"/>
    </sheetView>
  </sheetViews>
  <sheetFormatPr defaultRowHeight="13.2"/>
  <cols>
    <col min="1" max="1" width="4.5546875" style="2" customWidth="1"/>
    <col min="2" max="3" width="6.77734375" style="2" customWidth="1"/>
    <col min="4" max="4" width="3.21875" style="2" customWidth="1"/>
    <col min="5" max="5" width="4.21875" style="2" customWidth="1"/>
    <col min="6" max="6" width="5.44140625" style="2" customWidth="1"/>
    <col min="7" max="7" width="7.77734375" style="2" customWidth="1"/>
    <col min="8" max="8" width="5.21875" style="2" customWidth="1"/>
    <col min="9" max="9" width="7" style="2" customWidth="1"/>
    <col min="10" max="10" width="5.21875" style="2" customWidth="1"/>
    <col min="11" max="11" width="7" style="2" customWidth="1"/>
    <col min="12" max="12" width="4.21875" style="2" customWidth="1"/>
    <col min="13" max="13" width="6.77734375" style="2" customWidth="1"/>
    <col min="14" max="14" width="5.44140625" style="2" customWidth="1"/>
    <col min="15" max="15" width="7" style="2" customWidth="1"/>
    <col min="16" max="16" width="5.21875" style="2" customWidth="1"/>
    <col min="17" max="17" width="4.77734375" style="2" customWidth="1"/>
    <col min="18" max="18" width="5.77734375" style="2" customWidth="1"/>
    <col min="19" max="19" width="7.44140625" style="2" customWidth="1"/>
    <col min="20" max="20" width="4" style="2" customWidth="1"/>
    <col min="21" max="21" width="6.44140625" style="2" customWidth="1"/>
    <col min="22" max="22" width="5.77734375" style="2" customWidth="1"/>
    <col min="23" max="23" width="6.77734375" style="2" customWidth="1"/>
    <col min="24" max="24" width="4.21875" style="2" customWidth="1"/>
    <col min="25" max="25" width="7.21875" style="2" customWidth="1"/>
    <col min="26" max="256" width="9.21875" style="2"/>
    <col min="257" max="257" width="4.5546875" style="2" customWidth="1"/>
    <col min="258" max="259" width="6.77734375" style="2" customWidth="1"/>
    <col min="260" max="260" width="3.21875" style="2" customWidth="1"/>
    <col min="261" max="261" width="4.21875" style="2" customWidth="1"/>
    <col min="262" max="262" width="5.44140625" style="2" customWidth="1"/>
    <col min="263" max="263" width="7.77734375" style="2" customWidth="1"/>
    <col min="264" max="264" width="5.21875" style="2" customWidth="1"/>
    <col min="265" max="265" width="7" style="2" customWidth="1"/>
    <col min="266" max="266" width="5.21875" style="2" customWidth="1"/>
    <col min="267" max="267" width="7" style="2" customWidth="1"/>
    <col min="268" max="268" width="4.21875" style="2" customWidth="1"/>
    <col min="269" max="269" width="6.77734375" style="2" customWidth="1"/>
    <col min="270" max="270" width="5.44140625" style="2" customWidth="1"/>
    <col min="271" max="271" width="7" style="2" customWidth="1"/>
    <col min="272" max="272" width="5.21875" style="2" customWidth="1"/>
    <col min="273" max="273" width="4.77734375" style="2" customWidth="1"/>
    <col min="274" max="274" width="5.77734375" style="2" customWidth="1"/>
    <col min="275" max="275" width="7.44140625" style="2" customWidth="1"/>
    <col min="276" max="276" width="4" style="2" customWidth="1"/>
    <col min="277" max="277" width="6.44140625" style="2" customWidth="1"/>
    <col min="278" max="278" width="5.77734375" style="2" customWidth="1"/>
    <col min="279" max="279" width="6.77734375" style="2" customWidth="1"/>
    <col min="280" max="280" width="4.21875" style="2" customWidth="1"/>
    <col min="281" max="281" width="7.21875" style="2" customWidth="1"/>
    <col min="282" max="512" width="9.21875" style="2"/>
    <col min="513" max="513" width="4.5546875" style="2" customWidth="1"/>
    <col min="514" max="515" width="6.77734375" style="2" customWidth="1"/>
    <col min="516" max="516" width="3.21875" style="2" customWidth="1"/>
    <col min="517" max="517" width="4.21875" style="2" customWidth="1"/>
    <col min="518" max="518" width="5.44140625" style="2" customWidth="1"/>
    <col min="519" max="519" width="7.77734375" style="2" customWidth="1"/>
    <col min="520" max="520" width="5.21875" style="2" customWidth="1"/>
    <col min="521" max="521" width="7" style="2" customWidth="1"/>
    <col min="522" max="522" width="5.21875" style="2" customWidth="1"/>
    <col min="523" max="523" width="7" style="2" customWidth="1"/>
    <col min="524" max="524" width="4.21875" style="2" customWidth="1"/>
    <col min="525" max="525" width="6.77734375" style="2" customWidth="1"/>
    <col min="526" max="526" width="5.44140625" style="2" customWidth="1"/>
    <col min="527" max="527" width="7" style="2" customWidth="1"/>
    <col min="528" max="528" width="5.21875" style="2" customWidth="1"/>
    <col min="529" max="529" width="4.77734375" style="2" customWidth="1"/>
    <col min="530" max="530" width="5.77734375" style="2" customWidth="1"/>
    <col min="531" max="531" width="7.44140625" style="2" customWidth="1"/>
    <col min="532" max="532" width="4" style="2" customWidth="1"/>
    <col min="533" max="533" width="6.44140625" style="2" customWidth="1"/>
    <col min="534" max="534" width="5.77734375" style="2" customWidth="1"/>
    <col min="535" max="535" width="6.77734375" style="2" customWidth="1"/>
    <col min="536" max="536" width="4.21875" style="2" customWidth="1"/>
    <col min="537" max="537" width="7.21875" style="2" customWidth="1"/>
    <col min="538" max="768" width="9.21875" style="2"/>
    <col min="769" max="769" width="4.5546875" style="2" customWidth="1"/>
    <col min="770" max="771" width="6.77734375" style="2" customWidth="1"/>
    <col min="772" max="772" width="3.21875" style="2" customWidth="1"/>
    <col min="773" max="773" width="4.21875" style="2" customWidth="1"/>
    <col min="774" max="774" width="5.44140625" style="2" customWidth="1"/>
    <col min="775" max="775" width="7.77734375" style="2" customWidth="1"/>
    <col min="776" max="776" width="5.21875" style="2" customWidth="1"/>
    <col min="777" max="777" width="7" style="2" customWidth="1"/>
    <col min="778" max="778" width="5.21875" style="2" customWidth="1"/>
    <col min="779" max="779" width="7" style="2" customWidth="1"/>
    <col min="780" max="780" width="4.21875" style="2" customWidth="1"/>
    <col min="781" max="781" width="6.77734375" style="2" customWidth="1"/>
    <col min="782" max="782" width="5.44140625" style="2" customWidth="1"/>
    <col min="783" max="783" width="7" style="2" customWidth="1"/>
    <col min="784" max="784" width="5.21875" style="2" customWidth="1"/>
    <col min="785" max="785" width="4.77734375" style="2" customWidth="1"/>
    <col min="786" max="786" width="5.77734375" style="2" customWidth="1"/>
    <col min="787" max="787" width="7.44140625" style="2" customWidth="1"/>
    <col min="788" max="788" width="4" style="2" customWidth="1"/>
    <col min="789" max="789" width="6.44140625" style="2" customWidth="1"/>
    <col min="790" max="790" width="5.77734375" style="2" customWidth="1"/>
    <col min="791" max="791" width="6.77734375" style="2" customWidth="1"/>
    <col min="792" max="792" width="4.21875" style="2" customWidth="1"/>
    <col min="793" max="793" width="7.21875" style="2" customWidth="1"/>
    <col min="794" max="1024" width="9.21875" style="2"/>
    <col min="1025" max="1025" width="4.5546875" style="2" customWidth="1"/>
    <col min="1026" max="1027" width="6.77734375" style="2" customWidth="1"/>
    <col min="1028" max="1028" width="3.21875" style="2" customWidth="1"/>
    <col min="1029" max="1029" width="4.21875" style="2" customWidth="1"/>
    <col min="1030" max="1030" width="5.44140625" style="2" customWidth="1"/>
    <col min="1031" max="1031" width="7.77734375" style="2" customWidth="1"/>
    <col min="1032" max="1032" width="5.21875" style="2" customWidth="1"/>
    <col min="1033" max="1033" width="7" style="2" customWidth="1"/>
    <col min="1034" max="1034" width="5.21875" style="2" customWidth="1"/>
    <col min="1035" max="1035" width="7" style="2" customWidth="1"/>
    <col min="1036" max="1036" width="4.21875" style="2" customWidth="1"/>
    <col min="1037" max="1037" width="6.77734375" style="2" customWidth="1"/>
    <col min="1038" max="1038" width="5.44140625" style="2" customWidth="1"/>
    <col min="1039" max="1039" width="7" style="2" customWidth="1"/>
    <col min="1040" max="1040" width="5.21875" style="2" customWidth="1"/>
    <col min="1041" max="1041" width="4.77734375" style="2" customWidth="1"/>
    <col min="1042" max="1042" width="5.77734375" style="2" customWidth="1"/>
    <col min="1043" max="1043" width="7.44140625" style="2" customWidth="1"/>
    <col min="1044" max="1044" width="4" style="2" customWidth="1"/>
    <col min="1045" max="1045" width="6.44140625" style="2" customWidth="1"/>
    <col min="1046" max="1046" width="5.77734375" style="2" customWidth="1"/>
    <col min="1047" max="1047" width="6.77734375" style="2" customWidth="1"/>
    <col min="1048" max="1048" width="4.21875" style="2" customWidth="1"/>
    <col min="1049" max="1049" width="7.21875" style="2" customWidth="1"/>
    <col min="1050" max="1280" width="9.21875" style="2"/>
    <col min="1281" max="1281" width="4.5546875" style="2" customWidth="1"/>
    <col min="1282" max="1283" width="6.77734375" style="2" customWidth="1"/>
    <col min="1284" max="1284" width="3.21875" style="2" customWidth="1"/>
    <col min="1285" max="1285" width="4.21875" style="2" customWidth="1"/>
    <col min="1286" max="1286" width="5.44140625" style="2" customWidth="1"/>
    <col min="1287" max="1287" width="7.77734375" style="2" customWidth="1"/>
    <col min="1288" max="1288" width="5.21875" style="2" customWidth="1"/>
    <col min="1289" max="1289" width="7" style="2" customWidth="1"/>
    <col min="1290" max="1290" width="5.21875" style="2" customWidth="1"/>
    <col min="1291" max="1291" width="7" style="2" customWidth="1"/>
    <col min="1292" max="1292" width="4.21875" style="2" customWidth="1"/>
    <col min="1293" max="1293" width="6.77734375" style="2" customWidth="1"/>
    <col min="1294" max="1294" width="5.44140625" style="2" customWidth="1"/>
    <col min="1295" max="1295" width="7" style="2" customWidth="1"/>
    <col min="1296" max="1296" width="5.21875" style="2" customWidth="1"/>
    <col min="1297" max="1297" width="4.77734375" style="2" customWidth="1"/>
    <col min="1298" max="1298" width="5.77734375" style="2" customWidth="1"/>
    <col min="1299" max="1299" width="7.44140625" style="2" customWidth="1"/>
    <col min="1300" max="1300" width="4" style="2" customWidth="1"/>
    <col min="1301" max="1301" width="6.44140625" style="2" customWidth="1"/>
    <col min="1302" max="1302" width="5.77734375" style="2" customWidth="1"/>
    <col min="1303" max="1303" width="6.77734375" style="2" customWidth="1"/>
    <col min="1304" max="1304" width="4.21875" style="2" customWidth="1"/>
    <col min="1305" max="1305" width="7.21875" style="2" customWidth="1"/>
    <col min="1306" max="1536" width="9.21875" style="2"/>
    <col min="1537" max="1537" width="4.5546875" style="2" customWidth="1"/>
    <col min="1538" max="1539" width="6.77734375" style="2" customWidth="1"/>
    <col min="1540" max="1540" width="3.21875" style="2" customWidth="1"/>
    <col min="1541" max="1541" width="4.21875" style="2" customWidth="1"/>
    <col min="1542" max="1542" width="5.44140625" style="2" customWidth="1"/>
    <col min="1543" max="1543" width="7.77734375" style="2" customWidth="1"/>
    <col min="1544" max="1544" width="5.21875" style="2" customWidth="1"/>
    <col min="1545" max="1545" width="7" style="2" customWidth="1"/>
    <col min="1546" max="1546" width="5.21875" style="2" customWidth="1"/>
    <col min="1547" max="1547" width="7" style="2" customWidth="1"/>
    <col min="1548" max="1548" width="4.21875" style="2" customWidth="1"/>
    <col min="1549" max="1549" width="6.77734375" style="2" customWidth="1"/>
    <col min="1550" max="1550" width="5.44140625" style="2" customWidth="1"/>
    <col min="1551" max="1551" width="7" style="2" customWidth="1"/>
    <col min="1552" max="1552" width="5.21875" style="2" customWidth="1"/>
    <col min="1553" max="1553" width="4.77734375" style="2" customWidth="1"/>
    <col min="1554" max="1554" width="5.77734375" style="2" customWidth="1"/>
    <col min="1555" max="1555" width="7.44140625" style="2" customWidth="1"/>
    <col min="1556" max="1556" width="4" style="2" customWidth="1"/>
    <col min="1557" max="1557" width="6.44140625" style="2" customWidth="1"/>
    <col min="1558" max="1558" width="5.77734375" style="2" customWidth="1"/>
    <col min="1559" max="1559" width="6.77734375" style="2" customWidth="1"/>
    <col min="1560" max="1560" width="4.21875" style="2" customWidth="1"/>
    <col min="1561" max="1561" width="7.21875" style="2" customWidth="1"/>
    <col min="1562" max="1792" width="9.21875" style="2"/>
    <col min="1793" max="1793" width="4.5546875" style="2" customWidth="1"/>
    <col min="1794" max="1795" width="6.77734375" style="2" customWidth="1"/>
    <col min="1796" max="1796" width="3.21875" style="2" customWidth="1"/>
    <col min="1797" max="1797" width="4.21875" style="2" customWidth="1"/>
    <col min="1798" max="1798" width="5.44140625" style="2" customWidth="1"/>
    <col min="1799" max="1799" width="7.77734375" style="2" customWidth="1"/>
    <col min="1800" max="1800" width="5.21875" style="2" customWidth="1"/>
    <col min="1801" max="1801" width="7" style="2" customWidth="1"/>
    <col min="1802" max="1802" width="5.21875" style="2" customWidth="1"/>
    <col min="1803" max="1803" width="7" style="2" customWidth="1"/>
    <col min="1804" max="1804" width="4.21875" style="2" customWidth="1"/>
    <col min="1805" max="1805" width="6.77734375" style="2" customWidth="1"/>
    <col min="1806" max="1806" width="5.44140625" style="2" customWidth="1"/>
    <col min="1807" max="1807" width="7" style="2" customWidth="1"/>
    <col min="1808" max="1808" width="5.21875" style="2" customWidth="1"/>
    <col min="1809" max="1809" width="4.77734375" style="2" customWidth="1"/>
    <col min="1810" max="1810" width="5.77734375" style="2" customWidth="1"/>
    <col min="1811" max="1811" width="7.44140625" style="2" customWidth="1"/>
    <col min="1812" max="1812" width="4" style="2" customWidth="1"/>
    <col min="1813" max="1813" width="6.44140625" style="2" customWidth="1"/>
    <col min="1814" max="1814" width="5.77734375" style="2" customWidth="1"/>
    <col min="1815" max="1815" width="6.77734375" style="2" customWidth="1"/>
    <col min="1816" max="1816" width="4.21875" style="2" customWidth="1"/>
    <col min="1817" max="1817" width="7.21875" style="2" customWidth="1"/>
    <col min="1818" max="2048" width="9.21875" style="2"/>
    <col min="2049" max="2049" width="4.5546875" style="2" customWidth="1"/>
    <col min="2050" max="2051" width="6.77734375" style="2" customWidth="1"/>
    <col min="2052" max="2052" width="3.21875" style="2" customWidth="1"/>
    <col min="2053" max="2053" width="4.21875" style="2" customWidth="1"/>
    <col min="2054" max="2054" width="5.44140625" style="2" customWidth="1"/>
    <col min="2055" max="2055" width="7.77734375" style="2" customWidth="1"/>
    <col min="2056" max="2056" width="5.21875" style="2" customWidth="1"/>
    <col min="2057" max="2057" width="7" style="2" customWidth="1"/>
    <col min="2058" max="2058" width="5.21875" style="2" customWidth="1"/>
    <col min="2059" max="2059" width="7" style="2" customWidth="1"/>
    <col min="2060" max="2060" width="4.21875" style="2" customWidth="1"/>
    <col min="2061" max="2061" width="6.77734375" style="2" customWidth="1"/>
    <col min="2062" max="2062" width="5.44140625" style="2" customWidth="1"/>
    <col min="2063" max="2063" width="7" style="2" customWidth="1"/>
    <col min="2064" max="2064" width="5.21875" style="2" customWidth="1"/>
    <col min="2065" max="2065" width="4.77734375" style="2" customWidth="1"/>
    <col min="2066" max="2066" width="5.77734375" style="2" customWidth="1"/>
    <col min="2067" max="2067" width="7.44140625" style="2" customWidth="1"/>
    <col min="2068" max="2068" width="4" style="2" customWidth="1"/>
    <col min="2069" max="2069" width="6.44140625" style="2" customWidth="1"/>
    <col min="2070" max="2070" width="5.77734375" style="2" customWidth="1"/>
    <col min="2071" max="2071" width="6.77734375" style="2" customWidth="1"/>
    <col min="2072" max="2072" width="4.21875" style="2" customWidth="1"/>
    <col min="2073" max="2073" width="7.21875" style="2" customWidth="1"/>
    <col min="2074" max="2304" width="9.21875" style="2"/>
    <col min="2305" max="2305" width="4.5546875" style="2" customWidth="1"/>
    <col min="2306" max="2307" width="6.77734375" style="2" customWidth="1"/>
    <col min="2308" max="2308" width="3.21875" style="2" customWidth="1"/>
    <col min="2309" max="2309" width="4.21875" style="2" customWidth="1"/>
    <col min="2310" max="2310" width="5.44140625" style="2" customWidth="1"/>
    <col min="2311" max="2311" width="7.77734375" style="2" customWidth="1"/>
    <col min="2312" max="2312" width="5.21875" style="2" customWidth="1"/>
    <col min="2313" max="2313" width="7" style="2" customWidth="1"/>
    <col min="2314" max="2314" width="5.21875" style="2" customWidth="1"/>
    <col min="2315" max="2315" width="7" style="2" customWidth="1"/>
    <col min="2316" max="2316" width="4.21875" style="2" customWidth="1"/>
    <col min="2317" max="2317" width="6.77734375" style="2" customWidth="1"/>
    <col min="2318" max="2318" width="5.44140625" style="2" customWidth="1"/>
    <col min="2319" max="2319" width="7" style="2" customWidth="1"/>
    <col min="2320" max="2320" width="5.21875" style="2" customWidth="1"/>
    <col min="2321" max="2321" width="4.77734375" style="2" customWidth="1"/>
    <col min="2322" max="2322" width="5.77734375" style="2" customWidth="1"/>
    <col min="2323" max="2323" width="7.44140625" style="2" customWidth="1"/>
    <col min="2324" max="2324" width="4" style="2" customWidth="1"/>
    <col min="2325" max="2325" width="6.44140625" style="2" customWidth="1"/>
    <col min="2326" max="2326" width="5.77734375" style="2" customWidth="1"/>
    <col min="2327" max="2327" width="6.77734375" style="2" customWidth="1"/>
    <col min="2328" max="2328" width="4.21875" style="2" customWidth="1"/>
    <col min="2329" max="2329" width="7.21875" style="2" customWidth="1"/>
    <col min="2330" max="2560" width="9.21875" style="2"/>
    <col min="2561" max="2561" width="4.5546875" style="2" customWidth="1"/>
    <col min="2562" max="2563" width="6.77734375" style="2" customWidth="1"/>
    <col min="2564" max="2564" width="3.21875" style="2" customWidth="1"/>
    <col min="2565" max="2565" width="4.21875" style="2" customWidth="1"/>
    <col min="2566" max="2566" width="5.44140625" style="2" customWidth="1"/>
    <col min="2567" max="2567" width="7.77734375" style="2" customWidth="1"/>
    <col min="2568" max="2568" width="5.21875" style="2" customWidth="1"/>
    <col min="2569" max="2569" width="7" style="2" customWidth="1"/>
    <col min="2570" max="2570" width="5.21875" style="2" customWidth="1"/>
    <col min="2571" max="2571" width="7" style="2" customWidth="1"/>
    <col min="2572" max="2572" width="4.21875" style="2" customWidth="1"/>
    <col min="2573" max="2573" width="6.77734375" style="2" customWidth="1"/>
    <col min="2574" max="2574" width="5.44140625" style="2" customWidth="1"/>
    <col min="2575" max="2575" width="7" style="2" customWidth="1"/>
    <col min="2576" max="2576" width="5.21875" style="2" customWidth="1"/>
    <col min="2577" max="2577" width="4.77734375" style="2" customWidth="1"/>
    <col min="2578" max="2578" width="5.77734375" style="2" customWidth="1"/>
    <col min="2579" max="2579" width="7.44140625" style="2" customWidth="1"/>
    <col min="2580" max="2580" width="4" style="2" customWidth="1"/>
    <col min="2581" max="2581" width="6.44140625" style="2" customWidth="1"/>
    <col min="2582" max="2582" width="5.77734375" style="2" customWidth="1"/>
    <col min="2583" max="2583" width="6.77734375" style="2" customWidth="1"/>
    <col min="2584" max="2584" width="4.21875" style="2" customWidth="1"/>
    <col min="2585" max="2585" width="7.21875" style="2" customWidth="1"/>
    <col min="2586" max="2816" width="9.21875" style="2"/>
    <col min="2817" max="2817" width="4.5546875" style="2" customWidth="1"/>
    <col min="2818" max="2819" width="6.77734375" style="2" customWidth="1"/>
    <col min="2820" max="2820" width="3.21875" style="2" customWidth="1"/>
    <col min="2821" max="2821" width="4.21875" style="2" customWidth="1"/>
    <col min="2822" max="2822" width="5.44140625" style="2" customWidth="1"/>
    <col min="2823" max="2823" width="7.77734375" style="2" customWidth="1"/>
    <col min="2824" max="2824" width="5.21875" style="2" customWidth="1"/>
    <col min="2825" max="2825" width="7" style="2" customWidth="1"/>
    <col min="2826" max="2826" width="5.21875" style="2" customWidth="1"/>
    <col min="2827" max="2827" width="7" style="2" customWidth="1"/>
    <col min="2828" max="2828" width="4.21875" style="2" customWidth="1"/>
    <col min="2829" max="2829" width="6.77734375" style="2" customWidth="1"/>
    <col min="2830" max="2830" width="5.44140625" style="2" customWidth="1"/>
    <col min="2831" max="2831" width="7" style="2" customWidth="1"/>
    <col min="2832" max="2832" width="5.21875" style="2" customWidth="1"/>
    <col min="2833" max="2833" width="4.77734375" style="2" customWidth="1"/>
    <col min="2834" max="2834" width="5.77734375" style="2" customWidth="1"/>
    <col min="2835" max="2835" width="7.44140625" style="2" customWidth="1"/>
    <col min="2836" max="2836" width="4" style="2" customWidth="1"/>
    <col min="2837" max="2837" width="6.44140625" style="2" customWidth="1"/>
    <col min="2838" max="2838" width="5.77734375" style="2" customWidth="1"/>
    <col min="2839" max="2839" width="6.77734375" style="2" customWidth="1"/>
    <col min="2840" max="2840" width="4.21875" style="2" customWidth="1"/>
    <col min="2841" max="2841" width="7.21875" style="2" customWidth="1"/>
    <col min="2842" max="3072" width="9.21875" style="2"/>
    <col min="3073" max="3073" width="4.5546875" style="2" customWidth="1"/>
    <col min="3074" max="3075" width="6.77734375" style="2" customWidth="1"/>
    <col min="3076" max="3076" width="3.21875" style="2" customWidth="1"/>
    <col min="3077" max="3077" width="4.21875" style="2" customWidth="1"/>
    <col min="3078" max="3078" width="5.44140625" style="2" customWidth="1"/>
    <col min="3079" max="3079" width="7.77734375" style="2" customWidth="1"/>
    <col min="3080" max="3080" width="5.21875" style="2" customWidth="1"/>
    <col min="3081" max="3081" width="7" style="2" customWidth="1"/>
    <col min="3082" max="3082" width="5.21875" style="2" customWidth="1"/>
    <col min="3083" max="3083" width="7" style="2" customWidth="1"/>
    <col min="3084" max="3084" width="4.21875" style="2" customWidth="1"/>
    <col min="3085" max="3085" width="6.77734375" style="2" customWidth="1"/>
    <col min="3086" max="3086" width="5.44140625" style="2" customWidth="1"/>
    <col min="3087" max="3087" width="7" style="2" customWidth="1"/>
    <col min="3088" max="3088" width="5.21875" style="2" customWidth="1"/>
    <col min="3089" max="3089" width="4.77734375" style="2" customWidth="1"/>
    <col min="3090" max="3090" width="5.77734375" style="2" customWidth="1"/>
    <col min="3091" max="3091" width="7.44140625" style="2" customWidth="1"/>
    <col min="3092" max="3092" width="4" style="2" customWidth="1"/>
    <col min="3093" max="3093" width="6.44140625" style="2" customWidth="1"/>
    <col min="3094" max="3094" width="5.77734375" style="2" customWidth="1"/>
    <col min="3095" max="3095" width="6.77734375" style="2" customWidth="1"/>
    <col min="3096" max="3096" width="4.21875" style="2" customWidth="1"/>
    <col min="3097" max="3097" width="7.21875" style="2" customWidth="1"/>
    <col min="3098" max="3328" width="9.21875" style="2"/>
    <col min="3329" max="3329" width="4.5546875" style="2" customWidth="1"/>
    <col min="3330" max="3331" width="6.77734375" style="2" customWidth="1"/>
    <col min="3332" max="3332" width="3.21875" style="2" customWidth="1"/>
    <col min="3333" max="3333" width="4.21875" style="2" customWidth="1"/>
    <col min="3334" max="3334" width="5.44140625" style="2" customWidth="1"/>
    <col min="3335" max="3335" width="7.77734375" style="2" customWidth="1"/>
    <col min="3336" max="3336" width="5.21875" style="2" customWidth="1"/>
    <col min="3337" max="3337" width="7" style="2" customWidth="1"/>
    <col min="3338" max="3338" width="5.21875" style="2" customWidth="1"/>
    <col min="3339" max="3339" width="7" style="2" customWidth="1"/>
    <col min="3340" max="3340" width="4.21875" style="2" customWidth="1"/>
    <col min="3341" max="3341" width="6.77734375" style="2" customWidth="1"/>
    <col min="3342" max="3342" width="5.44140625" style="2" customWidth="1"/>
    <col min="3343" max="3343" width="7" style="2" customWidth="1"/>
    <col min="3344" max="3344" width="5.21875" style="2" customWidth="1"/>
    <col min="3345" max="3345" width="4.77734375" style="2" customWidth="1"/>
    <col min="3346" max="3346" width="5.77734375" style="2" customWidth="1"/>
    <col min="3347" max="3347" width="7.44140625" style="2" customWidth="1"/>
    <col min="3348" max="3348" width="4" style="2" customWidth="1"/>
    <col min="3349" max="3349" width="6.44140625" style="2" customWidth="1"/>
    <col min="3350" max="3350" width="5.77734375" style="2" customWidth="1"/>
    <col min="3351" max="3351" width="6.77734375" style="2" customWidth="1"/>
    <col min="3352" max="3352" width="4.21875" style="2" customWidth="1"/>
    <col min="3353" max="3353" width="7.21875" style="2" customWidth="1"/>
    <col min="3354" max="3584" width="9.21875" style="2"/>
    <col min="3585" max="3585" width="4.5546875" style="2" customWidth="1"/>
    <col min="3586" max="3587" width="6.77734375" style="2" customWidth="1"/>
    <col min="3588" max="3588" width="3.21875" style="2" customWidth="1"/>
    <col min="3589" max="3589" width="4.21875" style="2" customWidth="1"/>
    <col min="3590" max="3590" width="5.44140625" style="2" customWidth="1"/>
    <col min="3591" max="3591" width="7.77734375" style="2" customWidth="1"/>
    <col min="3592" max="3592" width="5.21875" style="2" customWidth="1"/>
    <col min="3593" max="3593" width="7" style="2" customWidth="1"/>
    <col min="3594" max="3594" width="5.21875" style="2" customWidth="1"/>
    <col min="3595" max="3595" width="7" style="2" customWidth="1"/>
    <col min="3596" max="3596" width="4.21875" style="2" customWidth="1"/>
    <col min="3597" max="3597" width="6.77734375" style="2" customWidth="1"/>
    <col min="3598" max="3598" width="5.44140625" style="2" customWidth="1"/>
    <col min="3599" max="3599" width="7" style="2" customWidth="1"/>
    <col min="3600" max="3600" width="5.21875" style="2" customWidth="1"/>
    <col min="3601" max="3601" width="4.77734375" style="2" customWidth="1"/>
    <col min="3602" max="3602" width="5.77734375" style="2" customWidth="1"/>
    <col min="3603" max="3603" width="7.44140625" style="2" customWidth="1"/>
    <col min="3604" max="3604" width="4" style="2" customWidth="1"/>
    <col min="3605" max="3605" width="6.44140625" style="2" customWidth="1"/>
    <col min="3606" max="3606" width="5.77734375" style="2" customWidth="1"/>
    <col min="3607" max="3607" width="6.77734375" style="2" customWidth="1"/>
    <col min="3608" max="3608" width="4.21875" style="2" customWidth="1"/>
    <col min="3609" max="3609" width="7.21875" style="2" customWidth="1"/>
    <col min="3610" max="3840" width="9.21875" style="2"/>
    <col min="3841" max="3841" width="4.5546875" style="2" customWidth="1"/>
    <col min="3842" max="3843" width="6.77734375" style="2" customWidth="1"/>
    <col min="3844" max="3844" width="3.21875" style="2" customWidth="1"/>
    <col min="3845" max="3845" width="4.21875" style="2" customWidth="1"/>
    <col min="3846" max="3846" width="5.44140625" style="2" customWidth="1"/>
    <col min="3847" max="3847" width="7.77734375" style="2" customWidth="1"/>
    <col min="3848" max="3848" width="5.21875" style="2" customWidth="1"/>
    <col min="3849" max="3849" width="7" style="2" customWidth="1"/>
    <col min="3850" max="3850" width="5.21875" style="2" customWidth="1"/>
    <col min="3851" max="3851" width="7" style="2" customWidth="1"/>
    <col min="3852" max="3852" width="4.21875" style="2" customWidth="1"/>
    <col min="3853" max="3853" width="6.77734375" style="2" customWidth="1"/>
    <col min="3854" max="3854" width="5.44140625" style="2" customWidth="1"/>
    <col min="3855" max="3855" width="7" style="2" customWidth="1"/>
    <col min="3856" max="3856" width="5.21875" style="2" customWidth="1"/>
    <col min="3857" max="3857" width="4.77734375" style="2" customWidth="1"/>
    <col min="3858" max="3858" width="5.77734375" style="2" customWidth="1"/>
    <col min="3859" max="3859" width="7.44140625" style="2" customWidth="1"/>
    <col min="3860" max="3860" width="4" style="2" customWidth="1"/>
    <col min="3861" max="3861" width="6.44140625" style="2" customWidth="1"/>
    <col min="3862" max="3862" width="5.77734375" style="2" customWidth="1"/>
    <col min="3863" max="3863" width="6.77734375" style="2" customWidth="1"/>
    <col min="3864" max="3864" width="4.21875" style="2" customWidth="1"/>
    <col min="3865" max="3865" width="7.21875" style="2" customWidth="1"/>
    <col min="3866" max="4096" width="9.21875" style="2"/>
    <col min="4097" max="4097" width="4.5546875" style="2" customWidth="1"/>
    <col min="4098" max="4099" width="6.77734375" style="2" customWidth="1"/>
    <col min="4100" max="4100" width="3.21875" style="2" customWidth="1"/>
    <col min="4101" max="4101" width="4.21875" style="2" customWidth="1"/>
    <col min="4102" max="4102" width="5.44140625" style="2" customWidth="1"/>
    <col min="4103" max="4103" width="7.77734375" style="2" customWidth="1"/>
    <col min="4104" max="4104" width="5.21875" style="2" customWidth="1"/>
    <col min="4105" max="4105" width="7" style="2" customWidth="1"/>
    <col min="4106" max="4106" width="5.21875" style="2" customWidth="1"/>
    <col min="4107" max="4107" width="7" style="2" customWidth="1"/>
    <col min="4108" max="4108" width="4.21875" style="2" customWidth="1"/>
    <col min="4109" max="4109" width="6.77734375" style="2" customWidth="1"/>
    <col min="4110" max="4110" width="5.44140625" style="2" customWidth="1"/>
    <col min="4111" max="4111" width="7" style="2" customWidth="1"/>
    <col min="4112" max="4112" width="5.21875" style="2" customWidth="1"/>
    <col min="4113" max="4113" width="4.77734375" style="2" customWidth="1"/>
    <col min="4114" max="4114" width="5.77734375" style="2" customWidth="1"/>
    <col min="4115" max="4115" width="7.44140625" style="2" customWidth="1"/>
    <col min="4116" max="4116" width="4" style="2" customWidth="1"/>
    <col min="4117" max="4117" width="6.44140625" style="2" customWidth="1"/>
    <col min="4118" max="4118" width="5.77734375" style="2" customWidth="1"/>
    <col min="4119" max="4119" width="6.77734375" style="2" customWidth="1"/>
    <col min="4120" max="4120" width="4.21875" style="2" customWidth="1"/>
    <col min="4121" max="4121" width="7.21875" style="2" customWidth="1"/>
    <col min="4122" max="4352" width="9.21875" style="2"/>
    <col min="4353" max="4353" width="4.5546875" style="2" customWidth="1"/>
    <col min="4354" max="4355" width="6.77734375" style="2" customWidth="1"/>
    <col min="4356" max="4356" width="3.21875" style="2" customWidth="1"/>
    <col min="4357" max="4357" width="4.21875" style="2" customWidth="1"/>
    <col min="4358" max="4358" width="5.44140625" style="2" customWidth="1"/>
    <col min="4359" max="4359" width="7.77734375" style="2" customWidth="1"/>
    <col min="4360" max="4360" width="5.21875" style="2" customWidth="1"/>
    <col min="4361" max="4361" width="7" style="2" customWidth="1"/>
    <col min="4362" max="4362" width="5.21875" style="2" customWidth="1"/>
    <col min="4363" max="4363" width="7" style="2" customWidth="1"/>
    <col min="4364" max="4364" width="4.21875" style="2" customWidth="1"/>
    <col min="4365" max="4365" width="6.77734375" style="2" customWidth="1"/>
    <col min="4366" max="4366" width="5.44140625" style="2" customWidth="1"/>
    <col min="4367" max="4367" width="7" style="2" customWidth="1"/>
    <col min="4368" max="4368" width="5.21875" style="2" customWidth="1"/>
    <col min="4369" max="4369" width="4.77734375" style="2" customWidth="1"/>
    <col min="4370" max="4370" width="5.77734375" style="2" customWidth="1"/>
    <col min="4371" max="4371" width="7.44140625" style="2" customWidth="1"/>
    <col min="4372" max="4372" width="4" style="2" customWidth="1"/>
    <col min="4373" max="4373" width="6.44140625" style="2" customWidth="1"/>
    <col min="4374" max="4374" width="5.77734375" style="2" customWidth="1"/>
    <col min="4375" max="4375" width="6.77734375" style="2" customWidth="1"/>
    <col min="4376" max="4376" width="4.21875" style="2" customWidth="1"/>
    <col min="4377" max="4377" width="7.21875" style="2" customWidth="1"/>
    <col min="4378" max="4608" width="9.21875" style="2"/>
    <col min="4609" max="4609" width="4.5546875" style="2" customWidth="1"/>
    <col min="4610" max="4611" width="6.77734375" style="2" customWidth="1"/>
    <col min="4612" max="4612" width="3.21875" style="2" customWidth="1"/>
    <col min="4613" max="4613" width="4.21875" style="2" customWidth="1"/>
    <col min="4614" max="4614" width="5.44140625" style="2" customWidth="1"/>
    <col min="4615" max="4615" width="7.77734375" style="2" customWidth="1"/>
    <col min="4616" max="4616" width="5.21875" style="2" customWidth="1"/>
    <col min="4617" max="4617" width="7" style="2" customWidth="1"/>
    <col min="4618" max="4618" width="5.21875" style="2" customWidth="1"/>
    <col min="4619" max="4619" width="7" style="2" customWidth="1"/>
    <col min="4620" max="4620" width="4.21875" style="2" customWidth="1"/>
    <col min="4621" max="4621" width="6.77734375" style="2" customWidth="1"/>
    <col min="4622" max="4622" width="5.44140625" style="2" customWidth="1"/>
    <col min="4623" max="4623" width="7" style="2" customWidth="1"/>
    <col min="4624" max="4624" width="5.21875" style="2" customWidth="1"/>
    <col min="4625" max="4625" width="4.77734375" style="2" customWidth="1"/>
    <col min="4626" max="4626" width="5.77734375" style="2" customWidth="1"/>
    <col min="4627" max="4627" width="7.44140625" style="2" customWidth="1"/>
    <col min="4628" max="4628" width="4" style="2" customWidth="1"/>
    <col min="4629" max="4629" width="6.44140625" style="2" customWidth="1"/>
    <col min="4630" max="4630" width="5.77734375" style="2" customWidth="1"/>
    <col min="4631" max="4631" width="6.77734375" style="2" customWidth="1"/>
    <col min="4632" max="4632" width="4.21875" style="2" customWidth="1"/>
    <col min="4633" max="4633" width="7.21875" style="2" customWidth="1"/>
    <col min="4634" max="4864" width="9.21875" style="2"/>
    <col min="4865" max="4865" width="4.5546875" style="2" customWidth="1"/>
    <col min="4866" max="4867" width="6.77734375" style="2" customWidth="1"/>
    <col min="4868" max="4868" width="3.21875" style="2" customWidth="1"/>
    <col min="4869" max="4869" width="4.21875" style="2" customWidth="1"/>
    <col min="4870" max="4870" width="5.44140625" style="2" customWidth="1"/>
    <col min="4871" max="4871" width="7.77734375" style="2" customWidth="1"/>
    <col min="4872" max="4872" width="5.21875" style="2" customWidth="1"/>
    <col min="4873" max="4873" width="7" style="2" customWidth="1"/>
    <col min="4874" max="4874" width="5.21875" style="2" customWidth="1"/>
    <col min="4875" max="4875" width="7" style="2" customWidth="1"/>
    <col min="4876" max="4876" width="4.21875" style="2" customWidth="1"/>
    <col min="4877" max="4877" width="6.77734375" style="2" customWidth="1"/>
    <col min="4878" max="4878" width="5.44140625" style="2" customWidth="1"/>
    <col min="4879" max="4879" width="7" style="2" customWidth="1"/>
    <col min="4880" max="4880" width="5.21875" style="2" customWidth="1"/>
    <col min="4881" max="4881" width="4.77734375" style="2" customWidth="1"/>
    <col min="4882" max="4882" width="5.77734375" style="2" customWidth="1"/>
    <col min="4883" max="4883" width="7.44140625" style="2" customWidth="1"/>
    <col min="4884" max="4884" width="4" style="2" customWidth="1"/>
    <col min="4885" max="4885" width="6.44140625" style="2" customWidth="1"/>
    <col min="4886" max="4886" width="5.77734375" style="2" customWidth="1"/>
    <col min="4887" max="4887" width="6.77734375" style="2" customWidth="1"/>
    <col min="4888" max="4888" width="4.21875" style="2" customWidth="1"/>
    <col min="4889" max="4889" width="7.21875" style="2" customWidth="1"/>
    <col min="4890" max="5120" width="9.21875" style="2"/>
    <col min="5121" max="5121" width="4.5546875" style="2" customWidth="1"/>
    <col min="5122" max="5123" width="6.77734375" style="2" customWidth="1"/>
    <col min="5124" max="5124" width="3.21875" style="2" customWidth="1"/>
    <col min="5125" max="5125" width="4.21875" style="2" customWidth="1"/>
    <col min="5126" max="5126" width="5.44140625" style="2" customWidth="1"/>
    <col min="5127" max="5127" width="7.77734375" style="2" customWidth="1"/>
    <col min="5128" max="5128" width="5.21875" style="2" customWidth="1"/>
    <col min="5129" max="5129" width="7" style="2" customWidth="1"/>
    <col min="5130" max="5130" width="5.21875" style="2" customWidth="1"/>
    <col min="5131" max="5131" width="7" style="2" customWidth="1"/>
    <col min="5132" max="5132" width="4.21875" style="2" customWidth="1"/>
    <col min="5133" max="5133" width="6.77734375" style="2" customWidth="1"/>
    <col min="5134" max="5134" width="5.44140625" style="2" customWidth="1"/>
    <col min="5135" max="5135" width="7" style="2" customWidth="1"/>
    <col min="5136" max="5136" width="5.21875" style="2" customWidth="1"/>
    <col min="5137" max="5137" width="4.77734375" style="2" customWidth="1"/>
    <col min="5138" max="5138" width="5.77734375" style="2" customWidth="1"/>
    <col min="5139" max="5139" width="7.44140625" style="2" customWidth="1"/>
    <col min="5140" max="5140" width="4" style="2" customWidth="1"/>
    <col min="5141" max="5141" width="6.44140625" style="2" customWidth="1"/>
    <col min="5142" max="5142" width="5.77734375" style="2" customWidth="1"/>
    <col min="5143" max="5143" width="6.77734375" style="2" customWidth="1"/>
    <col min="5144" max="5144" width="4.21875" style="2" customWidth="1"/>
    <col min="5145" max="5145" width="7.21875" style="2" customWidth="1"/>
    <col min="5146" max="5376" width="9.21875" style="2"/>
    <col min="5377" max="5377" width="4.5546875" style="2" customWidth="1"/>
    <col min="5378" max="5379" width="6.77734375" style="2" customWidth="1"/>
    <col min="5380" max="5380" width="3.21875" style="2" customWidth="1"/>
    <col min="5381" max="5381" width="4.21875" style="2" customWidth="1"/>
    <col min="5382" max="5382" width="5.44140625" style="2" customWidth="1"/>
    <col min="5383" max="5383" width="7.77734375" style="2" customWidth="1"/>
    <col min="5384" max="5384" width="5.21875" style="2" customWidth="1"/>
    <col min="5385" max="5385" width="7" style="2" customWidth="1"/>
    <col min="5386" max="5386" width="5.21875" style="2" customWidth="1"/>
    <col min="5387" max="5387" width="7" style="2" customWidth="1"/>
    <col min="5388" max="5388" width="4.21875" style="2" customWidth="1"/>
    <col min="5389" max="5389" width="6.77734375" style="2" customWidth="1"/>
    <col min="5390" max="5390" width="5.44140625" style="2" customWidth="1"/>
    <col min="5391" max="5391" width="7" style="2" customWidth="1"/>
    <col min="5392" max="5392" width="5.21875" style="2" customWidth="1"/>
    <col min="5393" max="5393" width="4.77734375" style="2" customWidth="1"/>
    <col min="5394" max="5394" width="5.77734375" style="2" customWidth="1"/>
    <col min="5395" max="5395" width="7.44140625" style="2" customWidth="1"/>
    <col min="5396" max="5396" width="4" style="2" customWidth="1"/>
    <col min="5397" max="5397" width="6.44140625" style="2" customWidth="1"/>
    <col min="5398" max="5398" width="5.77734375" style="2" customWidth="1"/>
    <col min="5399" max="5399" width="6.77734375" style="2" customWidth="1"/>
    <col min="5400" max="5400" width="4.21875" style="2" customWidth="1"/>
    <col min="5401" max="5401" width="7.21875" style="2" customWidth="1"/>
    <col min="5402" max="5632" width="9.21875" style="2"/>
    <col min="5633" max="5633" width="4.5546875" style="2" customWidth="1"/>
    <col min="5634" max="5635" width="6.77734375" style="2" customWidth="1"/>
    <col min="5636" max="5636" width="3.21875" style="2" customWidth="1"/>
    <col min="5637" max="5637" width="4.21875" style="2" customWidth="1"/>
    <col min="5638" max="5638" width="5.44140625" style="2" customWidth="1"/>
    <col min="5639" max="5639" width="7.77734375" style="2" customWidth="1"/>
    <col min="5640" max="5640" width="5.21875" style="2" customWidth="1"/>
    <col min="5641" max="5641" width="7" style="2" customWidth="1"/>
    <col min="5642" max="5642" width="5.21875" style="2" customWidth="1"/>
    <col min="5643" max="5643" width="7" style="2" customWidth="1"/>
    <col min="5644" max="5644" width="4.21875" style="2" customWidth="1"/>
    <col min="5645" max="5645" width="6.77734375" style="2" customWidth="1"/>
    <col min="5646" max="5646" width="5.44140625" style="2" customWidth="1"/>
    <col min="5647" max="5647" width="7" style="2" customWidth="1"/>
    <col min="5648" max="5648" width="5.21875" style="2" customWidth="1"/>
    <col min="5649" max="5649" width="4.77734375" style="2" customWidth="1"/>
    <col min="5650" max="5650" width="5.77734375" style="2" customWidth="1"/>
    <col min="5651" max="5651" width="7.44140625" style="2" customWidth="1"/>
    <col min="5652" max="5652" width="4" style="2" customWidth="1"/>
    <col min="5653" max="5653" width="6.44140625" style="2" customWidth="1"/>
    <col min="5654" max="5654" width="5.77734375" style="2" customWidth="1"/>
    <col min="5655" max="5655" width="6.77734375" style="2" customWidth="1"/>
    <col min="5656" max="5656" width="4.21875" style="2" customWidth="1"/>
    <col min="5657" max="5657" width="7.21875" style="2" customWidth="1"/>
    <col min="5658" max="5888" width="9.21875" style="2"/>
    <col min="5889" max="5889" width="4.5546875" style="2" customWidth="1"/>
    <col min="5890" max="5891" width="6.77734375" style="2" customWidth="1"/>
    <col min="5892" max="5892" width="3.21875" style="2" customWidth="1"/>
    <col min="5893" max="5893" width="4.21875" style="2" customWidth="1"/>
    <col min="5894" max="5894" width="5.44140625" style="2" customWidth="1"/>
    <col min="5895" max="5895" width="7.77734375" style="2" customWidth="1"/>
    <col min="5896" max="5896" width="5.21875" style="2" customWidth="1"/>
    <col min="5897" max="5897" width="7" style="2" customWidth="1"/>
    <col min="5898" max="5898" width="5.21875" style="2" customWidth="1"/>
    <col min="5899" max="5899" width="7" style="2" customWidth="1"/>
    <col min="5900" max="5900" width="4.21875" style="2" customWidth="1"/>
    <col min="5901" max="5901" width="6.77734375" style="2" customWidth="1"/>
    <col min="5902" max="5902" width="5.44140625" style="2" customWidth="1"/>
    <col min="5903" max="5903" width="7" style="2" customWidth="1"/>
    <col min="5904" max="5904" width="5.21875" style="2" customWidth="1"/>
    <col min="5905" max="5905" width="4.77734375" style="2" customWidth="1"/>
    <col min="5906" max="5906" width="5.77734375" style="2" customWidth="1"/>
    <col min="5907" max="5907" width="7.44140625" style="2" customWidth="1"/>
    <col min="5908" max="5908" width="4" style="2" customWidth="1"/>
    <col min="5909" max="5909" width="6.44140625" style="2" customWidth="1"/>
    <col min="5910" max="5910" width="5.77734375" style="2" customWidth="1"/>
    <col min="5911" max="5911" width="6.77734375" style="2" customWidth="1"/>
    <col min="5912" max="5912" width="4.21875" style="2" customWidth="1"/>
    <col min="5913" max="5913" width="7.21875" style="2" customWidth="1"/>
    <col min="5914" max="6144" width="9.21875" style="2"/>
    <col min="6145" max="6145" width="4.5546875" style="2" customWidth="1"/>
    <col min="6146" max="6147" width="6.77734375" style="2" customWidth="1"/>
    <col min="6148" max="6148" width="3.21875" style="2" customWidth="1"/>
    <col min="6149" max="6149" width="4.21875" style="2" customWidth="1"/>
    <col min="6150" max="6150" width="5.44140625" style="2" customWidth="1"/>
    <col min="6151" max="6151" width="7.77734375" style="2" customWidth="1"/>
    <col min="6152" max="6152" width="5.21875" style="2" customWidth="1"/>
    <col min="6153" max="6153" width="7" style="2" customWidth="1"/>
    <col min="6154" max="6154" width="5.21875" style="2" customWidth="1"/>
    <col min="6155" max="6155" width="7" style="2" customWidth="1"/>
    <col min="6156" max="6156" width="4.21875" style="2" customWidth="1"/>
    <col min="6157" max="6157" width="6.77734375" style="2" customWidth="1"/>
    <col min="6158" max="6158" width="5.44140625" style="2" customWidth="1"/>
    <col min="6159" max="6159" width="7" style="2" customWidth="1"/>
    <col min="6160" max="6160" width="5.21875" style="2" customWidth="1"/>
    <col min="6161" max="6161" width="4.77734375" style="2" customWidth="1"/>
    <col min="6162" max="6162" width="5.77734375" style="2" customWidth="1"/>
    <col min="6163" max="6163" width="7.44140625" style="2" customWidth="1"/>
    <col min="6164" max="6164" width="4" style="2" customWidth="1"/>
    <col min="6165" max="6165" width="6.44140625" style="2" customWidth="1"/>
    <col min="6166" max="6166" width="5.77734375" style="2" customWidth="1"/>
    <col min="6167" max="6167" width="6.77734375" style="2" customWidth="1"/>
    <col min="6168" max="6168" width="4.21875" style="2" customWidth="1"/>
    <col min="6169" max="6169" width="7.21875" style="2" customWidth="1"/>
    <col min="6170" max="6400" width="9.21875" style="2"/>
    <col min="6401" max="6401" width="4.5546875" style="2" customWidth="1"/>
    <col min="6402" max="6403" width="6.77734375" style="2" customWidth="1"/>
    <col min="6404" max="6404" width="3.21875" style="2" customWidth="1"/>
    <col min="6405" max="6405" width="4.21875" style="2" customWidth="1"/>
    <col min="6406" max="6406" width="5.44140625" style="2" customWidth="1"/>
    <col min="6407" max="6407" width="7.77734375" style="2" customWidth="1"/>
    <col min="6408" max="6408" width="5.21875" style="2" customWidth="1"/>
    <col min="6409" max="6409" width="7" style="2" customWidth="1"/>
    <col min="6410" max="6410" width="5.21875" style="2" customWidth="1"/>
    <col min="6411" max="6411" width="7" style="2" customWidth="1"/>
    <col min="6412" max="6412" width="4.21875" style="2" customWidth="1"/>
    <col min="6413" max="6413" width="6.77734375" style="2" customWidth="1"/>
    <col min="6414" max="6414" width="5.44140625" style="2" customWidth="1"/>
    <col min="6415" max="6415" width="7" style="2" customWidth="1"/>
    <col min="6416" max="6416" width="5.21875" style="2" customWidth="1"/>
    <col min="6417" max="6417" width="4.77734375" style="2" customWidth="1"/>
    <col min="6418" max="6418" width="5.77734375" style="2" customWidth="1"/>
    <col min="6419" max="6419" width="7.44140625" style="2" customWidth="1"/>
    <col min="6420" max="6420" width="4" style="2" customWidth="1"/>
    <col min="6421" max="6421" width="6.44140625" style="2" customWidth="1"/>
    <col min="6422" max="6422" width="5.77734375" style="2" customWidth="1"/>
    <col min="6423" max="6423" width="6.77734375" style="2" customWidth="1"/>
    <col min="6424" max="6424" width="4.21875" style="2" customWidth="1"/>
    <col min="6425" max="6425" width="7.21875" style="2" customWidth="1"/>
    <col min="6426" max="6656" width="9.21875" style="2"/>
    <col min="6657" max="6657" width="4.5546875" style="2" customWidth="1"/>
    <col min="6658" max="6659" width="6.77734375" style="2" customWidth="1"/>
    <col min="6660" max="6660" width="3.21875" style="2" customWidth="1"/>
    <col min="6661" max="6661" width="4.21875" style="2" customWidth="1"/>
    <col min="6662" max="6662" width="5.44140625" style="2" customWidth="1"/>
    <col min="6663" max="6663" width="7.77734375" style="2" customWidth="1"/>
    <col min="6664" max="6664" width="5.21875" style="2" customWidth="1"/>
    <col min="6665" max="6665" width="7" style="2" customWidth="1"/>
    <col min="6666" max="6666" width="5.21875" style="2" customWidth="1"/>
    <col min="6667" max="6667" width="7" style="2" customWidth="1"/>
    <col min="6668" max="6668" width="4.21875" style="2" customWidth="1"/>
    <col min="6669" max="6669" width="6.77734375" style="2" customWidth="1"/>
    <col min="6670" max="6670" width="5.44140625" style="2" customWidth="1"/>
    <col min="6671" max="6671" width="7" style="2" customWidth="1"/>
    <col min="6672" max="6672" width="5.21875" style="2" customWidth="1"/>
    <col min="6673" max="6673" width="4.77734375" style="2" customWidth="1"/>
    <col min="6674" max="6674" width="5.77734375" style="2" customWidth="1"/>
    <col min="6675" max="6675" width="7.44140625" style="2" customWidth="1"/>
    <col min="6676" max="6676" width="4" style="2" customWidth="1"/>
    <col min="6677" max="6677" width="6.44140625" style="2" customWidth="1"/>
    <col min="6678" max="6678" width="5.77734375" style="2" customWidth="1"/>
    <col min="6679" max="6679" width="6.77734375" style="2" customWidth="1"/>
    <col min="6680" max="6680" width="4.21875" style="2" customWidth="1"/>
    <col min="6681" max="6681" width="7.21875" style="2" customWidth="1"/>
    <col min="6682" max="6912" width="9.21875" style="2"/>
    <col min="6913" max="6913" width="4.5546875" style="2" customWidth="1"/>
    <col min="6914" max="6915" width="6.77734375" style="2" customWidth="1"/>
    <col min="6916" max="6916" width="3.21875" style="2" customWidth="1"/>
    <col min="6917" max="6917" width="4.21875" style="2" customWidth="1"/>
    <col min="6918" max="6918" width="5.44140625" style="2" customWidth="1"/>
    <col min="6919" max="6919" width="7.77734375" style="2" customWidth="1"/>
    <col min="6920" max="6920" width="5.21875" style="2" customWidth="1"/>
    <col min="6921" max="6921" width="7" style="2" customWidth="1"/>
    <col min="6922" max="6922" width="5.21875" style="2" customWidth="1"/>
    <col min="6923" max="6923" width="7" style="2" customWidth="1"/>
    <col min="6924" max="6924" width="4.21875" style="2" customWidth="1"/>
    <col min="6925" max="6925" width="6.77734375" style="2" customWidth="1"/>
    <col min="6926" max="6926" width="5.44140625" style="2" customWidth="1"/>
    <col min="6927" max="6927" width="7" style="2" customWidth="1"/>
    <col min="6928" max="6928" width="5.21875" style="2" customWidth="1"/>
    <col min="6929" max="6929" width="4.77734375" style="2" customWidth="1"/>
    <col min="6930" max="6930" width="5.77734375" style="2" customWidth="1"/>
    <col min="6931" max="6931" width="7.44140625" style="2" customWidth="1"/>
    <col min="6932" max="6932" width="4" style="2" customWidth="1"/>
    <col min="6933" max="6933" width="6.44140625" style="2" customWidth="1"/>
    <col min="6934" max="6934" width="5.77734375" style="2" customWidth="1"/>
    <col min="6935" max="6935" width="6.77734375" style="2" customWidth="1"/>
    <col min="6936" max="6936" width="4.21875" style="2" customWidth="1"/>
    <col min="6937" max="6937" width="7.21875" style="2" customWidth="1"/>
    <col min="6938" max="7168" width="9.21875" style="2"/>
    <col min="7169" max="7169" width="4.5546875" style="2" customWidth="1"/>
    <col min="7170" max="7171" width="6.77734375" style="2" customWidth="1"/>
    <col min="7172" max="7172" width="3.21875" style="2" customWidth="1"/>
    <col min="7173" max="7173" width="4.21875" style="2" customWidth="1"/>
    <col min="7174" max="7174" width="5.44140625" style="2" customWidth="1"/>
    <col min="7175" max="7175" width="7.77734375" style="2" customWidth="1"/>
    <col min="7176" max="7176" width="5.21875" style="2" customWidth="1"/>
    <col min="7177" max="7177" width="7" style="2" customWidth="1"/>
    <col min="7178" max="7178" width="5.21875" style="2" customWidth="1"/>
    <col min="7179" max="7179" width="7" style="2" customWidth="1"/>
    <col min="7180" max="7180" width="4.21875" style="2" customWidth="1"/>
    <col min="7181" max="7181" width="6.77734375" style="2" customWidth="1"/>
    <col min="7182" max="7182" width="5.44140625" style="2" customWidth="1"/>
    <col min="7183" max="7183" width="7" style="2" customWidth="1"/>
    <col min="7184" max="7184" width="5.21875" style="2" customWidth="1"/>
    <col min="7185" max="7185" width="4.77734375" style="2" customWidth="1"/>
    <col min="7186" max="7186" width="5.77734375" style="2" customWidth="1"/>
    <col min="7187" max="7187" width="7.44140625" style="2" customWidth="1"/>
    <col min="7188" max="7188" width="4" style="2" customWidth="1"/>
    <col min="7189" max="7189" width="6.44140625" style="2" customWidth="1"/>
    <col min="7190" max="7190" width="5.77734375" style="2" customWidth="1"/>
    <col min="7191" max="7191" width="6.77734375" style="2" customWidth="1"/>
    <col min="7192" max="7192" width="4.21875" style="2" customWidth="1"/>
    <col min="7193" max="7193" width="7.21875" style="2" customWidth="1"/>
    <col min="7194" max="7424" width="9.21875" style="2"/>
    <col min="7425" max="7425" width="4.5546875" style="2" customWidth="1"/>
    <col min="7426" max="7427" width="6.77734375" style="2" customWidth="1"/>
    <col min="7428" max="7428" width="3.21875" style="2" customWidth="1"/>
    <col min="7429" max="7429" width="4.21875" style="2" customWidth="1"/>
    <col min="7430" max="7430" width="5.44140625" style="2" customWidth="1"/>
    <col min="7431" max="7431" width="7.77734375" style="2" customWidth="1"/>
    <col min="7432" max="7432" width="5.21875" style="2" customWidth="1"/>
    <col min="7433" max="7433" width="7" style="2" customWidth="1"/>
    <col min="7434" max="7434" width="5.21875" style="2" customWidth="1"/>
    <col min="7435" max="7435" width="7" style="2" customWidth="1"/>
    <col min="7436" max="7436" width="4.21875" style="2" customWidth="1"/>
    <col min="7437" max="7437" width="6.77734375" style="2" customWidth="1"/>
    <col min="7438" max="7438" width="5.44140625" style="2" customWidth="1"/>
    <col min="7439" max="7439" width="7" style="2" customWidth="1"/>
    <col min="7440" max="7440" width="5.21875" style="2" customWidth="1"/>
    <col min="7441" max="7441" width="4.77734375" style="2" customWidth="1"/>
    <col min="7442" max="7442" width="5.77734375" style="2" customWidth="1"/>
    <col min="7443" max="7443" width="7.44140625" style="2" customWidth="1"/>
    <col min="7444" max="7444" width="4" style="2" customWidth="1"/>
    <col min="7445" max="7445" width="6.44140625" style="2" customWidth="1"/>
    <col min="7446" max="7446" width="5.77734375" style="2" customWidth="1"/>
    <col min="7447" max="7447" width="6.77734375" style="2" customWidth="1"/>
    <col min="7448" max="7448" width="4.21875" style="2" customWidth="1"/>
    <col min="7449" max="7449" width="7.21875" style="2" customWidth="1"/>
    <col min="7450" max="7680" width="9.21875" style="2"/>
    <col min="7681" max="7681" width="4.5546875" style="2" customWidth="1"/>
    <col min="7682" max="7683" width="6.77734375" style="2" customWidth="1"/>
    <col min="7684" max="7684" width="3.21875" style="2" customWidth="1"/>
    <col min="7685" max="7685" width="4.21875" style="2" customWidth="1"/>
    <col min="7686" max="7686" width="5.44140625" style="2" customWidth="1"/>
    <col min="7687" max="7687" width="7.77734375" style="2" customWidth="1"/>
    <col min="7688" max="7688" width="5.21875" style="2" customWidth="1"/>
    <col min="7689" max="7689" width="7" style="2" customWidth="1"/>
    <col min="7690" max="7690" width="5.21875" style="2" customWidth="1"/>
    <col min="7691" max="7691" width="7" style="2" customWidth="1"/>
    <col min="7692" max="7692" width="4.21875" style="2" customWidth="1"/>
    <col min="7693" max="7693" width="6.77734375" style="2" customWidth="1"/>
    <col min="7694" max="7694" width="5.44140625" style="2" customWidth="1"/>
    <col min="7695" max="7695" width="7" style="2" customWidth="1"/>
    <col min="7696" max="7696" width="5.21875" style="2" customWidth="1"/>
    <col min="7697" max="7697" width="4.77734375" style="2" customWidth="1"/>
    <col min="7698" max="7698" width="5.77734375" style="2" customWidth="1"/>
    <col min="7699" max="7699" width="7.44140625" style="2" customWidth="1"/>
    <col min="7700" max="7700" width="4" style="2" customWidth="1"/>
    <col min="7701" max="7701" width="6.44140625" style="2" customWidth="1"/>
    <col min="7702" max="7702" width="5.77734375" style="2" customWidth="1"/>
    <col min="7703" max="7703" width="6.77734375" style="2" customWidth="1"/>
    <col min="7704" max="7704" width="4.21875" style="2" customWidth="1"/>
    <col min="7705" max="7705" width="7.21875" style="2" customWidth="1"/>
    <col min="7706" max="7936" width="9.21875" style="2"/>
    <col min="7937" max="7937" width="4.5546875" style="2" customWidth="1"/>
    <col min="7938" max="7939" width="6.77734375" style="2" customWidth="1"/>
    <col min="7940" max="7940" width="3.21875" style="2" customWidth="1"/>
    <col min="7941" max="7941" width="4.21875" style="2" customWidth="1"/>
    <col min="7942" max="7942" width="5.44140625" style="2" customWidth="1"/>
    <col min="7943" max="7943" width="7.77734375" style="2" customWidth="1"/>
    <col min="7944" max="7944" width="5.21875" style="2" customWidth="1"/>
    <col min="7945" max="7945" width="7" style="2" customWidth="1"/>
    <col min="7946" max="7946" width="5.21875" style="2" customWidth="1"/>
    <col min="7947" max="7947" width="7" style="2" customWidth="1"/>
    <col min="7948" max="7948" width="4.21875" style="2" customWidth="1"/>
    <col min="7949" max="7949" width="6.77734375" style="2" customWidth="1"/>
    <col min="7950" max="7950" width="5.44140625" style="2" customWidth="1"/>
    <col min="7951" max="7951" width="7" style="2" customWidth="1"/>
    <col min="7952" max="7952" width="5.21875" style="2" customWidth="1"/>
    <col min="7953" max="7953" width="4.77734375" style="2" customWidth="1"/>
    <col min="7954" max="7954" width="5.77734375" style="2" customWidth="1"/>
    <col min="7955" max="7955" width="7.44140625" style="2" customWidth="1"/>
    <col min="7956" max="7956" width="4" style="2" customWidth="1"/>
    <col min="7957" max="7957" width="6.44140625" style="2" customWidth="1"/>
    <col min="7958" max="7958" width="5.77734375" style="2" customWidth="1"/>
    <col min="7959" max="7959" width="6.77734375" style="2" customWidth="1"/>
    <col min="7960" max="7960" width="4.21875" style="2" customWidth="1"/>
    <col min="7961" max="7961" width="7.21875" style="2" customWidth="1"/>
    <col min="7962" max="8192" width="9.21875" style="2"/>
    <col min="8193" max="8193" width="4.5546875" style="2" customWidth="1"/>
    <col min="8194" max="8195" width="6.77734375" style="2" customWidth="1"/>
    <col min="8196" max="8196" width="3.21875" style="2" customWidth="1"/>
    <col min="8197" max="8197" width="4.21875" style="2" customWidth="1"/>
    <col min="8198" max="8198" width="5.44140625" style="2" customWidth="1"/>
    <col min="8199" max="8199" width="7.77734375" style="2" customWidth="1"/>
    <col min="8200" max="8200" width="5.21875" style="2" customWidth="1"/>
    <col min="8201" max="8201" width="7" style="2" customWidth="1"/>
    <col min="8202" max="8202" width="5.21875" style="2" customWidth="1"/>
    <col min="8203" max="8203" width="7" style="2" customWidth="1"/>
    <col min="8204" max="8204" width="4.21875" style="2" customWidth="1"/>
    <col min="8205" max="8205" width="6.77734375" style="2" customWidth="1"/>
    <col min="8206" max="8206" width="5.44140625" style="2" customWidth="1"/>
    <col min="8207" max="8207" width="7" style="2" customWidth="1"/>
    <col min="8208" max="8208" width="5.21875" style="2" customWidth="1"/>
    <col min="8209" max="8209" width="4.77734375" style="2" customWidth="1"/>
    <col min="8210" max="8210" width="5.77734375" style="2" customWidth="1"/>
    <col min="8211" max="8211" width="7.44140625" style="2" customWidth="1"/>
    <col min="8212" max="8212" width="4" style="2" customWidth="1"/>
    <col min="8213" max="8213" width="6.44140625" style="2" customWidth="1"/>
    <col min="8214" max="8214" width="5.77734375" style="2" customWidth="1"/>
    <col min="8215" max="8215" width="6.77734375" style="2" customWidth="1"/>
    <col min="8216" max="8216" width="4.21875" style="2" customWidth="1"/>
    <col min="8217" max="8217" width="7.21875" style="2" customWidth="1"/>
    <col min="8218" max="8448" width="9.21875" style="2"/>
    <col min="8449" max="8449" width="4.5546875" style="2" customWidth="1"/>
    <col min="8450" max="8451" width="6.77734375" style="2" customWidth="1"/>
    <col min="8452" max="8452" width="3.21875" style="2" customWidth="1"/>
    <col min="8453" max="8453" width="4.21875" style="2" customWidth="1"/>
    <col min="8454" max="8454" width="5.44140625" style="2" customWidth="1"/>
    <col min="8455" max="8455" width="7.77734375" style="2" customWidth="1"/>
    <col min="8456" max="8456" width="5.21875" style="2" customWidth="1"/>
    <col min="8457" max="8457" width="7" style="2" customWidth="1"/>
    <col min="8458" max="8458" width="5.21875" style="2" customWidth="1"/>
    <col min="8459" max="8459" width="7" style="2" customWidth="1"/>
    <col min="8460" max="8460" width="4.21875" style="2" customWidth="1"/>
    <col min="8461" max="8461" width="6.77734375" style="2" customWidth="1"/>
    <col min="8462" max="8462" width="5.44140625" style="2" customWidth="1"/>
    <col min="8463" max="8463" width="7" style="2" customWidth="1"/>
    <col min="8464" max="8464" width="5.21875" style="2" customWidth="1"/>
    <col min="8465" max="8465" width="4.77734375" style="2" customWidth="1"/>
    <col min="8466" max="8466" width="5.77734375" style="2" customWidth="1"/>
    <col min="8467" max="8467" width="7.44140625" style="2" customWidth="1"/>
    <col min="8468" max="8468" width="4" style="2" customWidth="1"/>
    <col min="8469" max="8469" width="6.44140625" style="2" customWidth="1"/>
    <col min="8470" max="8470" width="5.77734375" style="2" customWidth="1"/>
    <col min="8471" max="8471" width="6.77734375" style="2" customWidth="1"/>
    <col min="8472" max="8472" width="4.21875" style="2" customWidth="1"/>
    <col min="8473" max="8473" width="7.21875" style="2" customWidth="1"/>
    <col min="8474" max="8704" width="9.21875" style="2"/>
    <col min="8705" max="8705" width="4.5546875" style="2" customWidth="1"/>
    <col min="8706" max="8707" width="6.77734375" style="2" customWidth="1"/>
    <col min="8708" max="8708" width="3.21875" style="2" customWidth="1"/>
    <col min="8709" max="8709" width="4.21875" style="2" customWidth="1"/>
    <col min="8710" max="8710" width="5.44140625" style="2" customWidth="1"/>
    <col min="8711" max="8711" width="7.77734375" style="2" customWidth="1"/>
    <col min="8712" max="8712" width="5.21875" style="2" customWidth="1"/>
    <col min="8713" max="8713" width="7" style="2" customWidth="1"/>
    <col min="8714" max="8714" width="5.21875" style="2" customWidth="1"/>
    <col min="8715" max="8715" width="7" style="2" customWidth="1"/>
    <col min="8716" max="8716" width="4.21875" style="2" customWidth="1"/>
    <col min="8717" max="8717" width="6.77734375" style="2" customWidth="1"/>
    <col min="8718" max="8718" width="5.44140625" style="2" customWidth="1"/>
    <col min="8719" max="8719" width="7" style="2" customWidth="1"/>
    <col min="8720" max="8720" width="5.21875" style="2" customWidth="1"/>
    <col min="8721" max="8721" width="4.77734375" style="2" customWidth="1"/>
    <col min="8722" max="8722" width="5.77734375" style="2" customWidth="1"/>
    <col min="8723" max="8723" width="7.44140625" style="2" customWidth="1"/>
    <col min="8724" max="8724" width="4" style="2" customWidth="1"/>
    <col min="8725" max="8725" width="6.44140625" style="2" customWidth="1"/>
    <col min="8726" max="8726" width="5.77734375" style="2" customWidth="1"/>
    <col min="8727" max="8727" width="6.77734375" style="2" customWidth="1"/>
    <col min="8728" max="8728" width="4.21875" style="2" customWidth="1"/>
    <col min="8729" max="8729" width="7.21875" style="2" customWidth="1"/>
    <col min="8730" max="8960" width="9.21875" style="2"/>
    <col min="8961" max="8961" width="4.5546875" style="2" customWidth="1"/>
    <col min="8962" max="8963" width="6.77734375" style="2" customWidth="1"/>
    <col min="8964" max="8964" width="3.21875" style="2" customWidth="1"/>
    <col min="8965" max="8965" width="4.21875" style="2" customWidth="1"/>
    <col min="8966" max="8966" width="5.44140625" style="2" customWidth="1"/>
    <col min="8967" max="8967" width="7.77734375" style="2" customWidth="1"/>
    <col min="8968" max="8968" width="5.21875" style="2" customWidth="1"/>
    <col min="8969" max="8969" width="7" style="2" customWidth="1"/>
    <col min="8970" max="8970" width="5.21875" style="2" customWidth="1"/>
    <col min="8971" max="8971" width="7" style="2" customWidth="1"/>
    <col min="8972" max="8972" width="4.21875" style="2" customWidth="1"/>
    <col min="8973" max="8973" width="6.77734375" style="2" customWidth="1"/>
    <col min="8974" max="8974" width="5.44140625" style="2" customWidth="1"/>
    <col min="8975" max="8975" width="7" style="2" customWidth="1"/>
    <col min="8976" max="8976" width="5.21875" style="2" customWidth="1"/>
    <col min="8977" max="8977" width="4.77734375" style="2" customWidth="1"/>
    <col min="8978" max="8978" width="5.77734375" style="2" customWidth="1"/>
    <col min="8979" max="8979" width="7.44140625" style="2" customWidth="1"/>
    <col min="8980" max="8980" width="4" style="2" customWidth="1"/>
    <col min="8981" max="8981" width="6.44140625" style="2" customWidth="1"/>
    <col min="8982" max="8982" width="5.77734375" style="2" customWidth="1"/>
    <col min="8983" max="8983" width="6.77734375" style="2" customWidth="1"/>
    <col min="8984" max="8984" width="4.21875" style="2" customWidth="1"/>
    <col min="8985" max="8985" width="7.21875" style="2" customWidth="1"/>
    <col min="8986" max="9216" width="9.21875" style="2"/>
    <col min="9217" max="9217" width="4.5546875" style="2" customWidth="1"/>
    <col min="9218" max="9219" width="6.77734375" style="2" customWidth="1"/>
    <col min="9220" max="9220" width="3.21875" style="2" customWidth="1"/>
    <col min="9221" max="9221" width="4.21875" style="2" customWidth="1"/>
    <col min="9222" max="9222" width="5.44140625" style="2" customWidth="1"/>
    <col min="9223" max="9223" width="7.77734375" style="2" customWidth="1"/>
    <col min="9224" max="9224" width="5.21875" style="2" customWidth="1"/>
    <col min="9225" max="9225" width="7" style="2" customWidth="1"/>
    <col min="9226" max="9226" width="5.21875" style="2" customWidth="1"/>
    <col min="9227" max="9227" width="7" style="2" customWidth="1"/>
    <col min="9228" max="9228" width="4.21875" style="2" customWidth="1"/>
    <col min="9229" max="9229" width="6.77734375" style="2" customWidth="1"/>
    <col min="9230" max="9230" width="5.44140625" style="2" customWidth="1"/>
    <col min="9231" max="9231" width="7" style="2" customWidth="1"/>
    <col min="9232" max="9232" width="5.21875" style="2" customWidth="1"/>
    <col min="9233" max="9233" width="4.77734375" style="2" customWidth="1"/>
    <col min="9234" max="9234" width="5.77734375" style="2" customWidth="1"/>
    <col min="9235" max="9235" width="7.44140625" style="2" customWidth="1"/>
    <col min="9236" max="9236" width="4" style="2" customWidth="1"/>
    <col min="9237" max="9237" width="6.44140625" style="2" customWidth="1"/>
    <col min="9238" max="9238" width="5.77734375" style="2" customWidth="1"/>
    <col min="9239" max="9239" width="6.77734375" style="2" customWidth="1"/>
    <col min="9240" max="9240" width="4.21875" style="2" customWidth="1"/>
    <col min="9241" max="9241" width="7.21875" style="2" customWidth="1"/>
    <col min="9242" max="9472" width="9.21875" style="2"/>
    <col min="9473" max="9473" width="4.5546875" style="2" customWidth="1"/>
    <col min="9474" max="9475" width="6.77734375" style="2" customWidth="1"/>
    <col min="9476" max="9476" width="3.21875" style="2" customWidth="1"/>
    <col min="9477" max="9477" width="4.21875" style="2" customWidth="1"/>
    <col min="9478" max="9478" width="5.44140625" style="2" customWidth="1"/>
    <col min="9479" max="9479" width="7.77734375" style="2" customWidth="1"/>
    <col min="9480" max="9480" width="5.21875" style="2" customWidth="1"/>
    <col min="9481" max="9481" width="7" style="2" customWidth="1"/>
    <col min="9482" max="9482" width="5.21875" style="2" customWidth="1"/>
    <col min="9483" max="9483" width="7" style="2" customWidth="1"/>
    <col min="9484" max="9484" width="4.21875" style="2" customWidth="1"/>
    <col min="9485" max="9485" width="6.77734375" style="2" customWidth="1"/>
    <col min="9486" max="9486" width="5.44140625" style="2" customWidth="1"/>
    <col min="9487" max="9487" width="7" style="2" customWidth="1"/>
    <col min="9488" max="9488" width="5.21875" style="2" customWidth="1"/>
    <col min="9489" max="9489" width="4.77734375" style="2" customWidth="1"/>
    <col min="9490" max="9490" width="5.77734375" style="2" customWidth="1"/>
    <col min="9491" max="9491" width="7.44140625" style="2" customWidth="1"/>
    <col min="9492" max="9492" width="4" style="2" customWidth="1"/>
    <col min="9493" max="9493" width="6.44140625" style="2" customWidth="1"/>
    <col min="9494" max="9494" width="5.77734375" style="2" customWidth="1"/>
    <col min="9495" max="9495" width="6.77734375" style="2" customWidth="1"/>
    <col min="9496" max="9496" width="4.21875" style="2" customWidth="1"/>
    <col min="9497" max="9497" width="7.21875" style="2" customWidth="1"/>
    <col min="9498" max="9728" width="9.21875" style="2"/>
    <col min="9729" max="9729" width="4.5546875" style="2" customWidth="1"/>
    <col min="9730" max="9731" width="6.77734375" style="2" customWidth="1"/>
    <col min="9732" max="9732" width="3.21875" style="2" customWidth="1"/>
    <col min="9733" max="9733" width="4.21875" style="2" customWidth="1"/>
    <col min="9734" max="9734" width="5.44140625" style="2" customWidth="1"/>
    <col min="9735" max="9735" width="7.77734375" style="2" customWidth="1"/>
    <col min="9736" max="9736" width="5.21875" style="2" customWidth="1"/>
    <col min="9737" max="9737" width="7" style="2" customWidth="1"/>
    <col min="9738" max="9738" width="5.21875" style="2" customWidth="1"/>
    <col min="9739" max="9739" width="7" style="2" customWidth="1"/>
    <col min="9740" max="9740" width="4.21875" style="2" customWidth="1"/>
    <col min="9741" max="9741" width="6.77734375" style="2" customWidth="1"/>
    <col min="9742" max="9742" width="5.44140625" style="2" customWidth="1"/>
    <col min="9743" max="9743" width="7" style="2" customWidth="1"/>
    <col min="9744" max="9744" width="5.21875" style="2" customWidth="1"/>
    <col min="9745" max="9745" width="4.77734375" style="2" customWidth="1"/>
    <col min="9746" max="9746" width="5.77734375" style="2" customWidth="1"/>
    <col min="9747" max="9747" width="7.44140625" style="2" customWidth="1"/>
    <col min="9748" max="9748" width="4" style="2" customWidth="1"/>
    <col min="9749" max="9749" width="6.44140625" style="2" customWidth="1"/>
    <col min="9750" max="9750" width="5.77734375" style="2" customWidth="1"/>
    <col min="9751" max="9751" width="6.77734375" style="2" customWidth="1"/>
    <col min="9752" max="9752" width="4.21875" style="2" customWidth="1"/>
    <col min="9753" max="9753" width="7.21875" style="2" customWidth="1"/>
    <col min="9754" max="9984" width="9.21875" style="2"/>
    <col min="9985" max="9985" width="4.5546875" style="2" customWidth="1"/>
    <col min="9986" max="9987" width="6.77734375" style="2" customWidth="1"/>
    <col min="9988" max="9988" width="3.21875" style="2" customWidth="1"/>
    <col min="9989" max="9989" width="4.21875" style="2" customWidth="1"/>
    <col min="9990" max="9990" width="5.44140625" style="2" customWidth="1"/>
    <col min="9991" max="9991" width="7.77734375" style="2" customWidth="1"/>
    <col min="9992" max="9992" width="5.21875" style="2" customWidth="1"/>
    <col min="9993" max="9993" width="7" style="2" customWidth="1"/>
    <col min="9994" max="9994" width="5.21875" style="2" customWidth="1"/>
    <col min="9995" max="9995" width="7" style="2" customWidth="1"/>
    <col min="9996" max="9996" width="4.21875" style="2" customWidth="1"/>
    <col min="9997" max="9997" width="6.77734375" style="2" customWidth="1"/>
    <col min="9998" max="9998" width="5.44140625" style="2" customWidth="1"/>
    <col min="9999" max="9999" width="7" style="2" customWidth="1"/>
    <col min="10000" max="10000" width="5.21875" style="2" customWidth="1"/>
    <col min="10001" max="10001" width="4.77734375" style="2" customWidth="1"/>
    <col min="10002" max="10002" width="5.77734375" style="2" customWidth="1"/>
    <col min="10003" max="10003" width="7.44140625" style="2" customWidth="1"/>
    <col min="10004" max="10004" width="4" style="2" customWidth="1"/>
    <col min="10005" max="10005" width="6.44140625" style="2" customWidth="1"/>
    <col min="10006" max="10006" width="5.77734375" style="2" customWidth="1"/>
    <col min="10007" max="10007" width="6.77734375" style="2" customWidth="1"/>
    <col min="10008" max="10008" width="4.21875" style="2" customWidth="1"/>
    <col min="10009" max="10009" width="7.21875" style="2" customWidth="1"/>
    <col min="10010" max="10240" width="9.21875" style="2"/>
    <col min="10241" max="10241" width="4.5546875" style="2" customWidth="1"/>
    <col min="10242" max="10243" width="6.77734375" style="2" customWidth="1"/>
    <col min="10244" max="10244" width="3.21875" style="2" customWidth="1"/>
    <col min="10245" max="10245" width="4.21875" style="2" customWidth="1"/>
    <col min="10246" max="10246" width="5.44140625" style="2" customWidth="1"/>
    <col min="10247" max="10247" width="7.77734375" style="2" customWidth="1"/>
    <col min="10248" max="10248" width="5.21875" style="2" customWidth="1"/>
    <col min="10249" max="10249" width="7" style="2" customWidth="1"/>
    <col min="10250" max="10250" width="5.21875" style="2" customWidth="1"/>
    <col min="10251" max="10251" width="7" style="2" customWidth="1"/>
    <col min="10252" max="10252" width="4.21875" style="2" customWidth="1"/>
    <col min="10253" max="10253" width="6.77734375" style="2" customWidth="1"/>
    <col min="10254" max="10254" width="5.44140625" style="2" customWidth="1"/>
    <col min="10255" max="10255" width="7" style="2" customWidth="1"/>
    <col min="10256" max="10256" width="5.21875" style="2" customWidth="1"/>
    <col min="10257" max="10257" width="4.77734375" style="2" customWidth="1"/>
    <col min="10258" max="10258" width="5.77734375" style="2" customWidth="1"/>
    <col min="10259" max="10259" width="7.44140625" style="2" customWidth="1"/>
    <col min="10260" max="10260" width="4" style="2" customWidth="1"/>
    <col min="10261" max="10261" width="6.44140625" style="2" customWidth="1"/>
    <col min="10262" max="10262" width="5.77734375" style="2" customWidth="1"/>
    <col min="10263" max="10263" width="6.77734375" style="2" customWidth="1"/>
    <col min="10264" max="10264" width="4.21875" style="2" customWidth="1"/>
    <col min="10265" max="10265" width="7.21875" style="2" customWidth="1"/>
    <col min="10266" max="10496" width="9.21875" style="2"/>
    <col min="10497" max="10497" width="4.5546875" style="2" customWidth="1"/>
    <col min="10498" max="10499" width="6.77734375" style="2" customWidth="1"/>
    <col min="10500" max="10500" width="3.21875" style="2" customWidth="1"/>
    <col min="10501" max="10501" width="4.21875" style="2" customWidth="1"/>
    <col min="10502" max="10502" width="5.44140625" style="2" customWidth="1"/>
    <col min="10503" max="10503" width="7.77734375" style="2" customWidth="1"/>
    <col min="10504" max="10504" width="5.21875" style="2" customWidth="1"/>
    <col min="10505" max="10505" width="7" style="2" customWidth="1"/>
    <col min="10506" max="10506" width="5.21875" style="2" customWidth="1"/>
    <col min="10507" max="10507" width="7" style="2" customWidth="1"/>
    <col min="10508" max="10508" width="4.21875" style="2" customWidth="1"/>
    <col min="10509" max="10509" width="6.77734375" style="2" customWidth="1"/>
    <col min="10510" max="10510" width="5.44140625" style="2" customWidth="1"/>
    <col min="10511" max="10511" width="7" style="2" customWidth="1"/>
    <col min="10512" max="10512" width="5.21875" style="2" customWidth="1"/>
    <col min="10513" max="10513" width="4.77734375" style="2" customWidth="1"/>
    <col min="10514" max="10514" width="5.77734375" style="2" customWidth="1"/>
    <col min="10515" max="10515" width="7.44140625" style="2" customWidth="1"/>
    <col min="10516" max="10516" width="4" style="2" customWidth="1"/>
    <col min="10517" max="10517" width="6.44140625" style="2" customWidth="1"/>
    <col min="10518" max="10518" width="5.77734375" style="2" customWidth="1"/>
    <col min="10519" max="10519" width="6.77734375" style="2" customWidth="1"/>
    <col min="10520" max="10520" width="4.21875" style="2" customWidth="1"/>
    <col min="10521" max="10521" width="7.21875" style="2" customWidth="1"/>
    <col min="10522" max="10752" width="9.21875" style="2"/>
    <col min="10753" max="10753" width="4.5546875" style="2" customWidth="1"/>
    <col min="10754" max="10755" width="6.77734375" style="2" customWidth="1"/>
    <col min="10756" max="10756" width="3.21875" style="2" customWidth="1"/>
    <col min="10757" max="10757" width="4.21875" style="2" customWidth="1"/>
    <col min="10758" max="10758" width="5.44140625" style="2" customWidth="1"/>
    <col min="10759" max="10759" width="7.77734375" style="2" customWidth="1"/>
    <col min="10760" max="10760" width="5.21875" style="2" customWidth="1"/>
    <col min="10761" max="10761" width="7" style="2" customWidth="1"/>
    <col min="10762" max="10762" width="5.21875" style="2" customWidth="1"/>
    <col min="10763" max="10763" width="7" style="2" customWidth="1"/>
    <col min="10764" max="10764" width="4.21875" style="2" customWidth="1"/>
    <col min="10765" max="10765" width="6.77734375" style="2" customWidth="1"/>
    <col min="10766" max="10766" width="5.44140625" style="2" customWidth="1"/>
    <col min="10767" max="10767" width="7" style="2" customWidth="1"/>
    <col min="10768" max="10768" width="5.21875" style="2" customWidth="1"/>
    <col min="10769" max="10769" width="4.77734375" style="2" customWidth="1"/>
    <col min="10770" max="10770" width="5.77734375" style="2" customWidth="1"/>
    <col min="10771" max="10771" width="7.44140625" style="2" customWidth="1"/>
    <col min="10772" max="10772" width="4" style="2" customWidth="1"/>
    <col min="10773" max="10773" width="6.44140625" style="2" customWidth="1"/>
    <col min="10774" max="10774" width="5.77734375" style="2" customWidth="1"/>
    <col min="10775" max="10775" width="6.77734375" style="2" customWidth="1"/>
    <col min="10776" max="10776" width="4.21875" style="2" customWidth="1"/>
    <col min="10777" max="10777" width="7.21875" style="2" customWidth="1"/>
    <col min="10778" max="11008" width="9.21875" style="2"/>
    <col min="11009" max="11009" width="4.5546875" style="2" customWidth="1"/>
    <col min="11010" max="11011" width="6.77734375" style="2" customWidth="1"/>
    <col min="11012" max="11012" width="3.21875" style="2" customWidth="1"/>
    <col min="11013" max="11013" width="4.21875" style="2" customWidth="1"/>
    <col min="11014" max="11014" width="5.44140625" style="2" customWidth="1"/>
    <col min="11015" max="11015" width="7.77734375" style="2" customWidth="1"/>
    <col min="11016" max="11016" width="5.21875" style="2" customWidth="1"/>
    <col min="11017" max="11017" width="7" style="2" customWidth="1"/>
    <col min="11018" max="11018" width="5.21875" style="2" customWidth="1"/>
    <col min="11019" max="11019" width="7" style="2" customWidth="1"/>
    <col min="11020" max="11020" width="4.21875" style="2" customWidth="1"/>
    <col min="11021" max="11021" width="6.77734375" style="2" customWidth="1"/>
    <col min="11022" max="11022" width="5.44140625" style="2" customWidth="1"/>
    <col min="11023" max="11023" width="7" style="2" customWidth="1"/>
    <col min="11024" max="11024" width="5.21875" style="2" customWidth="1"/>
    <col min="11025" max="11025" width="4.77734375" style="2" customWidth="1"/>
    <col min="11026" max="11026" width="5.77734375" style="2" customWidth="1"/>
    <col min="11027" max="11027" width="7.44140625" style="2" customWidth="1"/>
    <col min="11028" max="11028" width="4" style="2" customWidth="1"/>
    <col min="11029" max="11029" width="6.44140625" style="2" customWidth="1"/>
    <col min="11030" max="11030" width="5.77734375" style="2" customWidth="1"/>
    <col min="11031" max="11031" width="6.77734375" style="2" customWidth="1"/>
    <col min="11032" max="11032" width="4.21875" style="2" customWidth="1"/>
    <col min="11033" max="11033" width="7.21875" style="2" customWidth="1"/>
    <col min="11034" max="11264" width="9.21875" style="2"/>
    <col min="11265" max="11265" width="4.5546875" style="2" customWidth="1"/>
    <col min="11266" max="11267" width="6.77734375" style="2" customWidth="1"/>
    <col min="11268" max="11268" width="3.21875" style="2" customWidth="1"/>
    <col min="11269" max="11269" width="4.21875" style="2" customWidth="1"/>
    <col min="11270" max="11270" width="5.44140625" style="2" customWidth="1"/>
    <col min="11271" max="11271" width="7.77734375" style="2" customWidth="1"/>
    <col min="11272" max="11272" width="5.21875" style="2" customWidth="1"/>
    <col min="11273" max="11273" width="7" style="2" customWidth="1"/>
    <col min="11274" max="11274" width="5.21875" style="2" customWidth="1"/>
    <col min="11275" max="11275" width="7" style="2" customWidth="1"/>
    <col min="11276" max="11276" width="4.21875" style="2" customWidth="1"/>
    <col min="11277" max="11277" width="6.77734375" style="2" customWidth="1"/>
    <col min="11278" max="11278" width="5.44140625" style="2" customWidth="1"/>
    <col min="11279" max="11279" width="7" style="2" customWidth="1"/>
    <col min="11280" max="11280" width="5.21875" style="2" customWidth="1"/>
    <col min="11281" max="11281" width="4.77734375" style="2" customWidth="1"/>
    <col min="11282" max="11282" width="5.77734375" style="2" customWidth="1"/>
    <col min="11283" max="11283" width="7.44140625" style="2" customWidth="1"/>
    <col min="11284" max="11284" width="4" style="2" customWidth="1"/>
    <col min="11285" max="11285" width="6.44140625" style="2" customWidth="1"/>
    <col min="11286" max="11286" width="5.77734375" style="2" customWidth="1"/>
    <col min="11287" max="11287" width="6.77734375" style="2" customWidth="1"/>
    <col min="11288" max="11288" width="4.21875" style="2" customWidth="1"/>
    <col min="11289" max="11289" width="7.21875" style="2" customWidth="1"/>
    <col min="11290" max="11520" width="9.21875" style="2"/>
    <col min="11521" max="11521" width="4.5546875" style="2" customWidth="1"/>
    <col min="11522" max="11523" width="6.77734375" style="2" customWidth="1"/>
    <col min="11524" max="11524" width="3.21875" style="2" customWidth="1"/>
    <col min="11525" max="11525" width="4.21875" style="2" customWidth="1"/>
    <col min="11526" max="11526" width="5.44140625" style="2" customWidth="1"/>
    <col min="11527" max="11527" width="7.77734375" style="2" customWidth="1"/>
    <col min="11528" max="11528" width="5.21875" style="2" customWidth="1"/>
    <col min="11529" max="11529" width="7" style="2" customWidth="1"/>
    <col min="11530" max="11530" width="5.21875" style="2" customWidth="1"/>
    <col min="11531" max="11531" width="7" style="2" customWidth="1"/>
    <col min="11532" max="11532" width="4.21875" style="2" customWidth="1"/>
    <col min="11533" max="11533" width="6.77734375" style="2" customWidth="1"/>
    <col min="11534" max="11534" width="5.44140625" style="2" customWidth="1"/>
    <col min="11535" max="11535" width="7" style="2" customWidth="1"/>
    <col min="11536" max="11536" width="5.21875" style="2" customWidth="1"/>
    <col min="11537" max="11537" width="4.77734375" style="2" customWidth="1"/>
    <col min="11538" max="11538" width="5.77734375" style="2" customWidth="1"/>
    <col min="11539" max="11539" width="7.44140625" style="2" customWidth="1"/>
    <col min="11540" max="11540" width="4" style="2" customWidth="1"/>
    <col min="11541" max="11541" width="6.44140625" style="2" customWidth="1"/>
    <col min="11542" max="11542" width="5.77734375" style="2" customWidth="1"/>
    <col min="11543" max="11543" width="6.77734375" style="2" customWidth="1"/>
    <col min="11544" max="11544" width="4.21875" style="2" customWidth="1"/>
    <col min="11545" max="11545" width="7.21875" style="2" customWidth="1"/>
    <col min="11546" max="11776" width="9.21875" style="2"/>
    <col min="11777" max="11777" width="4.5546875" style="2" customWidth="1"/>
    <col min="11778" max="11779" width="6.77734375" style="2" customWidth="1"/>
    <col min="11780" max="11780" width="3.21875" style="2" customWidth="1"/>
    <col min="11781" max="11781" width="4.21875" style="2" customWidth="1"/>
    <col min="11782" max="11782" width="5.44140625" style="2" customWidth="1"/>
    <col min="11783" max="11783" width="7.77734375" style="2" customWidth="1"/>
    <col min="11784" max="11784" width="5.21875" style="2" customWidth="1"/>
    <col min="11785" max="11785" width="7" style="2" customWidth="1"/>
    <col min="11786" max="11786" width="5.21875" style="2" customWidth="1"/>
    <col min="11787" max="11787" width="7" style="2" customWidth="1"/>
    <col min="11788" max="11788" width="4.21875" style="2" customWidth="1"/>
    <col min="11789" max="11789" width="6.77734375" style="2" customWidth="1"/>
    <col min="11790" max="11790" width="5.44140625" style="2" customWidth="1"/>
    <col min="11791" max="11791" width="7" style="2" customWidth="1"/>
    <col min="11792" max="11792" width="5.21875" style="2" customWidth="1"/>
    <col min="11793" max="11793" width="4.77734375" style="2" customWidth="1"/>
    <col min="11794" max="11794" width="5.77734375" style="2" customWidth="1"/>
    <col min="11795" max="11795" width="7.44140625" style="2" customWidth="1"/>
    <col min="11796" max="11796" width="4" style="2" customWidth="1"/>
    <col min="11797" max="11797" width="6.44140625" style="2" customWidth="1"/>
    <col min="11798" max="11798" width="5.77734375" style="2" customWidth="1"/>
    <col min="11799" max="11799" width="6.77734375" style="2" customWidth="1"/>
    <col min="11800" max="11800" width="4.21875" style="2" customWidth="1"/>
    <col min="11801" max="11801" width="7.21875" style="2" customWidth="1"/>
    <col min="11802" max="12032" width="9.21875" style="2"/>
    <col min="12033" max="12033" width="4.5546875" style="2" customWidth="1"/>
    <col min="12034" max="12035" width="6.77734375" style="2" customWidth="1"/>
    <col min="12036" max="12036" width="3.21875" style="2" customWidth="1"/>
    <col min="12037" max="12037" width="4.21875" style="2" customWidth="1"/>
    <col min="12038" max="12038" width="5.44140625" style="2" customWidth="1"/>
    <col min="12039" max="12039" width="7.77734375" style="2" customWidth="1"/>
    <col min="12040" max="12040" width="5.21875" style="2" customWidth="1"/>
    <col min="12041" max="12041" width="7" style="2" customWidth="1"/>
    <col min="12042" max="12042" width="5.21875" style="2" customWidth="1"/>
    <col min="12043" max="12043" width="7" style="2" customWidth="1"/>
    <col min="12044" max="12044" width="4.21875" style="2" customWidth="1"/>
    <col min="12045" max="12045" width="6.77734375" style="2" customWidth="1"/>
    <col min="12046" max="12046" width="5.44140625" style="2" customWidth="1"/>
    <col min="12047" max="12047" width="7" style="2" customWidth="1"/>
    <col min="12048" max="12048" width="5.21875" style="2" customWidth="1"/>
    <col min="12049" max="12049" width="4.77734375" style="2" customWidth="1"/>
    <col min="12050" max="12050" width="5.77734375" style="2" customWidth="1"/>
    <col min="12051" max="12051" width="7.44140625" style="2" customWidth="1"/>
    <col min="12052" max="12052" width="4" style="2" customWidth="1"/>
    <col min="12053" max="12053" width="6.44140625" style="2" customWidth="1"/>
    <col min="12054" max="12054" width="5.77734375" style="2" customWidth="1"/>
    <col min="12055" max="12055" width="6.77734375" style="2" customWidth="1"/>
    <col min="12056" max="12056" width="4.21875" style="2" customWidth="1"/>
    <col min="12057" max="12057" width="7.21875" style="2" customWidth="1"/>
    <col min="12058" max="12288" width="9.21875" style="2"/>
    <col min="12289" max="12289" width="4.5546875" style="2" customWidth="1"/>
    <col min="12290" max="12291" width="6.77734375" style="2" customWidth="1"/>
    <col min="12292" max="12292" width="3.21875" style="2" customWidth="1"/>
    <col min="12293" max="12293" width="4.21875" style="2" customWidth="1"/>
    <col min="12294" max="12294" width="5.44140625" style="2" customWidth="1"/>
    <col min="12295" max="12295" width="7.77734375" style="2" customWidth="1"/>
    <col min="12296" max="12296" width="5.21875" style="2" customWidth="1"/>
    <col min="12297" max="12297" width="7" style="2" customWidth="1"/>
    <col min="12298" max="12298" width="5.21875" style="2" customWidth="1"/>
    <col min="12299" max="12299" width="7" style="2" customWidth="1"/>
    <col min="12300" max="12300" width="4.21875" style="2" customWidth="1"/>
    <col min="12301" max="12301" width="6.77734375" style="2" customWidth="1"/>
    <col min="12302" max="12302" width="5.44140625" style="2" customWidth="1"/>
    <col min="12303" max="12303" width="7" style="2" customWidth="1"/>
    <col min="12304" max="12304" width="5.21875" style="2" customWidth="1"/>
    <col min="12305" max="12305" width="4.77734375" style="2" customWidth="1"/>
    <col min="12306" max="12306" width="5.77734375" style="2" customWidth="1"/>
    <col min="12307" max="12307" width="7.44140625" style="2" customWidth="1"/>
    <col min="12308" max="12308" width="4" style="2" customWidth="1"/>
    <col min="12309" max="12309" width="6.44140625" style="2" customWidth="1"/>
    <col min="12310" max="12310" width="5.77734375" style="2" customWidth="1"/>
    <col min="12311" max="12311" width="6.77734375" style="2" customWidth="1"/>
    <col min="12312" max="12312" width="4.21875" style="2" customWidth="1"/>
    <col min="12313" max="12313" width="7.21875" style="2" customWidth="1"/>
    <col min="12314" max="12544" width="9.21875" style="2"/>
    <col min="12545" max="12545" width="4.5546875" style="2" customWidth="1"/>
    <col min="12546" max="12547" width="6.77734375" style="2" customWidth="1"/>
    <col min="12548" max="12548" width="3.21875" style="2" customWidth="1"/>
    <col min="12549" max="12549" width="4.21875" style="2" customWidth="1"/>
    <col min="12550" max="12550" width="5.44140625" style="2" customWidth="1"/>
    <col min="12551" max="12551" width="7.77734375" style="2" customWidth="1"/>
    <col min="12552" max="12552" width="5.21875" style="2" customWidth="1"/>
    <col min="12553" max="12553" width="7" style="2" customWidth="1"/>
    <col min="12554" max="12554" width="5.21875" style="2" customWidth="1"/>
    <col min="12555" max="12555" width="7" style="2" customWidth="1"/>
    <col min="12556" max="12556" width="4.21875" style="2" customWidth="1"/>
    <col min="12557" max="12557" width="6.77734375" style="2" customWidth="1"/>
    <col min="12558" max="12558" width="5.44140625" style="2" customWidth="1"/>
    <col min="12559" max="12559" width="7" style="2" customWidth="1"/>
    <col min="12560" max="12560" width="5.21875" style="2" customWidth="1"/>
    <col min="12561" max="12561" width="4.77734375" style="2" customWidth="1"/>
    <col min="12562" max="12562" width="5.77734375" style="2" customWidth="1"/>
    <col min="12563" max="12563" width="7.44140625" style="2" customWidth="1"/>
    <col min="12564" max="12564" width="4" style="2" customWidth="1"/>
    <col min="12565" max="12565" width="6.44140625" style="2" customWidth="1"/>
    <col min="12566" max="12566" width="5.77734375" style="2" customWidth="1"/>
    <col min="12567" max="12567" width="6.77734375" style="2" customWidth="1"/>
    <col min="12568" max="12568" width="4.21875" style="2" customWidth="1"/>
    <col min="12569" max="12569" width="7.21875" style="2" customWidth="1"/>
    <col min="12570" max="12800" width="9.21875" style="2"/>
    <col min="12801" max="12801" width="4.5546875" style="2" customWidth="1"/>
    <col min="12802" max="12803" width="6.77734375" style="2" customWidth="1"/>
    <col min="12804" max="12804" width="3.21875" style="2" customWidth="1"/>
    <col min="12805" max="12805" width="4.21875" style="2" customWidth="1"/>
    <col min="12806" max="12806" width="5.44140625" style="2" customWidth="1"/>
    <col min="12807" max="12807" width="7.77734375" style="2" customWidth="1"/>
    <col min="12808" max="12808" width="5.21875" style="2" customWidth="1"/>
    <col min="12809" max="12809" width="7" style="2" customWidth="1"/>
    <col min="12810" max="12810" width="5.21875" style="2" customWidth="1"/>
    <col min="12811" max="12811" width="7" style="2" customWidth="1"/>
    <col min="12812" max="12812" width="4.21875" style="2" customWidth="1"/>
    <col min="12813" max="12813" width="6.77734375" style="2" customWidth="1"/>
    <col min="12814" max="12814" width="5.44140625" style="2" customWidth="1"/>
    <col min="12815" max="12815" width="7" style="2" customWidth="1"/>
    <col min="12816" max="12816" width="5.21875" style="2" customWidth="1"/>
    <col min="12817" max="12817" width="4.77734375" style="2" customWidth="1"/>
    <col min="12818" max="12818" width="5.77734375" style="2" customWidth="1"/>
    <col min="12819" max="12819" width="7.44140625" style="2" customWidth="1"/>
    <col min="12820" max="12820" width="4" style="2" customWidth="1"/>
    <col min="12821" max="12821" width="6.44140625" style="2" customWidth="1"/>
    <col min="12822" max="12822" width="5.77734375" style="2" customWidth="1"/>
    <col min="12823" max="12823" width="6.77734375" style="2" customWidth="1"/>
    <col min="12824" max="12824" width="4.21875" style="2" customWidth="1"/>
    <col min="12825" max="12825" width="7.21875" style="2" customWidth="1"/>
    <col min="12826" max="13056" width="9.21875" style="2"/>
    <col min="13057" max="13057" width="4.5546875" style="2" customWidth="1"/>
    <col min="13058" max="13059" width="6.77734375" style="2" customWidth="1"/>
    <col min="13060" max="13060" width="3.21875" style="2" customWidth="1"/>
    <col min="13061" max="13061" width="4.21875" style="2" customWidth="1"/>
    <col min="13062" max="13062" width="5.44140625" style="2" customWidth="1"/>
    <col min="13063" max="13063" width="7.77734375" style="2" customWidth="1"/>
    <col min="13064" max="13064" width="5.21875" style="2" customWidth="1"/>
    <col min="13065" max="13065" width="7" style="2" customWidth="1"/>
    <col min="13066" max="13066" width="5.21875" style="2" customWidth="1"/>
    <col min="13067" max="13067" width="7" style="2" customWidth="1"/>
    <col min="13068" max="13068" width="4.21875" style="2" customWidth="1"/>
    <col min="13069" max="13069" width="6.77734375" style="2" customWidth="1"/>
    <col min="13070" max="13070" width="5.44140625" style="2" customWidth="1"/>
    <col min="13071" max="13071" width="7" style="2" customWidth="1"/>
    <col min="13072" max="13072" width="5.21875" style="2" customWidth="1"/>
    <col min="13073" max="13073" width="4.77734375" style="2" customWidth="1"/>
    <col min="13074" max="13074" width="5.77734375" style="2" customWidth="1"/>
    <col min="13075" max="13075" width="7.44140625" style="2" customWidth="1"/>
    <col min="13076" max="13076" width="4" style="2" customWidth="1"/>
    <col min="13077" max="13077" width="6.44140625" style="2" customWidth="1"/>
    <col min="13078" max="13078" width="5.77734375" style="2" customWidth="1"/>
    <col min="13079" max="13079" width="6.77734375" style="2" customWidth="1"/>
    <col min="13080" max="13080" width="4.21875" style="2" customWidth="1"/>
    <col min="13081" max="13081" width="7.21875" style="2" customWidth="1"/>
    <col min="13082" max="13312" width="9.21875" style="2"/>
    <col min="13313" max="13313" width="4.5546875" style="2" customWidth="1"/>
    <col min="13314" max="13315" width="6.77734375" style="2" customWidth="1"/>
    <col min="13316" max="13316" width="3.21875" style="2" customWidth="1"/>
    <col min="13317" max="13317" width="4.21875" style="2" customWidth="1"/>
    <col min="13318" max="13318" width="5.44140625" style="2" customWidth="1"/>
    <col min="13319" max="13319" width="7.77734375" style="2" customWidth="1"/>
    <col min="13320" max="13320" width="5.21875" style="2" customWidth="1"/>
    <col min="13321" max="13321" width="7" style="2" customWidth="1"/>
    <col min="13322" max="13322" width="5.21875" style="2" customWidth="1"/>
    <col min="13323" max="13323" width="7" style="2" customWidth="1"/>
    <col min="13324" max="13324" width="4.21875" style="2" customWidth="1"/>
    <col min="13325" max="13325" width="6.77734375" style="2" customWidth="1"/>
    <col min="13326" max="13326" width="5.44140625" style="2" customWidth="1"/>
    <col min="13327" max="13327" width="7" style="2" customWidth="1"/>
    <col min="13328" max="13328" width="5.21875" style="2" customWidth="1"/>
    <col min="13329" max="13329" width="4.77734375" style="2" customWidth="1"/>
    <col min="13330" max="13330" width="5.77734375" style="2" customWidth="1"/>
    <col min="13331" max="13331" width="7.44140625" style="2" customWidth="1"/>
    <col min="13332" max="13332" width="4" style="2" customWidth="1"/>
    <col min="13333" max="13333" width="6.44140625" style="2" customWidth="1"/>
    <col min="13334" max="13334" width="5.77734375" style="2" customWidth="1"/>
    <col min="13335" max="13335" width="6.77734375" style="2" customWidth="1"/>
    <col min="13336" max="13336" width="4.21875" style="2" customWidth="1"/>
    <col min="13337" max="13337" width="7.21875" style="2" customWidth="1"/>
    <col min="13338" max="13568" width="9.21875" style="2"/>
    <col min="13569" max="13569" width="4.5546875" style="2" customWidth="1"/>
    <col min="13570" max="13571" width="6.77734375" style="2" customWidth="1"/>
    <col min="13572" max="13572" width="3.21875" style="2" customWidth="1"/>
    <col min="13573" max="13573" width="4.21875" style="2" customWidth="1"/>
    <col min="13574" max="13574" width="5.44140625" style="2" customWidth="1"/>
    <col min="13575" max="13575" width="7.77734375" style="2" customWidth="1"/>
    <col min="13576" max="13576" width="5.21875" style="2" customWidth="1"/>
    <col min="13577" max="13577" width="7" style="2" customWidth="1"/>
    <col min="13578" max="13578" width="5.21875" style="2" customWidth="1"/>
    <col min="13579" max="13579" width="7" style="2" customWidth="1"/>
    <col min="13580" max="13580" width="4.21875" style="2" customWidth="1"/>
    <col min="13581" max="13581" width="6.77734375" style="2" customWidth="1"/>
    <col min="13582" max="13582" width="5.44140625" style="2" customWidth="1"/>
    <col min="13583" max="13583" width="7" style="2" customWidth="1"/>
    <col min="13584" max="13584" width="5.21875" style="2" customWidth="1"/>
    <col min="13585" max="13585" width="4.77734375" style="2" customWidth="1"/>
    <col min="13586" max="13586" width="5.77734375" style="2" customWidth="1"/>
    <col min="13587" max="13587" width="7.44140625" style="2" customWidth="1"/>
    <col min="13588" max="13588" width="4" style="2" customWidth="1"/>
    <col min="13589" max="13589" width="6.44140625" style="2" customWidth="1"/>
    <col min="13590" max="13590" width="5.77734375" style="2" customWidth="1"/>
    <col min="13591" max="13591" width="6.77734375" style="2" customWidth="1"/>
    <col min="13592" max="13592" width="4.21875" style="2" customWidth="1"/>
    <col min="13593" max="13593" width="7.21875" style="2" customWidth="1"/>
    <col min="13594" max="13824" width="9.21875" style="2"/>
    <col min="13825" max="13825" width="4.5546875" style="2" customWidth="1"/>
    <col min="13826" max="13827" width="6.77734375" style="2" customWidth="1"/>
    <col min="13828" max="13828" width="3.21875" style="2" customWidth="1"/>
    <col min="13829" max="13829" width="4.21875" style="2" customWidth="1"/>
    <col min="13830" max="13830" width="5.44140625" style="2" customWidth="1"/>
    <col min="13831" max="13831" width="7.77734375" style="2" customWidth="1"/>
    <col min="13832" max="13832" width="5.21875" style="2" customWidth="1"/>
    <col min="13833" max="13833" width="7" style="2" customWidth="1"/>
    <col min="13834" max="13834" width="5.21875" style="2" customWidth="1"/>
    <col min="13835" max="13835" width="7" style="2" customWidth="1"/>
    <col min="13836" max="13836" width="4.21875" style="2" customWidth="1"/>
    <col min="13837" max="13837" width="6.77734375" style="2" customWidth="1"/>
    <col min="13838" max="13838" width="5.44140625" style="2" customWidth="1"/>
    <col min="13839" max="13839" width="7" style="2" customWidth="1"/>
    <col min="13840" max="13840" width="5.21875" style="2" customWidth="1"/>
    <col min="13841" max="13841" width="4.77734375" style="2" customWidth="1"/>
    <col min="13842" max="13842" width="5.77734375" style="2" customWidth="1"/>
    <col min="13843" max="13843" width="7.44140625" style="2" customWidth="1"/>
    <col min="13844" max="13844" width="4" style="2" customWidth="1"/>
    <col min="13845" max="13845" width="6.44140625" style="2" customWidth="1"/>
    <col min="13846" max="13846" width="5.77734375" style="2" customWidth="1"/>
    <col min="13847" max="13847" width="6.77734375" style="2" customWidth="1"/>
    <col min="13848" max="13848" width="4.21875" style="2" customWidth="1"/>
    <col min="13849" max="13849" width="7.21875" style="2" customWidth="1"/>
    <col min="13850" max="14080" width="9.21875" style="2"/>
    <col min="14081" max="14081" width="4.5546875" style="2" customWidth="1"/>
    <col min="14082" max="14083" width="6.77734375" style="2" customWidth="1"/>
    <col min="14084" max="14084" width="3.21875" style="2" customWidth="1"/>
    <col min="14085" max="14085" width="4.21875" style="2" customWidth="1"/>
    <col min="14086" max="14086" width="5.44140625" style="2" customWidth="1"/>
    <col min="14087" max="14087" width="7.77734375" style="2" customWidth="1"/>
    <col min="14088" max="14088" width="5.21875" style="2" customWidth="1"/>
    <col min="14089" max="14089" width="7" style="2" customWidth="1"/>
    <col min="14090" max="14090" width="5.21875" style="2" customWidth="1"/>
    <col min="14091" max="14091" width="7" style="2" customWidth="1"/>
    <col min="14092" max="14092" width="4.21875" style="2" customWidth="1"/>
    <col min="14093" max="14093" width="6.77734375" style="2" customWidth="1"/>
    <col min="14094" max="14094" width="5.44140625" style="2" customWidth="1"/>
    <col min="14095" max="14095" width="7" style="2" customWidth="1"/>
    <col min="14096" max="14096" width="5.21875" style="2" customWidth="1"/>
    <col min="14097" max="14097" width="4.77734375" style="2" customWidth="1"/>
    <col min="14098" max="14098" width="5.77734375" style="2" customWidth="1"/>
    <col min="14099" max="14099" width="7.44140625" style="2" customWidth="1"/>
    <col min="14100" max="14100" width="4" style="2" customWidth="1"/>
    <col min="14101" max="14101" width="6.44140625" style="2" customWidth="1"/>
    <col min="14102" max="14102" width="5.77734375" style="2" customWidth="1"/>
    <col min="14103" max="14103" width="6.77734375" style="2" customWidth="1"/>
    <col min="14104" max="14104" width="4.21875" style="2" customWidth="1"/>
    <col min="14105" max="14105" width="7.21875" style="2" customWidth="1"/>
    <col min="14106" max="14336" width="9.21875" style="2"/>
    <col min="14337" max="14337" width="4.5546875" style="2" customWidth="1"/>
    <col min="14338" max="14339" width="6.77734375" style="2" customWidth="1"/>
    <col min="14340" max="14340" width="3.21875" style="2" customWidth="1"/>
    <col min="14341" max="14341" width="4.21875" style="2" customWidth="1"/>
    <col min="14342" max="14342" width="5.44140625" style="2" customWidth="1"/>
    <col min="14343" max="14343" width="7.77734375" style="2" customWidth="1"/>
    <col min="14344" max="14344" width="5.21875" style="2" customWidth="1"/>
    <col min="14345" max="14345" width="7" style="2" customWidth="1"/>
    <col min="14346" max="14346" width="5.21875" style="2" customWidth="1"/>
    <col min="14347" max="14347" width="7" style="2" customWidth="1"/>
    <col min="14348" max="14348" width="4.21875" style="2" customWidth="1"/>
    <col min="14349" max="14349" width="6.77734375" style="2" customWidth="1"/>
    <col min="14350" max="14350" width="5.44140625" style="2" customWidth="1"/>
    <col min="14351" max="14351" width="7" style="2" customWidth="1"/>
    <col min="14352" max="14352" width="5.21875" style="2" customWidth="1"/>
    <col min="14353" max="14353" width="4.77734375" style="2" customWidth="1"/>
    <col min="14354" max="14354" width="5.77734375" style="2" customWidth="1"/>
    <col min="14355" max="14355" width="7.44140625" style="2" customWidth="1"/>
    <col min="14356" max="14356" width="4" style="2" customWidth="1"/>
    <col min="14357" max="14357" width="6.44140625" style="2" customWidth="1"/>
    <col min="14358" max="14358" width="5.77734375" style="2" customWidth="1"/>
    <col min="14359" max="14359" width="6.77734375" style="2" customWidth="1"/>
    <col min="14360" max="14360" width="4.21875" style="2" customWidth="1"/>
    <col min="14361" max="14361" width="7.21875" style="2" customWidth="1"/>
    <col min="14362" max="14592" width="9.21875" style="2"/>
    <col min="14593" max="14593" width="4.5546875" style="2" customWidth="1"/>
    <col min="14594" max="14595" width="6.77734375" style="2" customWidth="1"/>
    <col min="14596" max="14596" width="3.21875" style="2" customWidth="1"/>
    <col min="14597" max="14597" width="4.21875" style="2" customWidth="1"/>
    <col min="14598" max="14598" width="5.44140625" style="2" customWidth="1"/>
    <col min="14599" max="14599" width="7.77734375" style="2" customWidth="1"/>
    <col min="14600" max="14600" width="5.21875" style="2" customWidth="1"/>
    <col min="14601" max="14601" width="7" style="2" customWidth="1"/>
    <col min="14602" max="14602" width="5.21875" style="2" customWidth="1"/>
    <col min="14603" max="14603" width="7" style="2" customWidth="1"/>
    <col min="14604" max="14604" width="4.21875" style="2" customWidth="1"/>
    <col min="14605" max="14605" width="6.77734375" style="2" customWidth="1"/>
    <col min="14606" max="14606" width="5.44140625" style="2" customWidth="1"/>
    <col min="14607" max="14607" width="7" style="2" customWidth="1"/>
    <col min="14608" max="14608" width="5.21875" style="2" customWidth="1"/>
    <col min="14609" max="14609" width="4.77734375" style="2" customWidth="1"/>
    <col min="14610" max="14610" width="5.77734375" style="2" customWidth="1"/>
    <col min="14611" max="14611" width="7.44140625" style="2" customWidth="1"/>
    <col min="14612" max="14612" width="4" style="2" customWidth="1"/>
    <col min="14613" max="14613" width="6.44140625" style="2" customWidth="1"/>
    <col min="14614" max="14614" width="5.77734375" style="2" customWidth="1"/>
    <col min="14615" max="14615" width="6.77734375" style="2" customWidth="1"/>
    <col min="14616" max="14616" width="4.21875" style="2" customWidth="1"/>
    <col min="14617" max="14617" width="7.21875" style="2" customWidth="1"/>
    <col min="14618" max="14848" width="9.21875" style="2"/>
    <col min="14849" max="14849" width="4.5546875" style="2" customWidth="1"/>
    <col min="14850" max="14851" width="6.77734375" style="2" customWidth="1"/>
    <col min="14852" max="14852" width="3.21875" style="2" customWidth="1"/>
    <col min="14853" max="14853" width="4.21875" style="2" customWidth="1"/>
    <col min="14854" max="14854" width="5.44140625" style="2" customWidth="1"/>
    <col min="14855" max="14855" width="7.77734375" style="2" customWidth="1"/>
    <col min="14856" max="14856" width="5.21875" style="2" customWidth="1"/>
    <col min="14857" max="14857" width="7" style="2" customWidth="1"/>
    <col min="14858" max="14858" width="5.21875" style="2" customWidth="1"/>
    <col min="14859" max="14859" width="7" style="2" customWidth="1"/>
    <col min="14860" max="14860" width="4.21875" style="2" customWidth="1"/>
    <col min="14861" max="14861" width="6.77734375" style="2" customWidth="1"/>
    <col min="14862" max="14862" width="5.44140625" style="2" customWidth="1"/>
    <col min="14863" max="14863" width="7" style="2" customWidth="1"/>
    <col min="14864" max="14864" width="5.21875" style="2" customWidth="1"/>
    <col min="14865" max="14865" width="4.77734375" style="2" customWidth="1"/>
    <col min="14866" max="14866" width="5.77734375" style="2" customWidth="1"/>
    <col min="14867" max="14867" width="7.44140625" style="2" customWidth="1"/>
    <col min="14868" max="14868" width="4" style="2" customWidth="1"/>
    <col min="14869" max="14869" width="6.44140625" style="2" customWidth="1"/>
    <col min="14870" max="14870" width="5.77734375" style="2" customWidth="1"/>
    <col min="14871" max="14871" width="6.77734375" style="2" customWidth="1"/>
    <col min="14872" max="14872" width="4.21875" style="2" customWidth="1"/>
    <col min="14873" max="14873" width="7.21875" style="2" customWidth="1"/>
    <col min="14874" max="15104" width="9.21875" style="2"/>
    <col min="15105" max="15105" width="4.5546875" style="2" customWidth="1"/>
    <col min="15106" max="15107" width="6.77734375" style="2" customWidth="1"/>
    <col min="15108" max="15108" width="3.21875" style="2" customWidth="1"/>
    <col min="15109" max="15109" width="4.21875" style="2" customWidth="1"/>
    <col min="15110" max="15110" width="5.44140625" style="2" customWidth="1"/>
    <col min="15111" max="15111" width="7.77734375" style="2" customWidth="1"/>
    <col min="15112" max="15112" width="5.21875" style="2" customWidth="1"/>
    <col min="15113" max="15113" width="7" style="2" customWidth="1"/>
    <col min="15114" max="15114" width="5.21875" style="2" customWidth="1"/>
    <col min="15115" max="15115" width="7" style="2" customWidth="1"/>
    <col min="15116" max="15116" width="4.21875" style="2" customWidth="1"/>
    <col min="15117" max="15117" width="6.77734375" style="2" customWidth="1"/>
    <col min="15118" max="15118" width="5.44140625" style="2" customWidth="1"/>
    <col min="15119" max="15119" width="7" style="2" customWidth="1"/>
    <col min="15120" max="15120" width="5.21875" style="2" customWidth="1"/>
    <col min="15121" max="15121" width="4.77734375" style="2" customWidth="1"/>
    <col min="15122" max="15122" width="5.77734375" style="2" customWidth="1"/>
    <col min="15123" max="15123" width="7.44140625" style="2" customWidth="1"/>
    <col min="15124" max="15124" width="4" style="2" customWidth="1"/>
    <col min="15125" max="15125" width="6.44140625" style="2" customWidth="1"/>
    <col min="15126" max="15126" width="5.77734375" style="2" customWidth="1"/>
    <col min="15127" max="15127" width="6.77734375" style="2" customWidth="1"/>
    <col min="15128" max="15128" width="4.21875" style="2" customWidth="1"/>
    <col min="15129" max="15129" width="7.21875" style="2" customWidth="1"/>
    <col min="15130" max="15360" width="9.21875" style="2"/>
    <col min="15361" max="15361" width="4.5546875" style="2" customWidth="1"/>
    <col min="15362" max="15363" width="6.77734375" style="2" customWidth="1"/>
    <col min="15364" max="15364" width="3.21875" style="2" customWidth="1"/>
    <col min="15365" max="15365" width="4.21875" style="2" customWidth="1"/>
    <col min="15366" max="15366" width="5.44140625" style="2" customWidth="1"/>
    <col min="15367" max="15367" width="7.77734375" style="2" customWidth="1"/>
    <col min="15368" max="15368" width="5.21875" style="2" customWidth="1"/>
    <col min="15369" max="15369" width="7" style="2" customWidth="1"/>
    <col min="15370" max="15370" width="5.21875" style="2" customWidth="1"/>
    <col min="15371" max="15371" width="7" style="2" customWidth="1"/>
    <col min="15372" max="15372" width="4.21875" style="2" customWidth="1"/>
    <col min="15373" max="15373" width="6.77734375" style="2" customWidth="1"/>
    <col min="15374" max="15374" width="5.44140625" style="2" customWidth="1"/>
    <col min="15375" max="15375" width="7" style="2" customWidth="1"/>
    <col min="15376" max="15376" width="5.21875" style="2" customWidth="1"/>
    <col min="15377" max="15377" width="4.77734375" style="2" customWidth="1"/>
    <col min="15378" max="15378" width="5.77734375" style="2" customWidth="1"/>
    <col min="15379" max="15379" width="7.44140625" style="2" customWidth="1"/>
    <col min="15380" max="15380" width="4" style="2" customWidth="1"/>
    <col min="15381" max="15381" width="6.44140625" style="2" customWidth="1"/>
    <col min="15382" max="15382" width="5.77734375" style="2" customWidth="1"/>
    <col min="15383" max="15383" width="6.77734375" style="2" customWidth="1"/>
    <col min="15384" max="15384" width="4.21875" style="2" customWidth="1"/>
    <col min="15385" max="15385" width="7.21875" style="2" customWidth="1"/>
    <col min="15386" max="15616" width="9.21875" style="2"/>
    <col min="15617" max="15617" width="4.5546875" style="2" customWidth="1"/>
    <col min="15618" max="15619" width="6.77734375" style="2" customWidth="1"/>
    <col min="15620" max="15620" width="3.21875" style="2" customWidth="1"/>
    <col min="15621" max="15621" width="4.21875" style="2" customWidth="1"/>
    <col min="15622" max="15622" width="5.44140625" style="2" customWidth="1"/>
    <col min="15623" max="15623" width="7.77734375" style="2" customWidth="1"/>
    <col min="15624" max="15624" width="5.21875" style="2" customWidth="1"/>
    <col min="15625" max="15625" width="7" style="2" customWidth="1"/>
    <col min="15626" max="15626" width="5.21875" style="2" customWidth="1"/>
    <col min="15627" max="15627" width="7" style="2" customWidth="1"/>
    <col min="15628" max="15628" width="4.21875" style="2" customWidth="1"/>
    <col min="15629" max="15629" width="6.77734375" style="2" customWidth="1"/>
    <col min="15630" max="15630" width="5.44140625" style="2" customWidth="1"/>
    <col min="15631" max="15631" width="7" style="2" customWidth="1"/>
    <col min="15632" max="15632" width="5.21875" style="2" customWidth="1"/>
    <col min="15633" max="15633" width="4.77734375" style="2" customWidth="1"/>
    <col min="15634" max="15634" width="5.77734375" style="2" customWidth="1"/>
    <col min="15635" max="15635" width="7.44140625" style="2" customWidth="1"/>
    <col min="15636" max="15636" width="4" style="2" customWidth="1"/>
    <col min="15637" max="15637" width="6.44140625" style="2" customWidth="1"/>
    <col min="15638" max="15638" width="5.77734375" style="2" customWidth="1"/>
    <col min="15639" max="15639" width="6.77734375" style="2" customWidth="1"/>
    <col min="15640" max="15640" width="4.21875" style="2" customWidth="1"/>
    <col min="15641" max="15641" width="7.21875" style="2" customWidth="1"/>
    <col min="15642" max="15872" width="9.21875" style="2"/>
    <col min="15873" max="15873" width="4.5546875" style="2" customWidth="1"/>
    <col min="15874" max="15875" width="6.77734375" style="2" customWidth="1"/>
    <col min="15876" max="15876" width="3.21875" style="2" customWidth="1"/>
    <col min="15877" max="15877" width="4.21875" style="2" customWidth="1"/>
    <col min="15878" max="15878" width="5.44140625" style="2" customWidth="1"/>
    <col min="15879" max="15879" width="7.77734375" style="2" customWidth="1"/>
    <col min="15880" max="15880" width="5.21875" style="2" customWidth="1"/>
    <col min="15881" max="15881" width="7" style="2" customWidth="1"/>
    <col min="15882" max="15882" width="5.21875" style="2" customWidth="1"/>
    <col min="15883" max="15883" width="7" style="2" customWidth="1"/>
    <col min="15884" max="15884" width="4.21875" style="2" customWidth="1"/>
    <col min="15885" max="15885" width="6.77734375" style="2" customWidth="1"/>
    <col min="15886" max="15886" width="5.44140625" style="2" customWidth="1"/>
    <col min="15887" max="15887" width="7" style="2" customWidth="1"/>
    <col min="15888" max="15888" width="5.21875" style="2" customWidth="1"/>
    <col min="15889" max="15889" width="4.77734375" style="2" customWidth="1"/>
    <col min="15890" max="15890" width="5.77734375" style="2" customWidth="1"/>
    <col min="15891" max="15891" width="7.44140625" style="2" customWidth="1"/>
    <col min="15892" max="15892" width="4" style="2" customWidth="1"/>
    <col min="15893" max="15893" width="6.44140625" style="2" customWidth="1"/>
    <col min="15894" max="15894" width="5.77734375" style="2" customWidth="1"/>
    <col min="15895" max="15895" width="6.77734375" style="2" customWidth="1"/>
    <col min="15896" max="15896" width="4.21875" style="2" customWidth="1"/>
    <col min="15897" max="15897" width="7.21875" style="2" customWidth="1"/>
    <col min="15898" max="16128" width="9.21875" style="2"/>
    <col min="16129" max="16129" width="4.5546875" style="2" customWidth="1"/>
    <col min="16130" max="16131" width="6.77734375" style="2" customWidth="1"/>
    <col min="16132" max="16132" width="3.21875" style="2" customWidth="1"/>
    <col min="16133" max="16133" width="4.21875" style="2" customWidth="1"/>
    <col min="16134" max="16134" width="5.44140625" style="2" customWidth="1"/>
    <col min="16135" max="16135" width="7.77734375" style="2" customWidth="1"/>
    <col min="16136" max="16136" width="5.21875" style="2" customWidth="1"/>
    <col min="16137" max="16137" width="7" style="2" customWidth="1"/>
    <col min="16138" max="16138" width="5.21875" style="2" customWidth="1"/>
    <col min="16139" max="16139" width="7" style="2" customWidth="1"/>
    <col min="16140" max="16140" width="4.21875" style="2" customWidth="1"/>
    <col min="16141" max="16141" width="6.77734375" style="2" customWidth="1"/>
    <col min="16142" max="16142" width="5.44140625" style="2" customWidth="1"/>
    <col min="16143" max="16143" width="7" style="2" customWidth="1"/>
    <col min="16144" max="16144" width="5.21875" style="2" customWidth="1"/>
    <col min="16145" max="16145" width="4.77734375" style="2" customWidth="1"/>
    <col min="16146" max="16146" width="5.77734375" style="2" customWidth="1"/>
    <col min="16147" max="16147" width="7.44140625" style="2" customWidth="1"/>
    <col min="16148" max="16148" width="4" style="2" customWidth="1"/>
    <col min="16149" max="16149" width="6.44140625" style="2" customWidth="1"/>
    <col min="16150" max="16150" width="5.77734375" style="2" customWidth="1"/>
    <col min="16151" max="16151" width="6.77734375" style="2" customWidth="1"/>
    <col min="16152" max="16152" width="4.21875" style="2" customWidth="1"/>
    <col min="16153" max="16153" width="7.21875" style="2" customWidth="1"/>
    <col min="16154" max="16384" width="9.21875" style="2"/>
  </cols>
  <sheetData>
    <row r="1" spans="1:28">
      <c r="A1" s="32" t="s">
        <v>103</v>
      </c>
      <c r="B1" s="32"/>
      <c r="C1" s="32"/>
      <c r="D1" s="32"/>
      <c r="E1" s="32" t="s">
        <v>104</v>
      </c>
      <c r="F1" s="32"/>
      <c r="G1" s="32"/>
      <c r="H1" s="32"/>
      <c r="I1" s="32" t="s">
        <v>105</v>
      </c>
      <c r="J1" s="32"/>
      <c r="K1" s="32"/>
      <c r="L1" s="32"/>
      <c r="M1" s="32" t="s">
        <v>106</v>
      </c>
      <c r="N1" s="32"/>
      <c r="O1" s="32"/>
      <c r="P1" s="32"/>
      <c r="Q1" s="32" t="s">
        <v>75</v>
      </c>
      <c r="R1" s="32"/>
      <c r="S1" s="32"/>
      <c r="T1" s="32"/>
      <c r="U1" s="32" t="s">
        <v>34</v>
      </c>
      <c r="V1" s="32"/>
      <c r="W1" s="32"/>
      <c r="X1" s="32"/>
      <c r="Y1" s="32" t="s">
        <v>107</v>
      </c>
      <c r="Z1" s="32"/>
      <c r="AA1" s="32"/>
      <c r="AB1" s="32"/>
    </row>
    <row r="2" spans="1:28">
      <c r="A2" s="58" t="s">
        <v>108</v>
      </c>
      <c r="B2" s="58" t="s">
        <v>109</v>
      </c>
      <c r="C2" s="58" t="s">
        <v>110</v>
      </c>
      <c r="D2" s="32"/>
      <c r="E2" s="58" t="s">
        <v>108</v>
      </c>
      <c r="F2" s="58" t="s">
        <v>109</v>
      </c>
      <c r="G2" s="58" t="s">
        <v>110</v>
      </c>
      <c r="H2" s="32"/>
      <c r="I2" s="58" t="s">
        <v>108</v>
      </c>
      <c r="J2" s="58" t="s">
        <v>109</v>
      </c>
      <c r="K2" s="58" t="s">
        <v>110</v>
      </c>
      <c r="L2" s="32"/>
      <c r="M2" s="58" t="s">
        <v>108</v>
      </c>
      <c r="N2" s="58" t="s">
        <v>109</v>
      </c>
      <c r="O2" s="58" t="s">
        <v>110</v>
      </c>
      <c r="P2" s="58"/>
      <c r="Q2" s="58" t="s">
        <v>108</v>
      </c>
      <c r="R2" s="58" t="s">
        <v>109</v>
      </c>
      <c r="S2" s="58" t="s">
        <v>110</v>
      </c>
      <c r="T2" s="32"/>
      <c r="U2" s="58" t="s">
        <v>108</v>
      </c>
      <c r="V2" s="58" t="s">
        <v>109</v>
      </c>
      <c r="W2" s="58" t="s">
        <v>110</v>
      </c>
      <c r="X2" s="32"/>
      <c r="Y2" s="58" t="s">
        <v>111</v>
      </c>
      <c r="Z2" s="58" t="s">
        <v>112</v>
      </c>
      <c r="AA2" s="58" t="s">
        <v>110</v>
      </c>
      <c r="AB2" s="32"/>
    </row>
    <row r="3" spans="1:28">
      <c r="A3" s="59">
        <v>0</v>
      </c>
      <c r="B3" s="59">
        <v>0</v>
      </c>
      <c r="C3" s="59">
        <v>0</v>
      </c>
      <c r="D3" s="32"/>
      <c r="E3" s="59">
        <v>0</v>
      </c>
      <c r="F3" s="59">
        <v>0</v>
      </c>
      <c r="G3" s="59">
        <v>0</v>
      </c>
      <c r="H3" s="32"/>
      <c r="I3" s="59">
        <v>0</v>
      </c>
      <c r="J3" s="59">
        <v>0</v>
      </c>
      <c r="K3" s="59">
        <v>0</v>
      </c>
      <c r="L3" s="32"/>
      <c r="M3" s="59">
        <v>0</v>
      </c>
      <c r="N3" s="59">
        <v>0</v>
      </c>
      <c r="O3" s="59">
        <v>0</v>
      </c>
      <c r="P3" s="58"/>
      <c r="Q3" s="59">
        <v>0</v>
      </c>
      <c r="R3" s="59">
        <v>0</v>
      </c>
      <c r="S3" s="59">
        <v>0</v>
      </c>
      <c r="T3" s="32"/>
      <c r="U3" s="59">
        <v>0</v>
      </c>
      <c r="V3" s="59">
        <v>0</v>
      </c>
      <c r="W3" s="59">
        <v>0</v>
      </c>
      <c r="X3" s="32"/>
      <c r="Y3" s="59">
        <v>8</v>
      </c>
      <c r="Z3" s="59">
        <v>16</v>
      </c>
      <c r="AA3" s="59">
        <v>0</v>
      </c>
      <c r="AB3" s="32"/>
    </row>
    <row r="4" spans="1:28">
      <c r="A4" s="32">
        <v>1</v>
      </c>
      <c r="B4" s="32">
        <v>0</v>
      </c>
      <c r="C4" s="32">
        <v>0</v>
      </c>
      <c r="D4" s="32"/>
      <c r="E4" s="32">
        <v>1</v>
      </c>
      <c r="F4" s="32">
        <v>12</v>
      </c>
      <c r="G4" s="32">
        <v>1</v>
      </c>
      <c r="H4" s="32"/>
      <c r="I4" s="32">
        <v>1</v>
      </c>
      <c r="J4" s="32">
        <v>12</v>
      </c>
      <c r="K4" s="32">
        <v>1</v>
      </c>
      <c r="L4" s="32"/>
      <c r="M4" s="32">
        <v>1</v>
      </c>
      <c r="N4" s="32">
        <v>12</v>
      </c>
      <c r="O4" s="32">
        <v>1</v>
      </c>
      <c r="P4" s="32"/>
      <c r="Q4" s="32">
        <v>1</v>
      </c>
      <c r="R4" s="32">
        <v>12</v>
      </c>
      <c r="S4" s="32">
        <v>0</v>
      </c>
      <c r="T4" s="32"/>
      <c r="U4" s="32">
        <v>1</v>
      </c>
      <c r="V4" s="32">
        <v>14.5</v>
      </c>
      <c r="W4" s="32">
        <v>0.25</v>
      </c>
      <c r="X4" s="32"/>
      <c r="Y4" s="32">
        <v>9</v>
      </c>
      <c r="Z4" s="32">
        <v>14</v>
      </c>
      <c r="AA4" s="32">
        <v>0</v>
      </c>
      <c r="AB4" s="32"/>
    </row>
    <row r="5" spans="1:28">
      <c r="A5" s="32">
        <v>8</v>
      </c>
      <c r="B5" s="32">
        <v>40</v>
      </c>
      <c r="C5" s="32">
        <v>0.5</v>
      </c>
      <c r="D5" s="32"/>
      <c r="E5" s="32">
        <v>16.600000000000001</v>
      </c>
      <c r="F5" s="32">
        <v>12</v>
      </c>
      <c r="G5" s="32">
        <v>1.4</v>
      </c>
      <c r="H5" s="32"/>
      <c r="I5" s="32">
        <v>16.600000000000001</v>
      </c>
      <c r="J5" s="32">
        <v>12</v>
      </c>
      <c r="K5" s="32">
        <v>1.4</v>
      </c>
      <c r="L5" s="32"/>
      <c r="M5" s="32">
        <v>17</v>
      </c>
      <c r="N5" s="32">
        <v>12</v>
      </c>
      <c r="O5" s="32">
        <v>1.4</v>
      </c>
      <c r="P5" s="32"/>
      <c r="Q5" s="32">
        <v>100</v>
      </c>
      <c r="R5" s="32">
        <v>12</v>
      </c>
      <c r="S5" s="32">
        <v>9</v>
      </c>
      <c r="T5" s="32"/>
      <c r="U5" s="32">
        <v>4</v>
      </c>
      <c r="V5" s="32">
        <v>14.5</v>
      </c>
      <c r="W5" s="32">
        <v>0.5</v>
      </c>
      <c r="X5" s="32"/>
      <c r="Y5" s="32">
        <v>12</v>
      </c>
      <c r="Z5" s="32">
        <v>0</v>
      </c>
      <c r="AA5" s="32">
        <v>8</v>
      </c>
      <c r="AB5" s="32"/>
    </row>
    <row r="6" spans="1:28">
      <c r="A6" s="32">
        <v>16</v>
      </c>
      <c r="B6" s="32">
        <v>40</v>
      </c>
      <c r="C6" s="32">
        <v>0.6</v>
      </c>
      <c r="D6" s="32"/>
      <c r="E6" s="32">
        <v>33.6</v>
      </c>
      <c r="F6" s="32">
        <v>13</v>
      </c>
      <c r="G6" s="32">
        <v>2.8</v>
      </c>
      <c r="H6" s="32"/>
      <c r="I6" s="32">
        <v>33.6</v>
      </c>
      <c r="J6" s="32">
        <v>13</v>
      </c>
      <c r="K6" s="32">
        <v>2.8</v>
      </c>
      <c r="L6" s="32"/>
      <c r="M6" s="32">
        <v>34</v>
      </c>
      <c r="N6" s="32">
        <v>13</v>
      </c>
      <c r="O6" s="32">
        <v>2.8</v>
      </c>
      <c r="P6" s="32"/>
      <c r="Q6" s="32">
        <v>200</v>
      </c>
      <c r="R6" s="32">
        <v>13.5</v>
      </c>
      <c r="S6" s="32">
        <v>17</v>
      </c>
      <c r="T6" s="32"/>
      <c r="U6" s="32">
        <v>8</v>
      </c>
      <c r="V6" s="32">
        <v>14.5</v>
      </c>
      <c r="W6" s="32">
        <v>0.75</v>
      </c>
      <c r="X6" s="32"/>
      <c r="Y6" s="32"/>
      <c r="Z6" s="32"/>
      <c r="AA6" s="32"/>
      <c r="AB6" s="32"/>
    </row>
    <row r="7" spans="1:28">
      <c r="A7" s="32">
        <v>21</v>
      </c>
      <c r="B7" s="32">
        <v>40</v>
      </c>
      <c r="C7" s="32">
        <v>0.75</v>
      </c>
      <c r="D7" s="32"/>
      <c r="E7" s="32">
        <v>51.7</v>
      </c>
      <c r="F7" s="32">
        <v>15</v>
      </c>
      <c r="G7" s="32">
        <v>4</v>
      </c>
      <c r="H7" s="32"/>
      <c r="I7" s="32">
        <v>51.7</v>
      </c>
      <c r="J7" s="32">
        <v>15</v>
      </c>
      <c r="K7" s="32">
        <v>4</v>
      </c>
      <c r="L7" s="32"/>
      <c r="M7" s="32">
        <v>52</v>
      </c>
      <c r="N7" s="32">
        <v>15</v>
      </c>
      <c r="O7" s="32">
        <v>4</v>
      </c>
      <c r="P7" s="32"/>
      <c r="Q7" s="32">
        <v>300</v>
      </c>
      <c r="R7" s="32">
        <v>14.5</v>
      </c>
      <c r="S7" s="32">
        <v>22</v>
      </c>
      <c r="T7" s="32"/>
      <c r="U7" s="32">
        <v>12</v>
      </c>
      <c r="V7" s="32">
        <v>14.5</v>
      </c>
      <c r="W7" s="32">
        <v>1</v>
      </c>
      <c r="X7" s="32"/>
      <c r="Y7" s="32"/>
      <c r="Z7" s="32"/>
      <c r="AA7" s="32"/>
      <c r="AB7" s="32"/>
    </row>
    <row r="8" spans="1:28">
      <c r="A8" s="32">
        <v>26</v>
      </c>
      <c r="B8" s="32">
        <v>40</v>
      </c>
      <c r="C8" s="32">
        <v>0.85</v>
      </c>
      <c r="D8" s="32"/>
      <c r="E8" s="32">
        <v>71.099999999999994</v>
      </c>
      <c r="F8" s="32">
        <v>16</v>
      </c>
      <c r="G8" s="32">
        <v>4.7</v>
      </c>
      <c r="H8" s="32"/>
      <c r="I8" s="32">
        <v>71.099999999999994</v>
      </c>
      <c r="J8" s="32">
        <v>16</v>
      </c>
      <c r="K8" s="32">
        <v>4.7</v>
      </c>
      <c r="L8" s="32"/>
      <c r="M8" s="32">
        <v>71</v>
      </c>
      <c r="N8" s="32">
        <v>16</v>
      </c>
      <c r="O8" s="32">
        <v>4.7</v>
      </c>
      <c r="P8" s="32"/>
      <c r="Q8" s="32">
        <v>400</v>
      </c>
      <c r="R8" s="32">
        <v>16</v>
      </c>
      <c r="S8" s="32">
        <v>28</v>
      </c>
      <c r="T8" s="32"/>
      <c r="U8" s="32">
        <v>14</v>
      </c>
      <c r="V8" s="32">
        <v>14.5</v>
      </c>
      <c r="W8" s="32">
        <v>1</v>
      </c>
      <c r="X8" s="32"/>
      <c r="Y8" s="32"/>
      <c r="Z8" s="32"/>
      <c r="AA8" s="32"/>
      <c r="AB8" s="32"/>
    </row>
    <row r="9" spans="1:28">
      <c r="A9" s="32">
        <v>31</v>
      </c>
      <c r="B9" s="32">
        <v>40</v>
      </c>
      <c r="C9" s="32">
        <v>1</v>
      </c>
      <c r="D9" s="32"/>
      <c r="E9" s="32">
        <v>110</v>
      </c>
      <c r="F9" s="32">
        <v>19</v>
      </c>
      <c r="G9" s="32">
        <v>6.8</v>
      </c>
      <c r="H9" s="32"/>
      <c r="I9" s="32">
        <v>110</v>
      </c>
      <c r="J9" s="32">
        <v>19</v>
      </c>
      <c r="K9" s="32">
        <v>6.8</v>
      </c>
      <c r="L9" s="32"/>
      <c r="M9" s="32">
        <v>110</v>
      </c>
      <c r="N9" s="32">
        <v>19</v>
      </c>
      <c r="O9" s="32">
        <v>6.8</v>
      </c>
      <c r="P9" s="32"/>
      <c r="Q9" s="32">
        <v>750</v>
      </c>
      <c r="R9" s="32">
        <v>18.5</v>
      </c>
      <c r="S9" s="32">
        <v>47</v>
      </c>
      <c r="T9" s="32"/>
      <c r="U9" s="32"/>
      <c r="V9" s="32"/>
      <c r="W9" s="32"/>
      <c r="X9" s="32"/>
      <c r="Y9" s="32"/>
      <c r="Z9" s="32"/>
      <c r="AA9" s="32"/>
      <c r="AB9" s="32"/>
    </row>
    <row r="10" spans="1:28">
      <c r="A10" s="32">
        <v>41</v>
      </c>
      <c r="B10" s="32">
        <v>40</v>
      </c>
      <c r="C10" s="32">
        <v>1</v>
      </c>
      <c r="D10" s="32"/>
      <c r="E10" s="32">
        <v>160</v>
      </c>
      <c r="F10" s="32">
        <v>20</v>
      </c>
      <c r="G10" s="32">
        <v>8.4</v>
      </c>
      <c r="H10" s="32"/>
      <c r="I10" s="32">
        <v>160</v>
      </c>
      <c r="J10" s="32">
        <v>20</v>
      </c>
      <c r="K10" s="32">
        <v>8.4</v>
      </c>
      <c r="L10" s="32"/>
      <c r="M10" s="32">
        <v>160</v>
      </c>
      <c r="N10" s="32">
        <v>20</v>
      </c>
      <c r="O10" s="32">
        <v>8.4</v>
      </c>
      <c r="P10" s="32"/>
      <c r="Q10" s="32"/>
      <c r="R10" s="32"/>
      <c r="S10" s="32"/>
      <c r="T10" s="32"/>
      <c r="U10" s="32"/>
      <c r="V10" s="32"/>
      <c r="W10" s="32"/>
      <c r="X10" s="32"/>
      <c r="Y10" s="32"/>
      <c r="Z10" s="32"/>
      <c r="AA10" s="32"/>
      <c r="AB10" s="32"/>
    </row>
    <row r="11" spans="1:28">
      <c r="A11" s="32"/>
      <c r="B11" s="32"/>
      <c r="C11" s="32"/>
      <c r="D11" s="32"/>
      <c r="E11" s="32">
        <v>300</v>
      </c>
      <c r="F11" s="32">
        <v>20</v>
      </c>
      <c r="G11" s="32">
        <v>15</v>
      </c>
      <c r="H11" s="32"/>
      <c r="I11" s="32">
        <v>300</v>
      </c>
      <c r="J11" s="32">
        <v>23</v>
      </c>
      <c r="K11" s="32">
        <v>15</v>
      </c>
      <c r="L11" s="32"/>
      <c r="M11" s="32">
        <v>300</v>
      </c>
      <c r="N11" s="32">
        <v>23</v>
      </c>
      <c r="O11" s="32">
        <v>15</v>
      </c>
      <c r="P11" s="32"/>
      <c r="Q11" s="32"/>
      <c r="R11" s="32"/>
      <c r="S11" s="32"/>
      <c r="T11" s="32"/>
      <c r="U11" s="32"/>
      <c r="V11" s="32"/>
      <c r="W11" s="32"/>
      <c r="X11" s="32"/>
      <c r="Y11" s="32"/>
      <c r="Z11" s="32"/>
      <c r="AA11" s="32"/>
      <c r="AB11" s="32"/>
    </row>
    <row r="12" spans="1:28">
      <c r="A12" s="32"/>
      <c r="B12" s="32"/>
      <c r="C12" s="32"/>
      <c r="D12" s="32"/>
      <c r="E12" s="32"/>
      <c r="F12" s="32"/>
      <c r="G12" s="32"/>
      <c r="H12" s="32"/>
      <c r="I12" s="32"/>
      <c r="J12" s="32"/>
      <c r="K12" s="32"/>
      <c r="L12" s="32"/>
      <c r="M12" s="32"/>
      <c r="N12" s="32"/>
      <c r="O12" s="32"/>
      <c r="P12" s="32"/>
      <c r="Q12" s="32"/>
      <c r="R12" s="32"/>
      <c r="S12" s="32"/>
      <c r="T12" s="32"/>
      <c r="U12" s="32"/>
      <c r="V12" s="32"/>
      <c r="W12" s="32"/>
      <c r="X12" s="32"/>
      <c r="Y12" s="32"/>
      <c r="Z12" s="32"/>
      <c r="AA12" s="32"/>
      <c r="AB12" s="32"/>
    </row>
  </sheetData>
  <sheetProtection password="CDD6" sheet="1" objects="1" scenarios="1"/>
  <pageMargins left="0.75" right="0.75" top="1" bottom="1" header="0.5" footer="0.5"/>
  <pageSetup orientation="portrait" r:id="rId1"/>
  <headerFooter alignWithMargins="0">
    <oddFooter>&amp;L&amp;F</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indexed="12"/>
  </sheetPr>
  <dimension ref="A1:H24"/>
  <sheetViews>
    <sheetView workbookViewId="0">
      <selection activeCell="C10" sqref="C10"/>
    </sheetView>
  </sheetViews>
  <sheetFormatPr defaultRowHeight="13.2"/>
  <cols>
    <col min="1" max="1" width="9.21875" style="2"/>
    <col min="2" max="2" width="24" style="2" customWidth="1"/>
    <col min="3" max="3" width="13.5546875" style="2" customWidth="1"/>
    <col min="4" max="4" width="3.21875" style="2" customWidth="1"/>
    <col min="5" max="5" width="14.77734375" style="2" customWidth="1"/>
    <col min="6" max="6" width="3.21875" style="2" customWidth="1"/>
    <col min="7" max="7" width="14.5546875" style="2" customWidth="1"/>
    <col min="8" max="8" width="3.21875" style="2" customWidth="1"/>
    <col min="9" max="257" width="9.21875" style="2"/>
    <col min="258" max="258" width="24" style="2" customWidth="1"/>
    <col min="259" max="259" width="13.5546875" style="2" customWidth="1"/>
    <col min="260" max="260" width="3.21875" style="2" customWidth="1"/>
    <col min="261" max="261" width="14.77734375" style="2" customWidth="1"/>
    <col min="262" max="262" width="3.21875" style="2" customWidth="1"/>
    <col min="263" max="263" width="14.5546875" style="2" customWidth="1"/>
    <col min="264" max="264" width="3.21875" style="2" customWidth="1"/>
    <col min="265" max="513" width="9.21875" style="2"/>
    <col min="514" max="514" width="24" style="2" customWidth="1"/>
    <col min="515" max="515" width="13.5546875" style="2" customWidth="1"/>
    <col min="516" max="516" width="3.21875" style="2" customWidth="1"/>
    <col min="517" max="517" width="14.77734375" style="2" customWidth="1"/>
    <col min="518" max="518" width="3.21875" style="2" customWidth="1"/>
    <col min="519" max="519" width="14.5546875" style="2" customWidth="1"/>
    <col min="520" max="520" width="3.21875" style="2" customWidth="1"/>
    <col min="521" max="769" width="9.21875" style="2"/>
    <col min="770" max="770" width="24" style="2" customWidth="1"/>
    <col min="771" max="771" width="13.5546875" style="2" customWidth="1"/>
    <col min="772" max="772" width="3.21875" style="2" customWidth="1"/>
    <col min="773" max="773" width="14.77734375" style="2" customWidth="1"/>
    <col min="774" max="774" width="3.21875" style="2" customWidth="1"/>
    <col min="775" max="775" width="14.5546875" style="2" customWidth="1"/>
    <col min="776" max="776" width="3.21875" style="2" customWidth="1"/>
    <col min="777" max="1025" width="9.21875" style="2"/>
    <col min="1026" max="1026" width="24" style="2" customWidth="1"/>
    <col min="1027" max="1027" width="13.5546875" style="2" customWidth="1"/>
    <col min="1028" max="1028" width="3.21875" style="2" customWidth="1"/>
    <col min="1029" max="1029" width="14.77734375" style="2" customWidth="1"/>
    <col min="1030" max="1030" width="3.21875" style="2" customWidth="1"/>
    <col min="1031" max="1031" width="14.5546875" style="2" customWidth="1"/>
    <col min="1032" max="1032" width="3.21875" style="2" customWidth="1"/>
    <col min="1033" max="1281" width="9.21875" style="2"/>
    <col min="1282" max="1282" width="24" style="2" customWidth="1"/>
    <col min="1283" max="1283" width="13.5546875" style="2" customWidth="1"/>
    <col min="1284" max="1284" width="3.21875" style="2" customWidth="1"/>
    <col min="1285" max="1285" width="14.77734375" style="2" customWidth="1"/>
    <col min="1286" max="1286" width="3.21875" style="2" customWidth="1"/>
    <col min="1287" max="1287" width="14.5546875" style="2" customWidth="1"/>
    <col min="1288" max="1288" width="3.21875" style="2" customWidth="1"/>
    <col min="1289" max="1537" width="9.21875" style="2"/>
    <col min="1538" max="1538" width="24" style="2" customWidth="1"/>
    <col min="1539" max="1539" width="13.5546875" style="2" customWidth="1"/>
    <col min="1540" max="1540" width="3.21875" style="2" customWidth="1"/>
    <col min="1541" max="1541" width="14.77734375" style="2" customWidth="1"/>
    <col min="1542" max="1542" width="3.21875" style="2" customWidth="1"/>
    <col min="1543" max="1543" width="14.5546875" style="2" customWidth="1"/>
    <col min="1544" max="1544" width="3.21875" style="2" customWidth="1"/>
    <col min="1545" max="1793" width="9.21875" style="2"/>
    <col min="1794" max="1794" width="24" style="2" customWidth="1"/>
    <col min="1795" max="1795" width="13.5546875" style="2" customWidth="1"/>
    <col min="1796" max="1796" width="3.21875" style="2" customWidth="1"/>
    <col min="1797" max="1797" width="14.77734375" style="2" customWidth="1"/>
    <col min="1798" max="1798" width="3.21875" style="2" customWidth="1"/>
    <col min="1799" max="1799" width="14.5546875" style="2" customWidth="1"/>
    <col min="1800" max="1800" width="3.21875" style="2" customWidth="1"/>
    <col min="1801" max="2049" width="9.21875" style="2"/>
    <col min="2050" max="2050" width="24" style="2" customWidth="1"/>
    <col min="2051" max="2051" width="13.5546875" style="2" customWidth="1"/>
    <col min="2052" max="2052" width="3.21875" style="2" customWidth="1"/>
    <col min="2053" max="2053" width="14.77734375" style="2" customWidth="1"/>
    <col min="2054" max="2054" width="3.21875" style="2" customWidth="1"/>
    <col min="2055" max="2055" width="14.5546875" style="2" customWidth="1"/>
    <col min="2056" max="2056" width="3.21875" style="2" customWidth="1"/>
    <col min="2057" max="2305" width="9.21875" style="2"/>
    <col min="2306" max="2306" width="24" style="2" customWidth="1"/>
    <col min="2307" max="2307" width="13.5546875" style="2" customWidth="1"/>
    <col min="2308" max="2308" width="3.21875" style="2" customWidth="1"/>
    <col min="2309" max="2309" width="14.77734375" style="2" customWidth="1"/>
    <col min="2310" max="2310" width="3.21875" style="2" customWidth="1"/>
    <col min="2311" max="2311" width="14.5546875" style="2" customWidth="1"/>
    <col min="2312" max="2312" width="3.21875" style="2" customWidth="1"/>
    <col min="2313" max="2561" width="9.21875" style="2"/>
    <col min="2562" max="2562" width="24" style="2" customWidth="1"/>
    <col min="2563" max="2563" width="13.5546875" style="2" customWidth="1"/>
    <col min="2564" max="2564" width="3.21875" style="2" customWidth="1"/>
    <col min="2565" max="2565" width="14.77734375" style="2" customWidth="1"/>
    <col min="2566" max="2566" width="3.21875" style="2" customWidth="1"/>
    <col min="2567" max="2567" width="14.5546875" style="2" customWidth="1"/>
    <col min="2568" max="2568" width="3.21875" style="2" customWidth="1"/>
    <col min="2569" max="2817" width="9.21875" style="2"/>
    <col min="2818" max="2818" width="24" style="2" customWidth="1"/>
    <col min="2819" max="2819" width="13.5546875" style="2" customWidth="1"/>
    <col min="2820" max="2820" width="3.21875" style="2" customWidth="1"/>
    <col min="2821" max="2821" width="14.77734375" style="2" customWidth="1"/>
    <col min="2822" max="2822" width="3.21875" style="2" customWidth="1"/>
    <col min="2823" max="2823" width="14.5546875" style="2" customWidth="1"/>
    <col min="2824" max="2824" width="3.21875" style="2" customWidth="1"/>
    <col min="2825" max="3073" width="9.21875" style="2"/>
    <col min="3074" max="3074" width="24" style="2" customWidth="1"/>
    <col min="3075" max="3075" width="13.5546875" style="2" customWidth="1"/>
    <col min="3076" max="3076" width="3.21875" style="2" customWidth="1"/>
    <col min="3077" max="3077" width="14.77734375" style="2" customWidth="1"/>
    <col min="3078" max="3078" width="3.21875" style="2" customWidth="1"/>
    <col min="3079" max="3079" width="14.5546875" style="2" customWidth="1"/>
    <col min="3080" max="3080" width="3.21875" style="2" customWidth="1"/>
    <col min="3081" max="3329" width="9.21875" style="2"/>
    <col min="3330" max="3330" width="24" style="2" customWidth="1"/>
    <col min="3331" max="3331" width="13.5546875" style="2" customWidth="1"/>
    <col min="3332" max="3332" width="3.21875" style="2" customWidth="1"/>
    <col min="3333" max="3333" width="14.77734375" style="2" customWidth="1"/>
    <col min="3334" max="3334" width="3.21875" style="2" customWidth="1"/>
    <col min="3335" max="3335" width="14.5546875" style="2" customWidth="1"/>
    <col min="3336" max="3336" width="3.21875" style="2" customWidth="1"/>
    <col min="3337" max="3585" width="9.21875" style="2"/>
    <col min="3586" max="3586" width="24" style="2" customWidth="1"/>
    <col min="3587" max="3587" width="13.5546875" style="2" customWidth="1"/>
    <col min="3588" max="3588" width="3.21875" style="2" customWidth="1"/>
    <col min="3589" max="3589" width="14.77734375" style="2" customWidth="1"/>
    <col min="3590" max="3590" width="3.21875" style="2" customWidth="1"/>
    <col min="3591" max="3591" width="14.5546875" style="2" customWidth="1"/>
    <col min="3592" max="3592" width="3.21875" style="2" customWidth="1"/>
    <col min="3593" max="3841" width="9.21875" style="2"/>
    <col min="3842" max="3842" width="24" style="2" customWidth="1"/>
    <col min="3843" max="3843" width="13.5546875" style="2" customWidth="1"/>
    <col min="3844" max="3844" width="3.21875" style="2" customWidth="1"/>
    <col min="3845" max="3845" width="14.77734375" style="2" customWidth="1"/>
    <col min="3846" max="3846" width="3.21875" style="2" customWidth="1"/>
    <col min="3847" max="3847" width="14.5546875" style="2" customWidth="1"/>
    <col min="3848" max="3848" width="3.21875" style="2" customWidth="1"/>
    <col min="3849" max="4097" width="9.21875" style="2"/>
    <col min="4098" max="4098" width="24" style="2" customWidth="1"/>
    <col min="4099" max="4099" width="13.5546875" style="2" customWidth="1"/>
    <col min="4100" max="4100" width="3.21875" style="2" customWidth="1"/>
    <col min="4101" max="4101" width="14.77734375" style="2" customWidth="1"/>
    <col min="4102" max="4102" width="3.21875" style="2" customWidth="1"/>
    <col min="4103" max="4103" width="14.5546875" style="2" customWidth="1"/>
    <col min="4104" max="4104" width="3.21875" style="2" customWidth="1"/>
    <col min="4105" max="4353" width="9.21875" style="2"/>
    <col min="4354" max="4354" width="24" style="2" customWidth="1"/>
    <col min="4355" max="4355" width="13.5546875" style="2" customWidth="1"/>
    <col min="4356" max="4356" width="3.21875" style="2" customWidth="1"/>
    <col min="4357" max="4357" width="14.77734375" style="2" customWidth="1"/>
    <col min="4358" max="4358" width="3.21875" style="2" customWidth="1"/>
    <col min="4359" max="4359" width="14.5546875" style="2" customWidth="1"/>
    <col min="4360" max="4360" width="3.21875" style="2" customWidth="1"/>
    <col min="4361" max="4609" width="9.21875" style="2"/>
    <col min="4610" max="4610" width="24" style="2" customWidth="1"/>
    <col min="4611" max="4611" width="13.5546875" style="2" customWidth="1"/>
    <col min="4612" max="4612" width="3.21875" style="2" customWidth="1"/>
    <col min="4613" max="4613" width="14.77734375" style="2" customWidth="1"/>
    <col min="4614" max="4614" width="3.21875" style="2" customWidth="1"/>
    <col min="4615" max="4615" width="14.5546875" style="2" customWidth="1"/>
    <col min="4616" max="4616" width="3.21875" style="2" customWidth="1"/>
    <col min="4617" max="4865" width="9.21875" style="2"/>
    <col min="4866" max="4866" width="24" style="2" customWidth="1"/>
    <col min="4867" max="4867" width="13.5546875" style="2" customWidth="1"/>
    <col min="4868" max="4868" width="3.21875" style="2" customWidth="1"/>
    <col min="4869" max="4869" width="14.77734375" style="2" customWidth="1"/>
    <col min="4870" max="4870" width="3.21875" style="2" customWidth="1"/>
    <col min="4871" max="4871" width="14.5546875" style="2" customWidth="1"/>
    <col min="4872" max="4872" width="3.21875" style="2" customWidth="1"/>
    <col min="4873" max="5121" width="9.21875" style="2"/>
    <col min="5122" max="5122" width="24" style="2" customWidth="1"/>
    <col min="5123" max="5123" width="13.5546875" style="2" customWidth="1"/>
    <col min="5124" max="5124" width="3.21875" style="2" customWidth="1"/>
    <col min="5125" max="5125" width="14.77734375" style="2" customWidth="1"/>
    <col min="5126" max="5126" width="3.21875" style="2" customWidth="1"/>
    <col min="5127" max="5127" width="14.5546875" style="2" customWidth="1"/>
    <col min="5128" max="5128" width="3.21875" style="2" customWidth="1"/>
    <col min="5129" max="5377" width="9.21875" style="2"/>
    <col min="5378" max="5378" width="24" style="2" customWidth="1"/>
    <col min="5379" max="5379" width="13.5546875" style="2" customWidth="1"/>
    <col min="5380" max="5380" width="3.21875" style="2" customWidth="1"/>
    <col min="5381" max="5381" width="14.77734375" style="2" customWidth="1"/>
    <col min="5382" max="5382" width="3.21875" style="2" customWidth="1"/>
    <col min="5383" max="5383" width="14.5546875" style="2" customWidth="1"/>
    <col min="5384" max="5384" width="3.21875" style="2" customWidth="1"/>
    <col min="5385" max="5633" width="9.21875" style="2"/>
    <col min="5634" max="5634" width="24" style="2" customWidth="1"/>
    <col min="5635" max="5635" width="13.5546875" style="2" customWidth="1"/>
    <col min="5636" max="5636" width="3.21875" style="2" customWidth="1"/>
    <col min="5637" max="5637" width="14.77734375" style="2" customWidth="1"/>
    <col min="5638" max="5638" width="3.21875" style="2" customWidth="1"/>
    <col min="5639" max="5639" width="14.5546875" style="2" customWidth="1"/>
    <col min="5640" max="5640" width="3.21875" style="2" customWidth="1"/>
    <col min="5641" max="5889" width="9.21875" style="2"/>
    <col min="5890" max="5890" width="24" style="2" customWidth="1"/>
    <col min="5891" max="5891" width="13.5546875" style="2" customWidth="1"/>
    <col min="5892" max="5892" width="3.21875" style="2" customWidth="1"/>
    <col min="5893" max="5893" width="14.77734375" style="2" customWidth="1"/>
    <col min="5894" max="5894" width="3.21875" style="2" customWidth="1"/>
    <col min="5895" max="5895" width="14.5546875" style="2" customWidth="1"/>
    <col min="5896" max="5896" width="3.21875" style="2" customWidth="1"/>
    <col min="5897" max="6145" width="9.21875" style="2"/>
    <col min="6146" max="6146" width="24" style="2" customWidth="1"/>
    <col min="6147" max="6147" width="13.5546875" style="2" customWidth="1"/>
    <col min="6148" max="6148" width="3.21875" style="2" customWidth="1"/>
    <col min="6149" max="6149" width="14.77734375" style="2" customWidth="1"/>
    <col min="6150" max="6150" width="3.21875" style="2" customWidth="1"/>
    <col min="6151" max="6151" width="14.5546875" style="2" customWidth="1"/>
    <col min="6152" max="6152" width="3.21875" style="2" customWidth="1"/>
    <col min="6153" max="6401" width="9.21875" style="2"/>
    <col min="6402" max="6402" width="24" style="2" customWidth="1"/>
    <col min="6403" max="6403" width="13.5546875" style="2" customWidth="1"/>
    <col min="6404" max="6404" width="3.21875" style="2" customWidth="1"/>
    <col min="6405" max="6405" width="14.77734375" style="2" customWidth="1"/>
    <col min="6406" max="6406" width="3.21875" style="2" customWidth="1"/>
    <col min="6407" max="6407" width="14.5546875" style="2" customWidth="1"/>
    <col min="6408" max="6408" width="3.21875" style="2" customWidth="1"/>
    <col min="6409" max="6657" width="9.21875" style="2"/>
    <col min="6658" max="6658" width="24" style="2" customWidth="1"/>
    <col min="6659" max="6659" width="13.5546875" style="2" customWidth="1"/>
    <col min="6660" max="6660" width="3.21875" style="2" customWidth="1"/>
    <col min="6661" max="6661" width="14.77734375" style="2" customWidth="1"/>
    <col min="6662" max="6662" width="3.21875" style="2" customWidth="1"/>
    <col min="6663" max="6663" width="14.5546875" style="2" customWidth="1"/>
    <col min="6664" max="6664" width="3.21875" style="2" customWidth="1"/>
    <col min="6665" max="6913" width="9.21875" style="2"/>
    <col min="6914" max="6914" width="24" style="2" customWidth="1"/>
    <col min="6915" max="6915" width="13.5546875" style="2" customWidth="1"/>
    <col min="6916" max="6916" width="3.21875" style="2" customWidth="1"/>
    <col min="6917" max="6917" width="14.77734375" style="2" customWidth="1"/>
    <col min="6918" max="6918" width="3.21875" style="2" customWidth="1"/>
    <col min="6919" max="6919" width="14.5546875" style="2" customWidth="1"/>
    <col min="6920" max="6920" width="3.21875" style="2" customWidth="1"/>
    <col min="6921" max="7169" width="9.21875" style="2"/>
    <col min="7170" max="7170" width="24" style="2" customWidth="1"/>
    <col min="7171" max="7171" width="13.5546875" style="2" customWidth="1"/>
    <col min="7172" max="7172" width="3.21875" style="2" customWidth="1"/>
    <col min="7173" max="7173" width="14.77734375" style="2" customWidth="1"/>
    <col min="7174" max="7174" width="3.21875" style="2" customWidth="1"/>
    <col min="7175" max="7175" width="14.5546875" style="2" customWidth="1"/>
    <col min="7176" max="7176" width="3.21875" style="2" customWidth="1"/>
    <col min="7177" max="7425" width="9.21875" style="2"/>
    <col min="7426" max="7426" width="24" style="2" customWidth="1"/>
    <col min="7427" max="7427" width="13.5546875" style="2" customWidth="1"/>
    <col min="7428" max="7428" width="3.21875" style="2" customWidth="1"/>
    <col min="7429" max="7429" width="14.77734375" style="2" customWidth="1"/>
    <col min="7430" max="7430" width="3.21875" style="2" customWidth="1"/>
    <col min="7431" max="7431" width="14.5546875" style="2" customWidth="1"/>
    <col min="7432" max="7432" width="3.21875" style="2" customWidth="1"/>
    <col min="7433" max="7681" width="9.21875" style="2"/>
    <col min="7682" max="7682" width="24" style="2" customWidth="1"/>
    <col min="7683" max="7683" width="13.5546875" style="2" customWidth="1"/>
    <col min="7684" max="7684" width="3.21875" style="2" customWidth="1"/>
    <col min="7685" max="7685" width="14.77734375" style="2" customWidth="1"/>
    <col min="7686" max="7686" width="3.21875" style="2" customWidth="1"/>
    <col min="7687" max="7687" width="14.5546875" style="2" customWidth="1"/>
    <col min="7688" max="7688" width="3.21875" style="2" customWidth="1"/>
    <col min="7689" max="7937" width="9.21875" style="2"/>
    <col min="7938" max="7938" width="24" style="2" customWidth="1"/>
    <col min="7939" max="7939" width="13.5546875" style="2" customWidth="1"/>
    <col min="7940" max="7940" width="3.21875" style="2" customWidth="1"/>
    <col min="7941" max="7941" width="14.77734375" style="2" customWidth="1"/>
    <col min="7942" max="7942" width="3.21875" style="2" customWidth="1"/>
    <col min="7943" max="7943" width="14.5546875" style="2" customWidth="1"/>
    <col min="7944" max="7944" width="3.21875" style="2" customWidth="1"/>
    <col min="7945" max="8193" width="9.21875" style="2"/>
    <col min="8194" max="8194" width="24" style="2" customWidth="1"/>
    <col min="8195" max="8195" width="13.5546875" style="2" customWidth="1"/>
    <col min="8196" max="8196" width="3.21875" style="2" customWidth="1"/>
    <col min="8197" max="8197" width="14.77734375" style="2" customWidth="1"/>
    <col min="8198" max="8198" width="3.21875" style="2" customWidth="1"/>
    <col min="8199" max="8199" width="14.5546875" style="2" customWidth="1"/>
    <col min="8200" max="8200" width="3.21875" style="2" customWidth="1"/>
    <col min="8201" max="8449" width="9.21875" style="2"/>
    <col min="8450" max="8450" width="24" style="2" customWidth="1"/>
    <col min="8451" max="8451" width="13.5546875" style="2" customWidth="1"/>
    <col min="8452" max="8452" width="3.21875" style="2" customWidth="1"/>
    <col min="8453" max="8453" width="14.77734375" style="2" customWidth="1"/>
    <col min="8454" max="8454" width="3.21875" style="2" customWidth="1"/>
    <col min="8455" max="8455" width="14.5546875" style="2" customWidth="1"/>
    <col min="8456" max="8456" width="3.21875" style="2" customWidth="1"/>
    <col min="8457" max="8705" width="9.21875" style="2"/>
    <col min="8706" max="8706" width="24" style="2" customWidth="1"/>
    <col min="8707" max="8707" width="13.5546875" style="2" customWidth="1"/>
    <col min="8708" max="8708" width="3.21875" style="2" customWidth="1"/>
    <col min="8709" max="8709" width="14.77734375" style="2" customWidth="1"/>
    <col min="8710" max="8710" width="3.21875" style="2" customWidth="1"/>
    <col min="8711" max="8711" width="14.5546875" style="2" customWidth="1"/>
    <col min="8712" max="8712" width="3.21875" style="2" customWidth="1"/>
    <col min="8713" max="8961" width="9.21875" style="2"/>
    <col min="8962" max="8962" width="24" style="2" customWidth="1"/>
    <col min="8963" max="8963" width="13.5546875" style="2" customWidth="1"/>
    <col min="8964" max="8964" width="3.21875" style="2" customWidth="1"/>
    <col min="8965" max="8965" width="14.77734375" style="2" customWidth="1"/>
    <col min="8966" max="8966" width="3.21875" style="2" customWidth="1"/>
    <col min="8967" max="8967" width="14.5546875" style="2" customWidth="1"/>
    <col min="8968" max="8968" width="3.21875" style="2" customWidth="1"/>
    <col min="8969" max="9217" width="9.21875" style="2"/>
    <col min="9218" max="9218" width="24" style="2" customWidth="1"/>
    <col min="9219" max="9219" width="13.5546875" style="2" customWidth="1"/>
    <col min="9220" max="9220" width="3.21875" style="2" customWidth="1"/>
    <col min="9221" max="9221" width="14.77734375" style="2" customWidth="1"/>
    <col min="9222" max="9222" width="3.21875" style="2" customWidth="1"/>
    <col min="9223" max="9223" width="14.5546875" style="2" customWidth="1"/>
    <col min="9224" max="9224" width="3.21875" style="2" customWidth="1"/>
    <col min="9225" max="9473" width="9.21875" style="2"/>
    <col min="9474" max="9474" width="24" style="2" customWidth="1"/>
    <col min="9475" max="9475" width="13.5546875" style="2" customWidth="1"/>
    <col min="9476" max="9476" width="3.21875" style="2" customWidth="1"/>
    <col min="9477" max="9477" width="14.77734375" style="2" customWidth="1"/>
    <col min="9478" max="9478" width="3.21875" style="2" customWidth="1"/>
    <col min="9479" max="9479" width="14.5546875" style="2" customWidth="1"/>
    <col min="9480" max="9480" width="3.21875" style="2" customWidth="1"/>
    <col min="9481" max="9729" width="9.21875" style="2"/>
    <col min="9730" max="9730" width="24" style="2" customWidth="1"/>
    <col min="9731" max="9731" width="13.5546875" style="2" customWidth="1"/>
    <col min="9732" max="9732" width="3.21875" style="2" customWidth="1"/>
    <col min="9733" max="9733" width="14.77734375" style="2" customWidth="1"/>
    <col min="9734" max="9734" width="3.21875" style="2" customWidth="1"/>
    <col min="9735" max="9735" width="14.5546875" style="2" customWidth="1"/>
    <col min="9736" max="9736" width="3.21875" style="2" customWidth="1"/>
    <col min="9737" max="9985" width="9.21875" style="2"/>
    <col min="9986" max="9986" width="24" style="2" customWidth="1"/>
    <col min="9987" max="9987" width="13.5546875" style="2" customWidth="1"/>
    <col min="9988" max="9988" width="3.21875" style="2" customWidth="1"/>
    <col min="9989" max="9989" width="14.77734375" style="2" customWidth="1"/>
    <col min="9990" max="9990" width="3.21875" style="2" customWidth="1"/>
    <col min="9991" max="9991" width="14.5546875" style="2" customWidth="1"/>
    <col min="9992" max="9992" width="3.21875" style="2" customWidth="1"/>
    <col min="9993" max="10241" width="9.21875" style="2"/>
    <col min="10242" max="10242" width="24" style="2" customWidth="1"/>
    <col min="10243" max="10243" width="13.5546875" style="2" customWidth="1"/>
    <col min="10244" max="10244" width="3.21875" style="2" customWidth="1"/>
    <col min="10245" max="10245" width="14.77734375" style="2" customWidth="1"/>
    <col min="10246" max="10246" width="3.21875" style="2" customWidth="1"/>
    <col min="10247" max="10247" width="14.5546875" style="2" customWidth="1"/>
    <col min="10248" max="10248" width="3.21875" style="2" customWidth="1"/>
    <col min="10249" max="10497" width="9.21875" style="2"/>
    <col min="10498" max="10498" width="24" style="2" customWidth="1"/>
    <col min="10499" max="10499" width="13.5546875" style="2" customWidth="1"/>
    <col min="10500" max="10500" width="3.21875" style="2" customWidth="1"/>
    <col min="10501" max="10501" width="14.77734375" style="2" customWidth="1"/>
    <col min="10502" max="10502" width="3.21875" style="2" customWidth="1"/>
    <col min="10503" max="10503" width="14.5546875" style="2" customWidth="1"/>
    <col min="10504" max="10504" width="3.21875" style="2" customWidth="1"/>
    <col min="10505" max="10753" width="9.21875" style="2"/>
    <col min="10754" max="10754" width="24" style="2" customWidth="1"/>
    <col min="10755" max="10755" width="13.5546875" style="2" customWidth="1"/>
    <col min="10756" max="10756" width="3.21875" style="2" customWidth="1"/>
    <col min="10757" max="10757" width="14.77734375" style="2" customWidth="1"/>
    <col min="10758" max="10758" width="3.21875" style="2" customWidth="1"/>
    <col min="10759" max="10759" width="14.5546875" style="2" customWidth="1"/>
    <col min="10760" max="10760" width="3.21875" style="2" customWidth="1"/>
    <col min="10761" max="11009" width="9.21875" style="2"/>
    <col min="11010" max="11010" width="24" style="2" customWidth="1"/>
    <col min="11011" max="11011" width="13.5546875" style="2" customWidth="1"/>
    <col min="11012" max="11012" width="3.21875" style="2" customWidth="1"/>
    <col min="11013" max="11013" width="14.77734375" style="2" customWidth="1"/>
    <col min="11014" max="11014" width="3.21875" style="2" customWidth="1"/>
    <col min="11015" max="11015" width="14.5546875" style="2" customWidth="1"/>
    <col min="11016" max="11016" width="3.21875" style="2" customWidth="1"/>
    <col min="11017" max="11265" width="9.21875" style="2"/>
    <col min="11266" max="11266" width="24" style="2" customWidth="1"/>
    <col min="11267" max="11267" width="13.5546875" style="2" customWidth="1"/>
    <col min="11268" max="11268" width="3.21875" style="2" customWidth="1"/>
    <col min="11269" max="11269" width="14.77734375" style="2" customWidth="1"/>
    <col min="11270" max="11270" width="3.21875" style="2" customWidth="1"/>
    <col min="11271" max="11271" width="14.5546875" style="2" customWidth="1"/>
    <col min="11272" max="11272" width="3.21875" style="2" customWidth="1"/>
    <col min="11273" max="11521" width="9.21875" style="2"/>
    <col min="11522" max="11522" width="24" style="2" customWidth="1"/>
    <col min="11523" max="11523" width="13.5546875" style="2" customWidth="1"/>
    <col min="11524" max="11524" width="3.21875" style="2" customWidth="1"/>
    <col min="11525" max="11525" width="14.77734375" style="2" customWidth="1"/>
    <col min="11526" max="11526" width="3.21875" style="2" customWidth="1"/>
    <col min="11527" max="11527" width="14.5546875" style="2" customWidth="1"/>
    <col min="11528" max="11528" width="3.21875" style="2" customWidth="1"/>
    <col min="11529" max="11777" width="9.21875" style="2"/>
    <col min="11778" max="11778" width="24" style="2" customWidth="1"/>
    <col min="11779" max="11779" width="13.5546875" style="2" customWidth="1"/>
    <col min="11780" max="11780" width="3.21875" style="2" customWidth="1"/>
    <col min="11781" max="11781" width="14.77734375" style="2" customWidth="1"/>
    <col min="11782" max="11782" width="3.21875" style="2" customWidth="1"/>
    <col min="11783" max="11783" width="14.5546875" style="2" customWidth="1"/>
    <col min="11784" max="11784" width="3.21875" style="2" customWidth="1"/>
    <col min="11785" max="12033" width="9.21875" style="2"/>
    <col min="12034" max="12034" width="24" style="2" customWidth="1"/>
    <col min="12035" max="12035" width="13.5546875" style="2" customWidth="1"/>
    <col min="12036" max="12036" width="3.21875" style="2" customWidth="1"/>
    <col min="12037" max="12037" width="14.77734375" style="2" customWidth="1"/>
    <col min="12038" max="12038" width="3.21875" style="2" customWidth="1"/>
    <col min="12039" max="12039" width="14.5546875" style="2" customWidth="1"/>
    <col min="12040" max="12040" width="3.21875" style="2" customWidth="1"/>
    <col min="12041" max="12289" width="9.21875" style="2"/>
    <col min="12290" max="12290" width="24" style="2" customWidth="1"/>
    <col min="12291" max="12291" width="13.5546875" style="2" customWidth="1"/>
    <col min="12292" max="12292" width="3.21875" style="2" customWidth="1"/>
    <col min="12293" max="12293" width="14.77734375" style="2" customWidth="1"/>
    <col min="12294" max="12294" width="3.21875" style="2" customWidth="1"/>
    <col min="12295" max="12295" width="14.5546875" style="2" customWidth="1"/>
    <col min="12296" max="12296" width="3.21875" style="2" customWidth="1"/>
    <col min="12297" max="12545" width="9.21875" style="2"/>
    <col min="12546" max="12546" width="24" style="2" customWidth="1"/>
    <col min="12547" max="12547" width="13.5546875" style="2" customWidth="1"/>
    <col min="12548" max="12548" width="3.21875" style="2" customWidth="1"/>
    <col min="12549" max="12549" width="14.77734375" style="2" customWidth="1"/>
    <col min="12550" max="12550" width="3.21875" style="2" customWidth="1"/>
    <col min="12551" max="12551" width="14.5546875" style="2" customWidth="1"/>
    <col min="12552" max="12552" width="3.21875" style="2" customWidth="1"/>
    <col min="12553" max="12801" width="9.21875" style="2"/>
    <col min="12802" max="12802" width="24" style="2" customWidth="1"/>
    <col min="12803" max="12803" width="13.5546875" style="2" customWidth="1"/>
    <col min="12804" max="12804" width="3.21875" style="2" customWidth="1"/>
    <col min="12805" max="12805" width="14.77734375" style="2" customWidth="1"/>
    <col min="12806" max="12806" width="3.21875" style="2" customWidth="1"/>
    <col min="12807" max="12807" width="14.5546875" style="2" customWidth="1"/>
    <col min="12808" max="12808" width="3.21875" style="2" customWidth="1"/>
    <col min="12809" max="13057" width="9.21875" style="2"/>
    <col min="13058" max="13058" width="24" style="2" customWidth="1"/>
    <col min="13059" max="13059" width="13.5546875" style="2" customWidth="1"/>
    <col min="13060" max="13060" width="3.21875" style="2" customWidth="1"/>
    <col min="13061" max="13061" width="14.77734375" style="2" customWidth="1"/>
    <col min="13062" max="13062" width="3.21875" style="2" customWidth="1"/>
    <col min="13063" max="13063" width="14.5546875" style="2" customWidth="1"/>
    <col min="13064" max="13064" width="3.21875" style="2" customWidth="1"/>
    <col min="13065" max="13313" width="9.21875" style="2"/>
    <col min="13314" max="13314" width="24" style="2" customWidth="1"/>
    <col min="13315" max="13315" width="13.5546875" style="2" customWidth="1"/>
    <col min="13316" max="13316" width="3.21875" style="2" customWidth="1"/>
    <col min="13317" max="13317" width="14.77734375" style="2" customWidth="1"/>
    <col min="13318" max="13318" width="3.21875" style="2" customWidth="1"/>
    <col min="13319" max="13319" width="14.5546875" style="2" customWidth="1"/>
    <col min="13320" max="13320" width="3.21875" style="2" customWidth="1"/>
    <col min="13321" max="13569" width="9.21875" style="2"/>
    <col min="13570" max="13570" width="24" style="2" customWidth="1"/>
    <col min="13571" max="13571" width="13.5546875" style="2" customWidth="1"/>
    <col min="13572" max="13572" width="3.21875" style="2" customWidth="1"/>
    <col min="13573" max="13573" width="14.77734375" style="2" customWidth="1"/>
    <col min="13574" max="13574" width="3.21875" style="2" customWidth="1"/>
    <col min="13575" max="13575" width="14.5546875" style="2" customWidth="1"/>
    <col min="13576" max="13576" width="3.21875" style="2" customWidth="1"/>
    <col min="13577" max="13825" width="9.21875" style="2"/>
    <col min="13826" max="13826" width="24" style="2" customWidth="1"/>
    <col min="13827" max="13827" width="13.5546875" style="2" customWidth="1"/>
    <col min="13828" max="13828" width="3.21875" style="2" customWidth="1"/>
    <col min="13829" max="13829" width="14.77734375" style="2" customWidth="1"/>
    <col min="13830" max="13830" width="3.21875" style="2" customWidth="1"/>
    <col min="13831" max="13831" width="14.5546875" style="2" customWidth="1"/>
    <col min="13832" max="13832" width="3.21875" style="2" customWidth="1"/>
    <col min="13833" max="14081" width="9.21875" style="2"/>
    <col min="14082" max="14082" width="24" style="2" customWidth="1"/>
    <col min="14083" max="14083" width="13.5546875" style="2" customWidth="1"/>
    <col min="14084" max="14084" width="3.21875" style="2" customWidth="1"/>
    <col min="14085" max="14085" width="14.77734375" style="2" customWidth="1"/>
    <col min="14086" max="14086" width="3.21875" style="2" customWidth="1"/>
    <col min="14087" max="14087" width="14.5546875" style="2" customWidth="1"/>
    <col min="14088" max="14088" width="3.21875" style="2" customWidth="1"/>
    <col min="14089" max="14337" width="9.21875" style="2"/>
    <col min="14338" max="14338" width="24" style="2" customWidth="1"/>
    <col min="14339" max="14339" width="13.5546875" style="2" customWidth="1"/>
    <col min="14340" max="14340" width="3.21875" style="2" customWidth="1"/>
    <col min="14341" max="14341" width="14.77734375" style="2" customWidth="1"/>
    <col min="14342" max="14342" width="3.21875" style="2" customWidth="1"/>
    <col min="14343" max="14343" width="14.5546875" style="2" customWidth="1"/>
    <col min="14344" max="14344" width="3.21875" style="2" customWidth="1"/>
    <col min="14345" max="14593" width="9.21875" style="2"/>
    <col min="14594" max="14594" width="24" style="2" customWidth="1"/>
    <col min="14595" max="14595" width="13.5546875" style="2" customWidth="1"/>
    <col min="14596" max="14596" width="3.21875" style="2" customWidth="1"/>
    <col min="14597" max="14597" width="14.77734375" style="2" customWidth="1"/>
    <col min="14598" max="14598" width="3.21875" style="2" customWidth="1"/>
    <col min="14599" max="14599" width="14.5546875" style="2" customWidth="1"/>
    <col min="14600" max="14600" width="3.21875" style="2" customWidth="1"/>
    <col min="14601" max="14849" width="9.21875" style="2"/>
    <col min="14850" max="14850" width="24" style="2" customWidth="1"/>
    <col min="14851" max="14851" width="13.5546875" style="2" customWidth="1"/>
    <col min="14852" max="14852" width="3.21875" style="2" customWidth="1"/>
    <col min="14853" max="14853" width="14.77734375" style="2" customWidth="1"/>
    <col min="14854" max="14854" width="3.21875" style="2" customWidth="1"/>
    <col min="14855" max="14855" width="14.5546875" style="2" customWidth="1"/>
    <col min="14856" max="14856" width="3.21875" style="2" customWidth="1"/>
    <col min="14857" max="15105" width="9.21875" style="2"/>
    <col min="15106" max="15106" width="24" style="2" customWidth="1"/>
    <col min="15107" max="15107" width="13.5546875" style="2" customWidth="1"/>
    <col min="15108" max="15108" width="3.21875" style="2" customWidth="1"/>
    <col min="15109" max="15109" width="14.77734375" style="2" customWidth="1"/>
    <col min="15110" max="15110" width="3.21875" style="2" customWidth="1"/>
    <col min="15111" max="15111" width="14.5546875" style="2" customWidth="1"/>
    <col min="15112" max="15112" width="3.21875" style="2" customWidth="1"/>
    <col min="15113" max="15361" width="9.21875" style="2"/>
    <col min="15362" max="15362" width="24" style="2" customWidth="1"/>
    <col min="15363" max="15363" width="13.5546875" style="2" customWidth="1"/>
    <col min="15364" max="15364" width="3.21875" style="2" customWidth="1"/>
    <col min="15365" max="15365" width="14.77734375" style="2" customWidth="1"/>
    <col min="15366" max="15366" width="3.21875" style="2" customWidth="1"/>
    <col min="15367" max="15367" width="14.5546875" style="2" customWidth="1"/>
    <col min="15368" max="15368" width="3.21875" style="2" customWidth="1"/>
    <col min="15369" max="15617" width="9.21875" style="2"/>
    <col min="15618" max="15618" width="24" style="2" customWidth="1"/>
    <col min="15619" max="15619" width="13.5546875" style="2" customWidth="1"/>
    <col min="15620" max="15620" width="3.21875" style="2" customWidth="1"/>
    <col min="15621" max="15621" width="14.77734375" style="2" customWidth="1"/>
    <col min="15622" max="15622" width="3.21875" style="2" customWidth="1"/>
    <col min="15623" max="15623" width="14.5546875" style="2" customWidth="1"/>
    <col min="15624" max="15624" width="3.21875" style="2" customWidth="1"/>
    <col min="15625" max="15873" width="9.21875" style="2"/>
    <col min="15874" max="15874" width="24" style="2" customWidth="1"/>
    <col min="15875" max="15875" width="13.5546875" style="2" customWidth="1"/>
    <col min="15876" max="15876" width="3.21875" style="2" customWidth="1"/>
    <col min="15877" max="15877" width="14.77734375" style="2" customWidth="1"/>
    <col min="15878" max="15878" width="3.21875" style="2" customWidth="1"/>
    <col min="15879" max="15879" width="14.5546875" style="2" customWidth="1"/>
    <col min="15880" max="15880" width="3.21875" style="2" customWidth="1"/>
    <col min="15881" max="16129" width="9.21875" style="2"/>
    <col min="16130" max="16130" width="24" style="2" customWidth="1"/>
    <col min="16131" max="16131" width="13.5546875" style="2" customWidth="1"/>
    <col min="16132" max="16132" width="3.21875" style="2" customWidth="1"/>
    <col min="16133" max="16133" width="14.77734375" style="2" customWidth="1"/>
    <col min="16134" max="16134" width="3.21875" style="2" customWidth="1"/>
    <col min="16135" max="16135" width="14.5546875" style="2" customWidth="1"/>
    <col min="16136" max="16136" width="3.21875" style="2" customWidth="1"/>
    <col min="16137" max="16384" width="9.21875" style="2"/>
  </cols>
  <sheetData>
    <row r="1" spans="1:8" ht="20.399999999999999">
      <c r="A1" s="1" t="s">
        <v>1</v>
      </c>
      <c r="E1" s="3"/>
      <c r="G1" s="3"/>
    </row>
    <row r="2" spans="1:8" ht="15.75" customHeight="1">
      <c r="A2" s="1216" t="s">
        <v>2</v>
      </c>
      <c r="B2" s="1216"/>
      <c r="C2" s="1217" t="s">
        <v>3</v>
      </c>
      <c r="D2" s="4"/>
      <c r="E2" s="1217" t="s">
        <v>4</v>
      </c>
      <c r="F2" s="4"/>
      <c r="G2" s="1217" t="s">
        <v>5</v>
      </c>
      <c r="H2" s="4"/>
    </row>
    <row r="3" spans="1:8" ht="22.5" customHeight="1">
      <c r="A3" s="4"/>
      <c r="B3" s="4"/>
      <c r="C3" s="1217"/>
      <c r="D3" s="4"/>
      <c r="E3" s="1217"/>
      <c r="F3" s="4"/>
      <c r="G3" s="1217"/>
      <c r="H3" s="4"/>
    </row>
    <row r="4" spans="1:8" ht="13.8" thickBot="1">
      <c r="A4" s="5" t="s">
        <v>6</v>
      </c>
      <c r="C4" s="6">
        <f>+'Master Budget Sheet'!AC64</f>
        <v>22</v>
      </c>
      <c r="D4" s="4"/>
      <c r="E4" s="7">
        <f>+C4*'Master Budget Sheet'!$AC$8</f>
        <v>20.68</v>
      </c>
      <c r="F4" s="4"/>
      <c r="G4" s="8">
        <f>+E4</f>
        <v>20.68</v>
      </c>
      <c r="H4" s="4"/>
    </row>
    <row r="5" spans="1:8">
      <c r="A5" s="4"/>
      <c r="B5" s="4"/>
      <c r="C5" s="4"/>
      <c r="D5" s="4"/>
      <c r="E5" s="9"/>
      <c r="F5" s="4"/>
      <c r="G5" s="10"/>
      <c r="H5" s="4"/>
    </row>
    <row r="6" spans="1:8">
      <c r="A6" s="5" t="s">
        <v>7</v>
      </c>
      <c r="C6" s="11"/>
      <c r="D6" s="4"/>
      <c r="E6" s="9"/>
      <c r="F6" s="4"/>
      <c r="G6" s="10"/>
      <c r="H6" s="4"/>
    </row>
    <row r="7" spans="1:8" ht="14.4" thickBot="1">
      <c r="B7" s="12" t="s">
        <v>8</v>
      </c>
      <c r="C7" s="6">
        <f>SUM('Master Budget Sheet'!AC65:AC67)</f>
        <v>16</v>
      </c>
      <c r="D7" s="4"/>
      <c r="E7" s="7">
        <f>+C7*'Master Budget Sheet'!$AC$8</f>
        <v>15.04</v>
      </c>
      <c r="F7" s="4"/>
      <c r="G7" s="8">
        <f>+E7</f>
        <v>15.04</v>
      </c>
      <c r="H7" s="4"/>
    </row>
    <row r="8" spans="1:8" ht="14.4" thickBot="1">
      <c r="B8" s="12" t="s">
        <v>9</v>
      </c>
      <c r="C8" s="13">
        <f>SUM('Master Budget Sheet'!AC68:AC70)</f>
        <v>69</v>
      </c>
      <c r="D8" s="4"/>
      <c r="E8" s="7">
        <f>+C8*'Master Budget Sheet'!$AC$8</f>
        <v>64.86</v>
      </c>
      <c r="F8" s="4"/>
      <c r="G8" s="8">
        <f>+E8</f>
        <v>64.86</v>
      </c>
      <c r="H8" s="4"/>
    </row>
    <row r="9" spans="1:8">
      <c r="A9" s="4"/>
      <c r="B9" s="4"/>
      <c r="C9" s="4"/>
      <c r="D9" s="4"/>
      <c r="E9" s="14">
        <f>IF(E8+E7=0,0,E8+E7)</f>
        <v>79.900000000000006</v>
      </c>
      <c r="F9" s="4"/>
      <c r="G9" s="14">
        <f>IF(G8+G7=0,0,G8+G7)</f>
        <v>79.900000000000006</v>
      </c>
      <c r="H9" s="4"/>
    </row>
    <row r="10" spans="1:8" ht="13.8" thickBot="1">
      <c r="A10" s="5" t="s">
        <v>10</v>
      </c>
      <c r="C10" s="6">
        <f>SUM('Master Budget Sheet'!AC71:AC76)</f>
        <v>102</v>
      </c>
      <c r="D10" s="4"/>
      <c r="E10" s="7">
        <f>+C10*'Master Budget Sheet'!$AC$8</f>
        <v>95.88</v>
      </c>
      <c r="F10" s="4"/>
      <c r="G10" s="8">
        <f>+E10</f>
        <v>95.88</v>
      </c>
      <c r="H10" s="4"/>
    </row>
    <row r="11" spans="1:8">
      <c r="A11" s="15"/>
      <c r="B11" s="4"/>
      <c r="C11" s="16"/>
      <c r="D11" s="4"/>
      <c r="E11" s="17"/>
      <c r="F11" s="4"/>
      <c r="G11" s="18"/>
      <c r="H11" s="4"/>
    </row>
    <row r="12" spans="1:8">
      <c r="A12" s="4"/>
      <c r="B12" s="1218" t="s">
        <v>11</v>
      </c>
      <c r="C12" s="1218"/>
      <c r="D12" s="1218"/>
      <c r="E12" s="1218"/>
      <c r="F12" s="1218"/>
      <c r="G12" s="1218"/>
      <c r="H12" s="4"/>
    </row>
    <row r="13" spans="1:8">
      <c r="A13" s="4"/>
      <c r="B13" s="4"/>
      <c r="C13" s="1215"/>
      <c r="D13" s="1215"/>
      <c r="E13" s="19"/>
      <c r="F13" s="20"/>
      <c r="G13" s="19"/>
      <c r="H13" s="20"/>
    </row>
    <row r="14" spans="1:8" ht="13.8" thickBot="1">
      <c r="A14" s="21" t="s">
        <v>12</v>
      </c>
      <c r="C14" s="11"/>
      <c r="D14" s="4"/>
      <c r="E14" s="7"/>
      <c r="F14" s="4"/>
      <c r="G14" s="8"/>
      <c r="H14" s="4"/>
    </row>
    <row r="15" spans="1:8">
      <c r="A15" s="21" t="s">
        <v>13</v>
      </c>
      <c r="C15" s="11"/>
      <c r="D15" s="4"/>
      <c r="E15" s="22"/>
      <c r="F15" s="4"/>
      <c r="G15" s="10"/>
      <c r="H15" s="4"/>
    </row>
    <row r="16" spans="1:8">
      <c r="A16" s="23"/>
      <c r="B16" s="4"/>
      <c r="C16" s="11"/>
      <c r="D16" s="4"/>
      <c r="E16" s="17"/>
      <c r="F16" s="4"/>
      <c r="G16" s="10"/>
      <c r="H16" s="4"/>
    </row>
    <row r="17" spans="1:8">
      <c r="A17" s="21" t="s">
        <v>14</v>
      </c>
      <c r="C17" s="11"/>
      <c r="D17" s="4"/>
      <c r="E17" s="11"/>
      <c r="F17" s="4"/>
      <c r="G17" s="10"/>
      <c r="H17" s="4"/>
    </row>
    <row r="18" spans="1:8" ht="27" thickBot="1">
      <c r="A18" s="21"/>
      <c r="B18" s="24" t="s">
        <v>15</v>
      </c>
      <c r="C18" s="11"/>
      <c r="D18" s="4"/>
      <c r="E18" s="25"/>
      <c r="F18" s="4"/>
      <c r="G18" s="10"/>
      <c r="H18" s="4"/>
    </row>
    <row r="19" spans="1:8" ht="40.200000000000003" thickBot="1">
      <c r="A19" s="21"/>
      <c r="B19" s="24" t="s">
        <v>16</v>
      </c>
      <c r="C19" s="11"/>
      <c r="D19" s="4"/>
      <c r="E19" s="26"/>
      <c r="F19" s="4"/>
      <c r="G19" s="10"/>
      <c r="H19" s="4"/>
    </row>
    <row r="20" spans="1:8">
      <c r="A20" s="4"/>
      <c r="B20" s="4"/>
      <c r="C20" s="11"/>
      <c r="D20" s="4"/>
      <c r="E20" s="11"/>
      <c r="F20" s="4"/>
      <c r="G20" s="10"/>
      <c r="H20" s="4"/>
    </row>
    <row r="21" spans="1:8">
      <c r="A21" s="27" t="s">
        <v>17</v>
      </c>
      <c r="E21" s="4"/>
      <c r="F21" s="11"/>
      <c r="G21" s="11"/>
      <c r="H21" s="11"/>
    </row>
    <row r="22" spans="1:8" ht="13.8" thickBot="1">
      <c r="A22" s="28"/>
      <c r="B22" s="2" t="s">
        <v>18</v>
      </c>
      <c r="C22" s="29"/>
      <c r="D22" s="11"/>
      <c r="E22" s="11"/>
      <c r="F22" s="11"/>
      <c r="G22" s="11"/>
      <c r="H22" s="11"/>
    </row>
    <row r="23" spans="1:8" ht="13.8" thickBot="1">
      <c r="B23" s="2" t="s">
        <v>19</v>
      </c>
      <c r="C23" s="29"/>
      <c r="D23" s="11"/>
      <c r="E23" s="11"/>
      <c r="F23" s="11"/>
      <c r="G23" s="11"/>
      <c r="H23" s="11"/>
    </row>
    <row r="24" spans="1:8">
      <c r="A24" s="11"/>
      <c r="B24" s="11"/>
      <c r="C24" s="11"/>
      <c r="D24" s="11"/>
      <c r="E24" s="11"/>
      <c r="F24" s="11"/>
      <c r="G24" s="11"/>
      <c r="H24" s="11"/>
    </row>
  </sheetData>
  <sheetProtection password="CC16" sheet="1"/>
  <mergeCells count="6">
    <mergeCell ref="C13:D13"/>
    <mergeCell ref="A2:B2"/>
    <mergeCell ref="C2:C3"/>
    <mergeCell ref="E2:E3"/>
    <mergeCell ref="G2:G3"/>
    <mergeCell ref="B12:G12"/>
  </mergeCells>
  <conditionalFormatting sqref="F13 H13">
    <cfRule type="expression" dxfId="41" priority="1" stopIfTrue="1">
      <formula>E10=0</formula>
    </cfRule>
    <cfRule type="expression" dxfId="40" priority="2" stopIfTrue="1">
      <formula>E13="Grade 7 thru"</formula>
    </cfRule>
    <cfRule type="expression" dxfId="39" priority="3" stopIfTrue="1">
      <formula>E10&gt;99.99</formula>
    </cfRule>
  </conditionalFormatting>
  <pageMargins left="0.75" right="0.75" top="1" bottom="1" header="0.5" footer="0.5"/>
  <pageSetup orientation="portrait" r:id="rId1"/>
  <headerFooter alignWithMargins="0">
    <oddFooter>&amp;L&amp;F</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527FD5-B733-4DD1-AC04-46D8825C1188}">
  <sheetPr>
    <outlinePr summaryBelow="0" summaryRight="0"/>
    <pageSetUpPr fitToPage="1"/>
  </sheetPr>
  <dimension ref="A1:BG1019"/>
  <sheetViews>
    <sheetView workbookViewId="0">
      <selection activeCell="F36" sqref="F36"/>
    </sheetView>
  </sheetViews>
  <sheetFormatPr defaultColWidth="14.44140625" defaultRowHeight="15" customHeight="1" outlineLevelRow="1"/>
  <cols>
    <col min="1" max="1" width="12.44140625" customWidth="1"/>
    <col min="2" max="2" width="10.21875" customWidth="1"/>
    <col min="3" max="3" width="6" bestFit="1" customWidth="1"/>
    <col min="4" max="4" width="10.21875" bestFit="1" customWidth="1"/>
    <col min="5" max="5" width="6" bestFit="1" customWidth="1"/>
    <col min="6" max="6" width="10.6640625" bestFit="1" customWidth="1"/>
    <col min="7" max="7" width="7" bestFit="1" customWidth="1"/>
    <col min="8" max="8" width="10.21875" bestFit="1" customWidth="1"/>
    <col min="9" max="9" width="5.44140625" customWidth="1"/>
    <col min="10" max="10" width="10.21875" bestFit="1" customWidth="1"/>
    <col min="11" max="11" width="4.77734375" bestFit="1" customWidth="1"/>
    <col min="12" max="12" width="10.6640625" bestFit="1" customWidth="1"/>
    <col min="13" max="13" width="5.33203125" bestFit="1" customWidth="1"/>
    <col min="14" max="14" width="5.6640625" customWidth="1"/>
    <col min="15" max="15" width="10.21875" bestFit="1" customWidth="1"/>
    <col min="16" max="16" width="4.77734375" bestFit="1" customWidth="1"/>
    <col min="17" max="17" width="10.21875" bestFit="1" customWidth="1"/>
    <col min="18" max="18" width="4.77734375" bestFit="1" customWidth="1"/>
    <col min="19" max="19" width="10.6640625" bestFit="1" customWidth="1"/>
    <col min="20" max="20" width="4.77734375" bestFit="1" customWidth="1"/>
    <col min="21" max="21" width="19.109375" bestFit="1" customWidth="1"/>
    <col min="22" max="22" width="15.77734375" customWidth="1"/>
    <col min="23" max="24" width="10" customWidth="1"/>
    <col min="29" max="29" width="14" customWidth="1"/>
    <col min="33" max="33" width="14.21875" customWidth="1"/>
    <col min="41" max="41" width="20" customWidth="1"/>
    <col min="44" max="44" width="19.109375" customWidth="1"/>
  </cols>
  <sheetData>
    <row r="1" spans="1:52" ht="15" customHeight="1">
      <c r="A1" s="1189" t="s">
        <v>1418</v>
      </c>
      <c r="B1" s="1189"/>
      <c r="C1" s="1189"/>
      <c r="D1" s="1189"/>
      <c r="E1" s="1189"/>
      <c r="F1" s="1189"/>
      <c r="H1" s="1189" t="s">
        <v>1398</v>
      </c>
      <c r="I1" s="1189"/>
      <c r="J1" s="1189"/>
      <c r="K1" s="1189"/>
      <c r="L1" s="1189"/>
      <c r="M1" s="1189"/>
      <c r="O1" s="1190" t="s">
        <v>1418</v>
      </c>
      <c r="P1" s="1190"/>
      <c r="Q1" s="1190"/>
      <c r="R1" s="1190"/>
      <c r="S1" s="1190"/>
      <c r="T1" s="1190"/>
    </row>
    <row r="2" spans="1:52" ht="15" customHeight="1">
      <c r="A2" s="1189" t="s">
        <v>1399</v>
      </c>
      <c r="B2" s="1189"/>
      <c r="C2" s="1189"/>
      <c r="D2" s="1189"/>
      <c r="E2" s="1189"/>
      <c r="F2" s="1189"/>
      <c r="H2" s="1189"/>
      <c r="I2" s="1189"/>
      <c r="J2" s="1189"/>
      <c r="K2" s="1189"/>
      <c r="L2" s="1189"/>
      <c r="M2" s="1189"/>
      <c r="O2" s="1190" t="s">
        <v>1400</v>
      </c>
      <c r="P2" s="1190"/>
      <c r="Q2" s="1190"/>
      <c r="R2" s="1190"/>
      <c r="S2" s="1190"/>
      <c r="T2" s="1190"/>
    </row>
    <row r="3" spans="1:52" ht="15" customHeight="1">
      <c r="A3" s="1189" t="s">
        <v>422</v>
      </c>
      <c r="B3" s="1189"/>
      <c r="C3" s="1189"/>
      <c r="D3" s="1189"/>
      <c r="E3" s="1189"/>
      <c r="F3" s="1189"/>
      <c r="H3" s="1189" t="s">
        <v>422</v>
      </c>
      <c r="I3" s="1189"/>
      <c r="J3" s="1189"/>
      <c r="K3" s="1189"/>
      <c r="L3" s="1189"/>
      <c r="M3" s="1189"/>
      <c r="O3" s="1190" t="s">
        <v>421</v>
      </c>
      <c r="P3" s="1190"/>
      <c r="Q3" s="1190"/>
      <c r="R3" s="1190"/>
      <c r="S3" s="1190"/>
      <c r="T3" s="1190"/>
    </row>
    <row r="4" spans="1:52" ht="15" customHeight="1">
      <c r="A4" s="1127"/>
      <c r="B4" s="1127"/>
      <c r="C4" s="1127"/>
      <c r="D4" s="1127"/>
      <c r="E4" s="1127"/>
      <c r="F4" s="1127"/>
      <c r="H4" s="1127"/>
      <c r="I4" s="1127"/>
      <c r="J4" s="1127"/>
      <c r="K4" s="1127"/>
      <c r="L4" s="1127"/>
      <c r="M4" s="1127"/>
      <c r="O4" s="1190"/>
      <c r="P4" s="1190"/>
      <c r="Q4" s="1190"/>
      <c r="R4" s="1190"/>
      <c r="S4" s="1190"/>
      <c r="T4" s="1190"/>
    </row>
    <row r="5" spans="1:52" ht="15.6" customHeight="1">
      <c r="A5" s="1202" t="s">
        <v>1401</v>
      </c>
      <c r="B5" s="1202"/>
      <c r="C5" s="1202"/>
      <c r="D5" s="1202"/>
      <c r="E5" s="1127"/>
      <c r="F5" s="1203">
        <v>0</v>
      </c>
      <c r="H5" s="1189" t="s">
        <v>1402</v>
      </c>
      <c r="I5" s="1189"/>
      <c r="J5" s="1189"/>
      <c r="K5" s="1189"/>
      <c r="L5" s="1189"/>
      <c r="M5" s="1189"/>
      <c r="O5" s="1190" t="s">
        <v>1403</v>
      </c>
      <c r="P5" s="1190"/>
      <c r="Q5" s="1190"/>
      <c r="R5" s="1190"/>
      <c r="S5" s="1190"/>
      <c r="T5" s="1190"/>
      <c r="AJ5" s="862"/>
      <c r="AK5" s="862"/>
      <c r="AL5" s="861"/>
      <c r="AM5" s="861"/>
      <c r="AN5" s="861"/>
      <c r="AO5" s="861"/>
      <c r="AP5" s="861"/>
      <c r="AQ5" s="861"/>
      <c r="AR5" s="861"/>
      <c r="AS5" s="861"/>
      <c r="AT5" s="861"/>
      <c r="AU5" s="862"/>
      <c r="AV5" s="862"/>
      <c r="AW5" s="862"/>
      <c r="AX5" s="862"/>
      <c r="AY5" s="862"/>
      <c r="AZ5" s="862"/>
    </row>
    <row r="6" spans="1:52" ht="15.6">
      <c r="A6" s="1202"/>
      <c r="B6" s="1202"/>
      <c r="C6" s="1202"/>
      <c r="D6" s="1202"/>
      <c r="E6" s="1127"/>
      <c r="F6" s="1204"/>
      <c r="H6" s="1189"/>
      <c r="I6" s="1189"/>
      <c r="J6" s="1189"/>
      <c r="K6" s="1189"/>
      <c r="L6" s="1189"/>
      <c r="M6" s="1189"/>
      <c r="O6" s="1190"/>
      <c r="P6" s="1190"/>
      <c r="Q6" s="1190"/>
      <c r="R6" s="1190"/>
      <c r="S6" s="1190"/>
      <c r="T6" s="1190"/>
      <c r="AJ6" s="1123"/>
      <c r="AK6" s="1123"/>
      <c r="AL6" s="865"/>
      <c r="AM6" s="865"/>
      <c r="AN6" s="861"/>
      <c r="AO6" s="861"/>
      <c r="AP6" s="861"/>
      <c r="AQ6" s="861"/>
      <c r="AR6" s="861"/>
      <c r="AS6" s="861"/>
      <c r="AT6" s="861"/>
      <c r="AU6" s="862"/>
      <c r="AV6" s="862"/>
      <c r="AW6" s="862"/>
      <c r="AX6" s="862"/>
      <c r="AY6" s="862"/>
      <c r="AZ6" s="862"/>
    </row>
    <row r="7" spans="1:52" ht="15.6" customHeight="1">
      <c r="A7" s="1205" t="s">
        <v>1404</v>
      </c>
      <c r="B7" s="1205"/>
      <c r="C7" s="1205"/>
      <c r="D7" s="1205"/>
      <c r="E7" s="1205"/>
      <c r="F7" s="1205"/>
      <c r="H7" s="1127"/>
      <c r="I7" s="1127"/>
      <c r="J7" s="1127"/>
      <c r="K7" s="1127"/>
      <c r="L7" s="1127"/>
      <c r="M7" s="1127"/>
      <c r="O7" s="1128"/>
      <c r="P7" s="1128"/>
      <c r="Q7" s="1128"/>
      <c r="R7" s="1128"/>
      <c r="S7" s="1128"/>
      <c r="T7" s="1128"/>
      <c r="AJ7" s="862"/>
      <c r="AK7" s="862"/>
      <c r="AL7" s="865"/>
      <c r="AM7" s="865"/>
      <c r="AN7" s="861"/>
      <c r="AO7" s="861"/>
      <c r="AP7" s="861"/>
      <c r="AQ7" s="861"/>
      <c r="AR7" s="861"/>
      <c r="AS7" s="861"/>
      <c r="AT7" s="861"/>
      <c r="AU7" s="862"/>
      <c r="AV7" s="862"/>
      <c r="AW7" s="862"/>
      <c r="AX7" s="862"/>
      <c r="AY7" s="862"/>
      <c r="AZ7" s="862"/>
    </row>
    <row r="8" spans="1:52" ht="15.45" customHeight="1" thickBot="1">
      <c r="A8" s="1122" t="s">
        <v>1222</v>
      </c>
      <c r="B8" s="880" t="s">
        <v>1405</v>
      </c>
      <c r="C8" s="866"/>
      <c r="D8" s="880" t="s">
        <v>1406</v>
      </c>
      <c r="E8" s="866"/>
      <c r="F8" s="880" t="s">
        <v>1407</v>
      </c>
      <c r="H8" s="866" t="s">
        <v>1405</v>
      </c>
      <c r="I8" s="866"/>
      <c r="J8" s="866" t="s">
        <v>1406</v>
      </c>
      <c r="K8" s="866"/>
      <c r="L8" s="866" t="s">
        <v>1407</v>
      </c>
      <c r="N8" s="1122"/>
      <c r="O8" s="866" t="s">
        <v>1408</v>
      </c>
      <c r="P8" s="866"/>
      <c r="Q8" s="866" t="s">
        <v>1422</v>
      </c>
      <c r="R8" s="866"/>
      <c r="S8" s="866" t="s">
        <v>1410</v>
      </c>
      <c r="AJ8" s="863"/>
      <c r="AK8" s="863"/>
      <c r="AL8" s="865"/>
      <c r="AM8" s="865"/>
      <c r="AN8" s="861"/>
      <c r="AO8" s="861"/>
      <c r="AP8" s="861"/>
      <c r="AQ8" s="861"/>
      <c r="AR8" s="861"/>
      <c r="AS8" s="861"/>
      <c r="AT8" s="861"/>
      <c r="AU8" s="862"/>
      <c r="AV8" s="862"/>
      <c r="AW8" s="862"/>
      <c r="AX8" s="862"/>
      <c r="AY8" s="862"/>
      <c r="AZ8" s="862"/>
    </row>
    <row r="9" spans="1:52" ht="15.6">
      <c r="A9" s="864" t="s">
        <v>241</v>
      </c>
      <c r="B9" s="1129">
        <f t="shared" ref="B9:B21" si="0">B28</f>
        <v>47859</v>
      </c>
      <c r="C9" s="1130"/>
      <c r="D9" s="1129">
        <f t="shared" ref="D9:D21" si="1">D28</f>
        <v>47859</v>
      </c>
      <c r="E9" s="1130"/>
      <c r="F9" s="1129">
        <f t="shared" ref="F9:F21" si="2">F28</f>
        <v>47859</v>
      </c>
      <c r="H9" s="812">
        <f>+B9-B28</f>
        <v>0</v>
      </c>
      <c r="J9" s="812">
        <f t="shared" ref="J9" si="3">+D9-D28</f>
        <v>0</v>
      </c>
      <c r="L9" s="812">
        <f t="shared" ref="L9" si="4">+F9-F28</f>
        <v>0</v>
      </c>
      <c r="N9" s="864"/>
      <c r="O9" s="1131">
        <v>47101</v>
      </c>
      <c r="P9" s="812"/>
      <c r="Q9" s="1131">
        <v>47101</v>
      </c>
      <c r="R9" s="812"/>
      <c r="S9" s="1131">
        <v>47101</v>
      </c>
      <c r="AJ9" s="867"/>
      <c r="AK9" s="867"/>
      <c r="AL9" s="865"/>
      <c r="AM9" s="865"/>
      <c r="AN9" s="861"/>
      <c r="AO9" s="861"/>
      <c r="AP9" s="861"/>
      <c r="AQ9" s="861"/>
      <c r="AR9" s="861"/>
      <c r="AS9" s="861"/>
      <c r="AT9" s="861"/>
      <c r="AU9" s="862"/>
      <c r="AV9" s="862"/>
      <c r="AW9" s="862"/>
      <c r="AX9" s="862"/>
      <c r="AY9" s="862"/>
      <c r="AZ9" s="862"/>
    </row>
    <row r="10" spans="1:52" ht="15.6">
      <c r="A10" s="864" t="s">
        <v>460</v>
      </c>
      <c r="B10" s="1129">
        <f t="shared" si="0"/>
        <v>48859</v>
      </c>
      <c r="C10" s="1140">
        <f>1-(O9/B10)</f>
        <v>3.5981088438158837E-2</v>
      </c>
      <c r="D10" s="1129">
        <f t="shared" si="1"/>
        <v>48859</v>
      </c>
      <c r="E10" s="1140">
        <f>1-(Q9/D10)</f>
        <v>3.5981088438158837E-2</v>
      </c>
      <c r="F10" s="1129">
        <f t="shared" si="2"/>
        <v>48859</v>
      </c>
      <c r="G10" s="1140">
        <f>1-(S9/F10)</f>
        <v>3.5981088438158837E-2</v>
      </c>
      <c r="H10" s="812">
        <f t="shared" ref="H10:H21" si="5">+B10-B29</f>
        <v>0</v>
      </c>
      <c r="J10" s="812">
        <f t="shared" ref="J10:J21" si="6">+D10-D29</f>
        <v>0</v>
      </c>
      <c r="L10" s="812">
        <f t="shared" ref="L10:L20" si="7">+F10-F29</f>
        <v>0</v>
      </c>
      <c r="N10" s="864"/>
      <c r="O10" s="1131">
        <v>47845</v>
      </c>
      <c r="P10" s="812"/>
      <c r="Q10" s="1131">
        <v>47845</v>
      </c>
      <c r="R10" s="812"/>
      <c r="S10" s="1131">
        <v>47845</v>
      </c>
      <c r="AJ10" s="871"/>
      <c r="AK10" s="871"/>
      <c r="AL10" s="861"/>
      <c r="AM10" s="861"/>
      <c r="AN10" s="861"/>
      <c r="AO10" s="861"/>
      <c r="AP10" s="861"/>
      <c r="AQ10" s="861"/>
      <c r="AR10" s="861"/>
      <c r="AS10" s="861"/>
      <c r="AT10" s="861"/>
      <c r="AU10" s="862"/>
      <c r="AV10" s="862"/>
      <c r="AW10" s="862"/>
      <c r="AX10" s="862"/>
      <c r="AY10" s="862"/>
      <c r="AZ10" s="862"/>
    </row>
    <row r="11" spans="1:52" ht="15.6">
      <c r="A11" s="864" t="s">
        <v>461</v>
      </c>
      <c r="B11" s="1129">
        <f t="shared" si="0"/>
        <v>49859</v>
      </c>
      <c r="C11" s="1140">
        <f t="shared" ref="C11:C21" si="8">1-(O10/B11)</f>
        <v>4.0393910828536495E-2</v>
      </c>
      <c r="D11" s="1129">
        <f t="shared" si="1"/>
        <v>49859</v>
      </c>
      <c r="E11" s="1140">
        <f t="shared" ref="E11:E21" si="9">1-(Q10/D11)</f>
        <v>4.0393910828536495E-2</v>
      </c>
      <c r="F11" s="1129">
        <f t="shared" si="2"/>
        <v>49859</v>
      </c>
      <c r="G11" s="1140">
        <f t="shared" ref="G11:G20" si="10">1-(S10/F11)</f>
        <v>4.0393910828536495E-2</v>
      </c>
      <c r="H11" s="812">
        <f t="shared" si="5"/>
        <v>0</v>
      </c>
      <c r="J11" s="812">
        <f t="shared" si="6"/>
        <v>0</v>
      </c>
      <c r="L11" s="812">
        <f t="shared" si="7"/>
        <v>0</v>
      </c>
      <c r="N11" s="864"/>
      <c r="O11" s="1131">
        <v>48590</v>
      </c>
      <c r="P11" s="812"/>
      <c r="Q11" s="1131">
        <v>48590</v>
      </c>
      <c r="R11" s="812"/>
      <c r="S11" s="1131">
        <v>48590</v>
      </c>
      <c r="AJ11" s="871"/>
      <c r="AK11" s="871"/>
      <c r="AL11" s="861"/>
      <c r="AM11" s="861"/>
      <c r="AN11" s="861"/>
      <c r="AO11" s="861"/>
      <c r="AP11" s="861"/>
      <c r="AQ11" s="861"/>
      <c r="AR11" s="861"/>
      <c r="AS11" s="861"/>
      <c r="AT11" s="861"/>
      <c r="AU11" s="862"/>
      <c r="AV11" s="862"/>
      <c r="AW11" s="862"/>
      <c r="AX11" s="862"/>
      <c r="AY11" s="862"/>
      <c r="AZ11" s="862"/>
    </row>
    <row r="12" spans="1:52" ht="15.6">
      <c r="A12" s="864" t="s">
        <v>246</v>
      </c>
      <c r="B12" s="1129">
        <f t="shared" si="0"/>
        <v>50859</v>
      </c>
      <c r="C12" s="1140">
        <f t="shared" si="8"/>
        <v>4.4613539393224433E-2</v>
      </c>
      <c r="D12" s="1129">
        <f t="shared" si="1"/>
        <v>52859</v>
      </c>
      <c r="E12" s="1140">
        <f t="shared" si="9"/>
        <v>8.0762027280122606E-2</v>
      </c>
      <c r="F12" s="1129">
        <f t="shared" si="2"/>
        <v>54359</v>
      </c>
      <c r="G12" s="1140">
        <f>1-(S11/F12)</f>
        <v>0.10612778012840562</v>
      </c>
      <c r="H12" s="812">
        <f t="shared" si="5"/>
        <v>0</v>
      </c>
      <c r="J12" s="812">
        <f t="shared" si="6"/>
        <v>0</v>
      </c>
      <c r="L12" s="812">
        <f t="shared" si="7"/>
        <v>0</v>
      </c>
      <c r="N12" s="864"/>
      <c r="O12" s="1131">
        <v>49847</v>
      </c>
      <c r="P12" s="812"/>
      <c r="Q12" s="1131">
        <v>51847</v>
      </c>
      <c r="R12" s="812"/>
      <c r="S12" s="1131">
        <v>53347</v>
      </c>
      <c r="AJ12" s="871"/>
      <c r="AK12" s="871"/>
      <c r="AL12" s="861"/>
      <c r="AM12" s="861"/>
      <c r="AN12" s="861"/>
      <c r="AO12" s="861"/>
      <c r="AP12" s="861"/>
      <c r="AQ12" s="861"/>
      <c r="AR12" s="861"/>
      <c r="AS12" s="861"/>
      <c r="AT12" s="861"/>
      <c r="AU12" s="862"/>
      <c r="AV12" s="862"/>
      <c r="AW12" s="862"/>
      <c r="AX12" s="862"/>
      <c r="AY12" s="862"/>
      <c r="AZ12" s="862"/>
    </row>
    <row r="13" spans="1:52" ht="15.6">
      <c r="A13" s="864" t="s">
        <v>247</v>
      </c>
      <c r="B13" s="1129">
        <f t="shared" si="0"/>
        <v>52609</v>
      </c>
      <c r="C13" s="1140">
        <f t="shared" si="8"/>
        <v>5.2500522724248655E-2</v>
      </c>
      <c r="D13" s="1129">
        <f t="shared" si="1"/>
        <v>54609</v>
      </c>
      <c r="E13" s="1140">
        <f t="shared" si="9"/>
        <v>5.0577743595378033E-2</v>
      </c>
      <c r="F13" s="1129">
        <f t="shared" si="2"/>
        <v>56109</v>
      </c>
      <c r="G13" s="1140">
        <f t="shared" si="10"/>
        <v>4.9225614429057707E-2</v>
      </c>
      <c r="H13" s="812">
        <f t="shared" si="5"/>
        <v>0</v>
      </c>
      <c r="J13" s="812">
        <f t="shared" si="6"/>
        <v>0</v>
      </c>
      <c r="L13" s="812">
        <f t="shared" si="7"/>
        <v>0</v>
      </c>
      <c r="N13" s="864"/>
      <c r="O13" s="1131">
        <v>51661</v>
      </c>
      <c r="P13" s="812"/>
      <c r="Q13" s="1131">
        <v>53661</v>
      </c>
      <c r="R13" s="812"/>
      <c r="S13" s="1131">
        <v>55161</v>
      </c>
      <c r="AJ13" s="871"/>
      <c r="AK13" s="871"/>
      <c r="AL13" s="861"/>
      <c r="AM13" s="861"/>
      <c r="AN13" s="861"/>
      <c r="AO13" s="861"/>
      <c r="AP13" s="861"/>
      <c r="AQ13" s="861"/>
      <c r="AR13" s="861"/>
      <c r="AS13" s="861"/>
      <c r="AT13" s="861"/>
      <c r="AU13" s="862"/>
      <c r="AV13" s="862"/>
      <c r="AW13" s="862"/>
      <c r="AX13" s="862"/>
      <c r="AY13" s="862"/>
      <c r="AZ13" s="862"/>
    </row>
    <row r="14" spans="1:52" ht="15.6">
      <c r="A14" s="864" t="s">
        <v>248</v>
      </c>
      <c r="B14" s="1129">
        <f t="shared" si="0"/>
        <v>54359</v>
      </c>
      <c r="C14" s="1140">
        <f t="shared" si="8"/>
        <v>4.9632995456134199E-2</v>
      </c>
      <c r="D14" s="1129">
        <f t="shared" si="1"/>
        <v>56359</v>
      </c>
      <c r="E14" s="1140">
        <f t="shared" si="9"/>
        <v>4.7871679767206632E-2</v>
      </c>
      <c r="F14" s="1129">
        <f t="shared" si="2"/>
        <v>57859</v>
      </c>
      <c r="G14" s="1140">
        <f t="shared" si="10"/>
        <v>4.6630601980677144E-2</v>
      </c>
      <c r="H14" s="812">
        <f t="shared" si="5"/>
        <v>0</v>
      </c>
      <c r="J14" s="812">
        <f t="shared" si="6"/>
        <v>0</v>
      </c>
      <c r="L14" s="812">
        <f t="shared" si="7"/>
        <v>0</v>
      </c>
      <c r="N14" s="864"/>
      <c r="O14" s="1131">
        <v>53475</v>
      </c>
      <c r="P14" s="812"/>
      <c r="Q14" s="1131">
        <v>55475</v>
      </c>
      <c r="R14" s="812"/>
      <c r="S14" s="1131">
        <v>56975</v>
      </c>
      <c r="AJ14" s="871"/>
      <c r="AK14" s="871"/>
      <c r="AL14" s="861"/>
      <c r="AM14" s="861"/>
      <c r="AN14" s="861"/>
      <c r="AO14" s="861"/>
      <c r="AP14" s="861"/>
      <c r="AQ14" s="861"/>
      <c r="AR14" s="861"/>
      <c r="AS14" s="861"/>
      <c r="AT14" s="861"/>
      <c r="AU14" s="862"/>
      <c r="AV14" s="862"/>
      <c r="AW14" s="862"/>
      <c r="AX14" s="862"/>
      <c r="AY14" s="862"/>
      <c r="AZ14" s="862"/>
    </row>
    <row r="15" spans="1:52" ht="15.6">
      <c r="A15" s="864" t="s">
        <v>249</v>
      </c>
      <c r="B15" s="1129">
        <f t="shared" si="0"/>
        <v>56109</v>
      </c>
      <c r="C15" s="1140">
        <f t="shared" si="8"/>
        <v>4.6944340480136848E-2</v>
      </c>
      <c r="D15" s="1129">
        <f t="shared" si="1"/>
        <v>58109</v>
      </c>
      <c r="E15" s="1140">
        <f t="shared" si="9"/>
        <v>4.5328606584178033E-2</v>
      </c>
      <c r="F15" s="1129">
        <f t="shared" si="2"/>
        <v>59609</v>
      </c>
      <c r="G15" s="1140">
        <f t="shared" si="10"/>
        <v>4.418795819423238E-2</v>
      </c>
      <c r="H15" s="812">
        <f t="shared" si="5"/>
        <v>0</v>
      </c>
      <c r="J15" s="812">
        <f t="shared" si="6"/>
        <v>0</v>
      </c>
      <c r="L15" s="812">
        <f t="shared" si="7"/>
        <v>0</v>
      </c>
      <c r="N15" s="864"/>
      <c r="O15" s="1131">
        <v>55289</v>
      </c>
      <c r="P15" s="812"/>
      <c r="Q15" s="1131">
        <v>57289</v>
      </c>
      <c r="R15" s="812"/>
      <c r="S15" s="1131">
        <v>58789</v>
      </c>
      <c r="AJ15" s="871"/>
      <c r="AK15" s="871"/>
      <c r="AL15" s="861"/>
      <c r="AM15" s="861"/>
      <c r="AN15" s="861"/>
      <c r="AO15" s="861"/>
      <c r="AP15" s="861"/>
      <c r="AQ15" s="861"/>
      <c r="AR15" s="861"/>
      <c r="AS15" s="861"/>
      <c r="AT15" s="861"/>
      <c r="AU15" s="862"/>
      <c r="AV15" s="862"/>
      <c r="AW15" s="862"/>
      <c r="AX15" s="862"/>
      <c r="AY15" s="862"/>
      <c r="AZ15" s="862"/>
    </row>
    <row r="16" spans="1:52" ht="15.6">
      <c r="A16" s="864" t="s">
        <v>250</v>
      </c>
      <c r="B16" s="1129">
        <f t="shared" si="0"/>
        <v>57859</v>
      </c>
      <c r="C16" s="1140">
        <f t="shared" si="8"/>
        <v>4.4418327312950479E-2</v>
      </c>
      <c r="D16" s="1129">
        <f t="shared" si="1"/>
        <v>59859</v>
      </c>
      <c r="E16" s="1140">
        <f t="shared" si="9"/>
        <v>4.2934228770945104E-2</v>
      </c>
      <c r="F16" s="1129">
        <f t="shared" si="2"/>
        <v>61359</v>
      </c>
      <c r="G16" s="1140">
        <f t="shared" si="10"/>
        <v>4.188464609918674E-2</v>
      </c>
      <c r="H16" s="812">
        <f t="shared" si="5"/>
        <v>0</v>
      </c>
      <c r="J16" s="812">
        <f t="shared" si="6"/>
        <v>0</v>
      </c>
      <c r="L16" s="812">
        <f t="shared" si="7"/>
        <v>0</v>
      </c>
      <c r="N16" s="864"/>
      <c r="O16" s="1131">
        <v>57102</v>
      </c>
      <c r="P16" s="812"/>
      <c r="Q16" s="1131">
        <v>59102</v>
      </c>
      <c r="R16" s="812"/>
      <c r="S16" s="1131">
        <v>60602</v>
      </c>
      <c r="AJ16" s="871"/>
      <c r="AK16" s="871"/>
      <c r="AL16" s="861"/>
      <c r="AM16" s="861"/>
      <c r="AN16" s="861"/>
      <c r="AO16" s="861"/>
      <c r="AP16" s="861"/>
      <c r="AQ16" s="861"/>
      <c r="AR16" s="861"/>
      <c r="AS16" s="861"/>
      <c r="AT16" s="861"/>
      <c r="AU16" s="862"/>
      <c r="AV16" s="862"/>
      <c r="AW16" s="862"/>
      <c r="AX16" s="862"/>
      <c r="AY16" s="862"/>
      <c r="AZ16" s="862"/>
    </row>
    <row r="17" spans="1:59" ht="15.6">
      <c r="A17" s="864" t="s">
        <v>440</v>
      </c>
      <c r="B17" s="1129">
        <f t="shared" si="0"/>
        <v>61359</v>
      </c>
      <c r="C17" s="1140">
        <f t="shared" si="8"/>
        <v>6.9378575270131471E-2</v>
      </c>
      <c r="D17" s="1129">
        <f t="shared" si="1"/>
        <v>63359</v>
      </c>
      <c r="E17" s="1140">
        <f t="shared" si="9"/>
        <v>6.7188560425511801E-2</v>
      </c>
      <c r="F17" s="1129">
        <f t="shared" si="2"/>
        <v>64859</v>
      </c>
      <c r="G17" s="1140">
        <f t="shared" si="10"/>
        <v>6.5634684469387472E-2</v>
      </c>
      <c r="H17" s="812">
        <f t="shared" si="5"/>
        <v>0</v>
      </c>
      <c r="J17" s="812">
        <f t="shared" si="6"/>
        <v>0</v>
      </c>
      <c r="L17" s="812">
        <f t="shared" si="7"/>
        <v>0</v>
      </c>
      <c r="N17" s="864"/>
      <c r="O17" s="1131">
        <v>59837</v>
      </c>
      <c r="P17" s="812"/>
      <c r="Q17" s="1131">
        <v>61837</v>
      </c>
      <c r="R17" s="812"/>
      <c r="S17" s="1131">
        <v>63337</v>
      </c>
      <c r="AJ17" s="871"/>
      <c r="AK17" s="871"/>
      <c r="AL17" s="861"/>
      <c r="AM17" s="861"/>
      <c r="AN17" s="861"/>
      <c r="AO17" s="861"/>
      <c r="AP17" s="861"/>
      <c r="AQ17" s="861"/>
      <c r="AR17" s="861"/>
      <c r="AS17" s="861"/>
      <c r="AT17" s="861"/>
      <c r="AU17" s="862"/>
      <c r="AV17" s="862"/>
      <c r="AW17" s="862"/>
      <c r="AX17" s="862"/>
      <c r="AY17" s="862"/>
      <c r="AZ17" s="862"/>
    </row>
    <row r="18" spans="1:59" ht="15.6">
      <c r="A18" s="864" t="s">
        <v>441</v>
      </c>
      <c r="B18" s="1129">
        <f t="shared" si="0"/>
        <v>63359</v>
      </c>
      <c r="C18" s="1140">
        <f t="shared" si="8"/>
        <v>5.5587998547956929E-2</v>
      </c>
      <c r="D18" s="1129">
        <f t="shared" si="1"/>
        <v>65359</v>
      </c>
      <c r="E18" s="1140">
        <f t="shared" si="9"/>
        <v>5.3886993375051651E-2</v>
      </c>
      <c r="F18" s="1129">
        <f t="shared" si="2"/>
        <v>66859</v>
      </c>
      <c r="G18" s="1140">
        <f t="shared" si="10"/>
        <v>5.2678023901045479E-2</v>
      </c>
      <c r="H18" s="812">
        <f t="shared" si="5"/>
        <v>0</v>
      </c>
      <c r="J18" s="812">
        <f t="shared" si="6"/>
        <v>0</v>
      </c>
      <c r="L18" s="812">
        <f t="shared" si="7"/>
        <v>0</v>
      </c>
      <c r="N18" s="864"/>
      <c r="O18" s="1131">
        <v>60801</v>
      </c>
      <c r="P18" s="812"/>
      <c r="Q18" s="1131">
        <v>62801</v>
      </c>
      <c r="R18" s="812"/>
      <c r="S18" s="1131">
        <v>64301</v>
      </c>
      <c r="AJ18" s="871"/>
      <c r="AK18" s="871"/>
      <c r="AL18" s="861"/>
      <c r="AM18" s="861"/>
      <c r="AN18" s="861"/>
      <c r="AO18" s="861"/>
      <c r="AP18" s="861"/>
      <c r="AQ18" s="861"/>
      <c r="AR18" s="861"/>
      <c r="AS18" s="861"/>
      <c r="AT18" s="861"/>
      <c r="AU18" s="862"/>
      <c r="AV18" s="862"/>
      <c r="AW18" s="862"/>
      <c r="AX18" s="862"/>
      <c r="AY18" s="862"/>
      <c r="AZ18" s="862"/>
    </row>
    <row r="19" spans="1:59" ht="15.6">
      <c r="A19" s="864" t="s">
        <v>442</v>
      </c>
      <c r="B19" s="1129">
        <f t="shared" si="0"/>
        <v>65359</v>
      </c>
      <c r="C19" s="1140">
        <f t="shared" si="8"/>
        <v>6.9737909086736383E-2</v>
      </c>
      <c r="D19" s="1129">
        <f t="shared" si="1"/>
        <v>67359</v>
      </c>
      <c r="E19" s="1140">
        <f t="shared" si="9"/>
        <v>6.7667275345536626E-2</v>
      </c>
      <c r="F19" s="1129">
        <f t="shared" si="2"/>
        <v>68859</v>
      </c>
      <c r="G19" s="1140">
        <f t="shared" si="10"/>
        <v>6.619323545215583E-2</v>
      </c>
      <c r="H19" s="812">
        <f t="shared" si="5"/>
        <v>0</v>
      </c>
      <c r="J19" s="812">
        <f t="shared" si="6"/>
        <v>0</v>
      </c>
      <c r="L19" s="812">
        <f t="shared" si="7"/>
        <v>0</v>
      </c>
      <c r="N19" s="864"/>
      <c r="O19" s="1131">
        <v>61748</v>
      </c>
      <c r="P19" s="812"/>
      <c r="Q19" s="1131">
        <v>63748</v>
      </c>
      <c r="R19" s="812"/>
      <c r="S19" s="1131">
        <v>65248</v>
      </c>
      <c r="AJ19" s="871"/>
      <c r="AK19" s="871"/>
      <c r="AL19" s="861"/>
      <c r="AM19" s="861"/>
      <c r="AN19" s="861"/>
      <c r="AO19" s="861"/>
      <c r="AP19" s="861"/>
      <c r="AQ19" s="861"/>
      <c r="AR19" s="861"/>
      <c r="AS19" s="861"/>
      <c r="AT19" s="861"/>
      <c r="AU19" s="862"/>
      <c r="AV19" s="862"/>
      <c r="AW19" s="862"/>
      <c r="AX19" s="862"/>
      <c r="AY19" s="862"/>
      <c r="AZ19" s="862"/>
    </row>
    <row r="20" spans="1:59" ht="15.6">
      <c r="A20" s="864" t="s">
        <v>443</v>
      </c>
      <c r="B20" s="1129">
        <f t="shared" si="0"/>
        <v>67359</v>
      </c>
      <c r="C20" s="1140">
        <f t="shared" si="8"/>
        <v>8.3299930224617347E-2</v>
      </c>
      <c r="D20" s="1129">
        <f t="shared" si="1"/>
        <v>69359</v>
      </c>
      <c r="E20" s="1140">
        <f t="shared" si="9"/>
        <v>8.0897936821465177E-2</v>
      </c>
      <c r="F20" s="1129">
        <f t="shared" si="2"/>
        <v>70859</v>
      </c>
      <c r="G20" s="1140">
        <f t="shared" si="10"/>
        <v>7.9185424575565544E-2</v>
      </c>
      <c r="H20" s="812">
        <f t="shared" si="5"/>
        <v>0</v>
      </c>
      <c r="J20" s="812">
        <f t="shared" si="6"/>
        <v>0</v>
      </c>
      <c r="L20" s="812">
        <f t="shared" si="7"/>
        <v>0</v>
      </c>
      <c r="N20" s="864"/>
      <c r="O20" s="1131">
        <v>64972</v>
      </c>
      <c r="P20" s="812"/>
      <c r="Q20" s="1131">
        <v>66972</v>
      </c>
      <c r="R20" s="812"/>
      <c r="S20" s="1131">
        <v>68472</v>
      </c>
      <c r="AJ20" s="871"/>
      <c r="AK20" s="871"/>
      <c r="AL20" s="861"/>
      <c r="AM20" s="861"/>
      <c r="AN20" s="861"/>
      <c r="AO20" s="861"/>
      <c r="AP20" s="861"/>
      <c r="AQ20" s="861"/>
      <c r="AR20" s="861"/>
      <c r="AS20" s="861"/>
      <c r="AT20" s="861"/>
      <c r="AU20" s="862"/>
      <c r="AV20" s="862"/>
      <c r="AW20" s="862"/>
      <c r="AX20" s="862"/>
      <c r="AY20" s="862"/>
      <c r="AZ20" s="862"/>
    </row>
    <row r="21" spans="1:59" ht="15.6">
      <c r="A21" s="864" t="s">
        <v>444</v>
      </c>
      <c r="B21" s="1129">
        <f t="shared" si="0"/>
        <v>69359</v>
      </c>
      <c r="C21" s="1140">
        <f t="shared" si="8"/>
        <v>6.3250623567237096E-2</v>
      </c>
      <c r="D21" s="1129">
        <f t="shared" si="1"/>
        <v>71359</v>
      </c>
      <c r="E21" s="1140">
        <f t="shared" si="9"/>
        <v>6.1477879454588824E-2</v>
      </c>
      <c r="F21" s="1129">
        <f t="shared" si="2"/>
        <v>72859</v>
      </c>
      <c r="G21" s="1140">
        <f>1-(S20/F21)</f>
        <v>6.0212190669649557E-2</v>
      </c>
      <c r="H21" s="812">
        <f t="shared" si="5"/>
        <v>0</v>
      </c>
      <c r="J21" s="812">
        <f t="shared" si="6"/>
        <v>0</v>
      </c>
      <c r="L21" s="812">
        <f>+F21-F40</f>
        <v>0</v>
      </c>
      <c r="N21" s="864"/>
      <c r="O21" s="1132" t="s">
        <v>1411</v>
      </c>
      <c r="P21" s="812"/>
      <c r="Q21" s="1132" t="s">
        <v>1411</v>
      </c>
      <c r="R21" s="812"/>
      <c r="S21" s="1132" t="s">
        <v>1411</v>
      </c>
      <c r="AJ21" s="871"/>
      <c r="AK21" s="871"/>
      <c r="AL21" s="861"/>
      <c r="AM21" s="861"/>
      <c r="AN21" s="861"/>
      <c r="AO21" s="861"/>
      <c r="AP21" s="861"/>
      <c r="AQ21" s="861"/>
      <c r="AR21" s="861"/>
      <c r="AS21" s="861"/>
      <c r="AT21" s="861"/>
      <c r="AU21" s="862"/>
      <c r="AV21" s="862"/>
      <c r="AW21" s="862"/>
      <c r="AX21" s="862"/>
      <c r="AY21" s="862"/>
      <c r="AZ21" s="862"/>
    </row>
    <row r="22" spans="1:59" ht="15.6">
      <c r="AJ22" s="862"/>
      <c r="AK22" s="862"/>
      <c r="AL22" s="861"/>
      <c r="AM22" s="861"/>
      <c r="AN22" s="861"/>
      <c r="AO22" s="861"/>
      <c r="AP22" s="861"/>
      <c r="AQ22" s="861"/>
      <c r="AR22" s="861"/>
      <c r="AS22" s="861"/>
      <c r="AT22" s="861"/>
      <c r="AU22" s="862"/>
      <c r="AV22" s="862"/>
      <c r="AW22" s="862"/>
      <c r="AX22" s="862"/>
      <c r="AY22" s="862"/>
      <c r="AZ22" s="862"/>
    </row>
    <row r="23" spans="1:59" ht="15.75" customHeight="1" outlineLevel="1">
      <c r="AJ23" s="862"/>
      <c r="AK23" s="862"/>
      <c r="AL23" s="861"/>
      <c r="AM23" s="861"/>
      <c r="AN23" s="861"/>
      <c r="AO23" s="861"/>
      <c r="AP23" s="861"/>
      <c r="AQ23" s="861"/>
      <c r="AR23" s="861"/>
      <c r="AS23" s="861"/>
      <c r="AT23" s="861"/>
      <c r="AU23" s="862"/>
      <c r="AV23" s="862"/>
      <c r="AW23" s="862"/>
      <c r="AX23" s="862"/>
      <c r="AY23" s="862"/>
      <c r="AZ23" s="862"/>
      <c r="BA23" s="862"/>
      <c r="BB23" s="862"/>
      <c r="BC23" s="862"/>
      <c r="BD23" s="862"/>
      <c r="BE23" s="862"/>
      <c r="BF23" s="862"/>
      <c r="BG23" s="862"/>
    </row>
    <row r="24" spans="1:59" ht="15.45" customHeight="1" outlineLevel="1">
      <c r="A24" s="1127"/>
      <c r="B24" s="1127"/>
      <c r="C24" s="1127"/>
      <c r="D24" s="1127"/>
      <c r="E24" s="1127"/>
      <c r="F24" s="1127"/>
      <c r="H24" s="1127"/>
      <c r="I24" s="1127"/>
      <c r="J24" s="1127"/>
      <c r="K24" s="1127"/>
      <c r="L24" s="1127"/>
      <c r="M24" s="1127"/>
      <c r="O24" s="1127"/>
      <c r="P24" s="1127"/>
      <c r="Q24" s="1127"/>
      <c r="R24" s="1127"/>
      <c r="S24" s="1127"/>
      <c r="T24" s="1127"/>
      <c r="AJ24" s="862"/>
      <c r="AK24" s="862"/>
      <c r="AL24" s="861"/>
      <c r="AM24" s="861"/>
      <c r="AN24" s="861"/>
      <c r="AO24" s="861"/>
      <c r="AP24" s="861"/>
      <c r="AQ24" s="861"/>
      <c r="AR24" s="861"/>
      <c r="AS24" s="861"/>
      <c r="AT24" s="861"/>
      <c r="AU24" s="862"/>
      <c r="AV24" s="862"/>
      <c r="AW24" s="862"/>
      <c r="AX24" s="862"/>
      <c r="AY24" s="862"/>
      <c r="AZ24" s="862"/>
      <c r="BA24" s="862"/>
      <c r="BB24" s="862"/>
      <c r="BC24" s="862"/>
      <c r="BD24" s="862"/>
      <c r="BE24" s="862"/>
      <c r="BF24" s="862"/>
      <c r="BG24" s="862"/>
    </row>
    <row r="25" spans="1:59" ht="15.6" customHeight="1" outlineLevel="1">
      <c r="A25" s="1127"/>
      <c r="B25" s="1127"/>
      <c r="C25" s="1127"/>
      <c r="D25" s="1127"/>
      <c r="E25" s="1127"/>
      <c r="F25" s="1127"/>
      <c r="H25" s="1189" t="s">
        <v>1412</v>
      </c>
      <c r="I25" s="1189"/>
      <c r="J25" s="1189"/>
      <c r="K25" s="1189"/>
      <c r="L25" s="1189"/>
      <c r="M25" s="1189"/>
      <c r="O25" s="1189" t="s">
        <v>1413</v>
      </c>
      <c r="P25" s="1189"/>
      <c r="Q25" s="1189"/>
      <c r="R25" s="1189"/>
      <c r="S25" s="1189"/>
      <c r="T25" s="1189"/>
      <c r="AJ25" s="862"/>
      <c r="AK25" s="862"/>
      <c r="AL25" s="861"/>
      <c r="AM25" s="861"/>
      <c r="AN25" s="861"/>
      <c r="AO25" s="861"/>
      <c r="AP25" s="861"/>
      <c r="AQ25" s="861"/>
      <c r="AR25" s="861"/>
      <c r="AS25" s="861"/>
      <c r="AT25" s="861"/>
      <c r="AU25" s="862"/>
      <c r="AV25" s="862"/>
      <c r="AW25" s="862"/>
      <c r="AX25" s="862"/>
      <c r="AY25" s="862"/>
      <c r="AZ25" s="862"/>
      <c r="BA25" s="862"/>
      <c r="BB25" s="862"/>
      <c r="BC25" s="862"/>
      <c r="BD25" s="862"/>
      <c r="BE25" s="862"/>
      <c r="BF25" s="862"/>
      <c r="BG25" s="862"/>
    </row>
    <row r="26" spans="1:59" ht="15.75" customHeight="1" outlineLevel="1">
      <c r="A26" s="1193" t="s">
        <v>1414</v>
      </c>
      <c r="B26" s="1193"/>
      <c r="C26" s="1193"/>
      <c r="D26" s="1193"/>
      <c r="E26" s="1193"/>
      <c r="F26" s="1193"/>
      <c r="H26" s="1127" t="s">
        <v>1415</v>
      </c>
      <c r="I26" s="1127" t="s">
        <v>1416</v>
      </c>
      <c r="J26" s="1127" t="s">
        <v>1415</v>
      </c>
      <c r="K26" s="1127" t="s">
        <v>1416</v>
      </c>
      <c r="L26" s="1127" t="s">
        <v>1415</v>
      </c>
      <c r="M26" s="1127" t="s">
        <v>1416</v>
      </c>
      <c r="O26" s="1127" t="s">
        <v>1415</v>
      </c>
      <c r="P26" s="1127" t="s">
        <v>1416</v>
      </c>
      <c r="Q26" s="1127" t="s">
        <v>1415</v>
      </c>
      <c r="R26" s="1127" t="s">
        <v>1416</v>
      </c>
      <c r="S26" s="1127" t="s">
        <v>1415</v>
      </c>
      <c r="T26" s="1127" t="s">
        <v>1416</v>
      </c>
      <c r="AJ26" s="862"/>
      <c r="AK26" s="862"/>
      <c r="AL26" s="861"/>
      <c r="AM26" s="861"/>
      <c r="AN26" s="861"/>
      <c r="AO26" s="861"/>
      <c r="AP26" s="861"/>
      <c r="AQ26" s="861"/>
      <c r="AR26" s="861"/>
      <c r="AS26" s="861"/>
      <c r="AT26" s="861"/>
      <c r="AU26" s="862"/>
      <c r="AV26" s="862"/>
      <c r="AW26" s="862"/>
      <c r="AX26" s="862"/>
      <c r="AY26" s="862"/>
      <c r="AZ26" s="862"/>
      <c r="BA26" s="862"/>
      <c r="BB26" s="862"/>
      <c r="BC26" s="862"/>
      <c r="BD26" s="862"/>
      <c r="BE26" s="862"/>
      <c r="BF26" s="862"/>
      <c r="BG26" s="862"/>
    </row>
    <row r="27" spans="1:59" ht="15.75" customHeight="1" outlineLevel="1" thickBot="1">
      <c r="A27" s="1122" t="s">
        <v>1222</v>
      </c>
      <c r="B27" s="866" t="s">
        <v>1405</v>
      </c>
      <c r="C27" s="866"/>
      <c r="D27" s="866" t="s">
        <v>1406</v>
      </c>
      <c r="E27" s="866"/>
      <c r="F27" s="866" t="s">
        <v>1407</v>
      </c>
      <c r="H27" s="866" t="s">
        <v>1405</v>
      </c>
      <c r="I27" s="866"/>
      <c r="J27" s="866" t="s">
        <v>1406</v>
      </c>
      <c r="K27" s="866"/>
      <c r="L27" s="866" t="s">
        <v>1407</v>
      </c>
      <c r="M27" s="880"/>
      <c r="O27" s="866" t="s">
        <v>1405</v>
      </c>
      <c r="P27" s="866"/>
      <c r="Q27" s="866" t="s">
        <v>1406</v>
      </c>
      <c r="R27" s="866"/>
      <c r="S27" s="866" t="s">
        <v>1407</v>
      </c>
      <c r="T27" s="880"/>
      <c r="AJ27" s="862"/>
      <c r="AK27" s="862"/>
      <c r="AL27" s="861"/>
      <c r="AM27" s="861"/>
      <c r="AN27" s="861"/>
      <c r="AO27" s="861"/>
      <c r="AP27" s="861"/>
      <c r="AQ27" s="861"/>
      <c r="AR27" s="861"/>
      <c r="AS27" s="861"/>
      <c r="AT27" s="861"/>
      <c r="AU27" s="862"/>
      <c r="AV27" s="862"/>
      <c r="AW27" s="862"/>
      <c r="AX27" s="862"/>
      <c r="AY27" s="862"/>
      <c r="AZ27" s="862"/>
      <c r="BA27" s="862"/>
      <c r="BB27" s="862"/>
      <c r="BC27" s="862"/>
      <c r="BD27" s="862"/>
      <c r="BE27" s="862"/>
      <c r="BF27" s="862"/>
      <c r="BG27" s="862"/>
    </row>
    <row r="28" spans="1:59" ht="15.75" customHeight="1" outlineLevel="1">
      <c r="A28" s="864" t="s">
        <v>241</v>
      </c>
      <c r="B28" s="812">
        <v>47859</v>
      </c>
      <c r="C28" s="812"/>
      <c r="D28" s="1133">
        <v>47859</v>
      </c>
      <c r="E28" s="1133"/>
      <c r="F28" s="1133">
        <v>47859</v>
      </c>
      <c r="H28" s="1134" t="s">
        <v>1411</v>
      </c>
      <c r="I28" s="1134" t="s">
        <v>1411</v>
      </c>
      <c r="J28" s="1134" t="s">
        <v>1411</v>
      </c>
      <c r="K28" s="1134" t="s">
        <v>1411</v>
      </c>
      <c r="L28" s="1134" t="s">
        <v>1411</v>
      </c>
      <c r="M28" s="1134" t="s">
        <v>1411</v>
      </c>
      <c r="O28" s="812">
        <f t="shared" ref="O28:O39" si="11">+B28-B48</f>
        <v>382</v>
      </c>
      <c r="P28" s="1135">
        <f t="shared" ref="P28:P39" si="12">+O28/B48</f>
        <v>8.0460012216441654E-3</v>
      </c>
      <c r="Q28" s="812">
        <f t="shared" ref="Q28:Q39" si="13">+D28-D48</f>
        <v>382</v>
      </c>
      <c r="R28" s="1135">
        <f t="shared" ref="R28:R39" si="14">+Q28/D48</f>
        <v>8.0460012216441654E-3</v>
      </c>
      <c r="S28" s="812">
        <f t="shared" ref="S28:S39" si="15">+F28-F48</f>
        <v>382</v>
      </c>
      <c r="T28" s="1135">
        <f t="shared" ref="T28:T39" si="16">+S28/F48</f>
        <v>8.0460012216441654E-3</v>
      </c>
      <c r="AJ28" s="862"/>
      <c r="AK28" s="862"/>
      <c r="AL28" s="861"/>
      <c r="AM28" s="861"/>
      <c r="AN28" s="861"/>
      <c r="AO28" s="861"/>
      <c r="AP28" s="861"/>
      <c r="AQ28" s="861"/>
      <c r="AR28" s="861"/>
      <c r="AS28" s="861"/>
      <c r="AT28" s="861"/>
      <c r="AU28" s="862"/>
      <c r="AV28" s="862"/>
      <c r="AW28" s="862"/>
      <c r="AX28" s="862"/>
      <c r="AY28" s="862"/>
      <c r="AZ28" s="862"/>
      <c r="BA28" s="862"/>
      <c r="BB28" s="862"/>
      <c r="BC28" s="862"/>
      <c r="BD28" s="862"/>
      <c r="BE28" s="862"/>
      <c r="BF28" s="862"/>
      <c r="BG28" s="862"/>
    </row>
    <row r="29" spans="1:59" ht="15.75" customHeight="1" outlineLevel="1">
      <c r="A29" s="864" t="s">
        <v>460</v>
      </c>
      <c r="B29" s="812">
        <v>48859</v>
      </c>
      <c r="C29" s="812"/>
      <c r="D29" s="1133">
        <v>48859</v>
      </c>
      <c r="E29" s="1133"/>
      <c r="F29" s="1133">
        <v>48859</v>
      </c>
      <c r="H29" s="812">
        <f t="shared" ref="H29:H40" si="17">+B29-B48</f>
        <v>1382</v>
      </c>
      <c r="I29" s="1135">
        <f t="shared" ref="I29:I40" si="18">+H29/B48</f>
        <v>2.9108831644796426E-2</v>
      </c>
      <c r="J29" s="812">
        <f t="shared" ref="J29:J40" si="19">+D29-D48</f>
        <v>1382</v>
      </c>
      <c r="K29" s="1135">
        <f t="shared" ref="K29:K40" si="20">+J29/D48</f>
        <v>2.9108831644796426E-2</v>
      </c>
      <c r="L29" s="812">
        <f t="shared" ref="L29:L40" si="21">+F29-F48</f>
        <v>1382</v>
      </c>
      <c r="M29" s="1135">
        <f t="shared" ref="M29:M40" si="22">+L29/F48</f>
        <v>2.9108831644796426E-2</v>
      </c>
      <c r="O29" s="812">
        <f t="shared" si="11"/>
        <v>512</v>
      </c>
      <c r="P29" s="1135">
        <f t="shared" si="12"/>
        <v>1.0590109003661034E-2</v>
      </c>
      <c r="Q29" s="812">
        <f t="shared" si="13"/>
        <v>512</v>
      </c>
      <c r="R29" s="1135">
        <f t="shared" si="14"/>
        <v>1.0590109003661034E-2</v>
      </c>
      <c r="S29" s="812">
        <f t="shared" si="15"/>
        <v>512</v>
      </c>
      <c r="T29" s="1135">
        <f t="shared" si="16"/>
        <v>1.0590109003661034E-2</v>
      </c>
      <c r="AJ29" s="862"/>
      <c r="AK29" s="862"/>
      <c r="AL29" s="861"/>
      <c r="AM29" s="861"/>
      <c r="AN29" s="861"/>
      <c r="AO29" s="861"/>
      <c r="AP29" s="861"/>
      <c r="AQ29" s="861"/>
      <c r="AR29" s="861"/>
      <c r="AS29" s="861"/>
      <c r="AT29" s="861"/>
      <c r="AU29" s="862"/>
      <c r="AV29" s="862"/>
      <c r="AW29" s="862"/>
      <c r="AX29" s="862"/>
      <c r="AY29" s="862"/>
      <c r="AZ29" s="862"/>
      <c r="BA29" s="862"/>
      <c r="BB29" s="862"/>
      <c r="BC29" s="862"/>
      <c r="BD29" s="862"/>
      <c r="BE29" s="862"/>
      <c r="BF29" s="862"/>
      <c r="BG29" s="862"/>
    </row>
    <row r="30" spans="1:59" ht="15.75" customHeight="1" outlineLevel="1">
      <c r="A30" s="864" t="s">
        <v>461</v>
      </c>
      <c r="B30" s="812">
        <v>49859</v>
      </c>
      <c r="C30" s="812"/>
      <c r="D30" s="1133">
        <v>49859</v>
      </c>
      <c r="E30" s="1133"/>
      <c r="F30" s="1133">
        <v>49859</v>
      </c>
      <c r="H30" s="812">
        <f t="shared" si="17"/>
        <v>1512</v>
      </c>
      <c r="I30" s="1135">
        <f t="shared" si="18"/>
        <v>3.1273915651436487E-2</v>
      </c>
      <c r="J30" s="812">
        <f t="shared" si="19"/>
        <v>1512</v>
      </c>
      <c r="K30" s="1135">
        <f t="shared" si="20"/>
        <v>3.1273915651436487E-2</v>
      </c>
      <c r="L30" s="812">
        <f t="shared" si="21"/>
        <v>1512</v>
      </c>
      <c r="M30" s="1135">
        <f t="shared" si="22"/>
        <v>3.1273915651436487E-2</v>
      </c>
      <c r="O30" s="812">
        <f t="shared" si="11"/>
        <v>640</v>
      </c>
      <c r="P30" s="1135">
        <f t="shared" si="12"/>
        <v>1.3003108555639083E-2</v>
      </c>
      <c r="Q30" s="812">
        <f t="shared" si="13"/>
        <v>640</v>
      </c>
      <c r="R30" s="1135">
        <f t="shared" si="14"/>
        <v>1.3003108555639083E-2</v>
      </c>
      <c r="S30" s="812">
        <f t="shared" si="15"/>
        <v>640</v>
      </c>
      <c r="T30" s="1135">
        <f t="shared" si="16"/>
        <v>1.3003108555639083E-2</v>
      </c>
      <c r="AJ30" s="862"/>
      <c r="AK30" s="862"/>
      <c r="AL30" s="861"/>
      <c r="AM30" s="861"/>
      <c r="AN30" s="861"/>
      <c r="AO30" s="861"/>
      <c r="AP30" s="861"/>
      <c r="AQ30" s="861"/>
      <c r="AR30" s="861"/>
      <c r="AS30" s="861"/>
      <c r="AT30" s="861"/>
      <c r="AU30" s="862"/>
      <c r="AV30" s="862"/>
      <c r="AW30" s="862"/>
      <c r="AX30" s="862"/>
      <c r="AY30" s="862"/>
      <c r="AZ30" s="862"/>
      <c r="BA30" s="862"/>
      <c r="BB30" s="862"/>
      <c r="BC30" s="862"/>
      <c r="BD30" s="862"/>
      <c r="BE30" s="862"/>
      <c r="BF30" s="862"/>
      <c r="BG30" s="862"/>
    </row>
    <row r="31" spans="1:59" ht="15.75" customHeight="1" outlineLevel="1">
      <c r="A31" s="864" t="s">
        <v>246</v>
      </c>
      <c r="B31" s="812">
        <v>50859</v>
      </c>
      <c r="C31" s="812"/>
      <c r="D31" s="812">
        <v>52859</v>
      </c>
      <c r="E31" s="812"/>
      <c r="F31" s="812">
        <v>54359</v>
      </c>
      <c r="H31" s="812">
        <f t="shared" si="17"/>
        <v>1640</v>
      </c>
      <c r="I31" s="1135">
        <f t="shared" si="18"/>
        <v>3.3320465673825149E-2</v>
      </c>
      <c r="J31" s="812">
        <f t="shared" si="19"/>
        <v>3640</v>
      </c>
      <c r="K31" s="1135">
        <f t="shared" si="20"/>
        <v>7.3955179910197288E-2</v>
      </c>
      <c r="L31" s="812">
        <f t="shared" si="21"/>
        <v>5140</v>
      </c>
      <c r="M31" s="1135">
        <f t="shared" si="22"/>
        <v>0.10443121558747638</v>
      </c>
      <c r="O31" s="812">
        <f t="shared" si="11"/>
        <v>510</v>
      </c>
      <c r="P31" s="1135">
        <f t="shared" si="12"/>
        <v>1.0129297503426086E-2</v>
      </c>
      <c r="Q31" s="812">
        <f t="shared" si="13"/>
        <v>510</v>
      </c>
      <c r="R31" s="1135">
        <f t="shared" si="14"/>
        <v>9.7423064432940465E-3</v>
      </c>
      <c r="S31" s="812">
        <f t="shared" si="15"/>
        <v>510</v>
      </c>
      <c r="T31" s="1135">
        <f t="shared" si="16"/>
        <v>9.4709279652361224E-3</v>
      </c>
      <c r="AJ31" s="862"/>
      <c r="AK31" s="862"/>
      <c r="AL31" s="861"/>
      <c r="AM31" s="861"/>
      <c r="AN31" s="861"/>
      <c r="AO31" s="861"/>
      <c r="AP31" s="861"/>
      <c r="AQ31" s="861"/>
      <c r="AR31" s="861"/>
      <c r="AS31" s="861"/>
      <c r="AT31" s="861"/>
      <c r="AU31" s="862"/>
      <c r="AV31" s="862"/>
      <c r="AW31" s="862"/>
      <c r="AX31" s="862"/>
      <c r="AY31" s="862"/>
      <c r="AZ31" s="862"/>
      <c r="BA31" s="862"/>
      <c r="BB31" s="862"/>
      <c r="BC31" s="862"/>
      <c r="BD31" s="862"/>
      <c r="BE31" s="862"/>
      <c r="BF31" s="862"/>
      <c r="BG31" s="862"/>
    </row>
    <row r="32" spans="1:59" ht="15.75" customHeight="1" outlineLevel="1">
      <c r="A32" s="864" t="s">
        <v>247</v>
      </c>
      <c r="B32" s="812">
        <v>52609</v>
      </c>
      <c r="C32" s="812"/>
      <c r="D32" s="812">
        <v>54609</v>
      </c>
      <c r="E32" s="812"/>
      <c r="F32" s="812">
        <v>56109</v>
      </c>
      <c r="H32" s="812">
        <f t="shared" si="17"/>
        <v>2260</v>
      </c>
      <c r="I32" s="1135">
        <f t="shared" si="18"/>
        <v>4.4886690897535206E-2</v>
      </c>
      <c r="J32" s="812">
        <f t="shared" si="19"/>
        <v>2260</v>
      </c>
      <c r="K32" s="1135">
        <f t="shared" si="20"/>
        <v>4.3171789336950088E-2</v>
      </c>
      <c r="L32" s="812">
        <f t="shared" si="21"/>
        <v>2260</v>
      </c>
      <c r="M32" s="1135">
        <f t="shared" si="22"/>
        <v>4.1969210198889488E-2</v>
      </c>
      <c r="O32" s="812">
        <f t="shared" si="11"/>
        <v>477</v>
      </c>
      <c r="P32" s="1135">
        <f t="shared" si="12"/>
        <v>9.1498503798051103E-3</v>
      </c>
      <c r="Q32" s="812">
        <f t="shared" si="13"/>
        <v>477</v>
      </c>
      <c r="R32" s="1135">
        <f t="shared" si="14"/>
        <v>8.8117933939259596E-3</v>
      </c>
      <c r="S32" s="812">
        <f t="shared" si="15"/>
        <v>477</v>
      </c>
      <c r="T32" s="1135">
        <f t="shared" si="16"/>
        <v>8.5742018981880934E-3</v>
      </c>
      <c r="AJ32" s="862"/>
      <c r="AK32" s="862"/>
      <c r="AL32" s="861"/>
      <c r="AM32" s="861"/>
      <c r="AN32" s="861"/>
      <c r="AO32" s="861"/>
      <c r="AP32" s="861"/>
      <c r="AQ32" s="861"/>
      <c r="AR32" s="861"/>
      <c r="AS32" s="861"/>
      <c r="AT32" s="861"/>
      <c r="AU32" s="862"/>
      <c r="AV32" s="862"/>
      <c r="AW32" s="862"/>
      <c r="AX32" s="862"/>
      <c r="AY32" s="862"/>
      <c r="AZ32" s="862"/>
      <c r="BA32" s="862"/>
      <c r="BB32" s="862"/>
      <c r="BC32" s="862"/>
      <c r="BD32" s="862"/>
      <c r="BE32" s="862"/>
      <c r="BF32" s="862"/>
      <c r="BG32" s="862"/>
    </row>
    <row r="33" spans="1:59" ht="15.75" customHeight="1" outlineLevel="1">
      <c r="A33" s="864" t="s">
        <v>248</v>
      </c>
      <c r="B33" s="812">
        <v>54359</v>
      </c>
      <c r="C33" s="812"/>
      <c r="D33" s="812">
        <v>56359</v>
      </c>
      <c r="E33" s="812"/>
      <c r="F33" s="812">
        <v>57859</v>
      </c>
      <c r="H33" s="812">
        <f t="shared" si="17"/>
        <v>2227</v>
      </c>
      <c r="I33" s="1135">
        <f t="shared" si="18"/>
        <v>4.2718483848691785E-2</v>
      </c>
      <c r="J33" s="812">
        <f t="shared" si="19"/>
        <v>2227</v>
      </c>
      <c r="K33" s="1135">
        <f t="shared" si="20"/>
        <v>4.1140175866400654E-2</v>
      </c>
      <c r="L33" s="812">
        <f t="shared" si="21"/>
        <v>2227</v>
      </c>
      <c r="M33" s="1135">
        <f t="shared" si="22"/>
        <v>4.003091745757837E-2</v>
      </c>
      <c r="O33" s="812">
        <f t="shared" si="11"/>
        <v>445</v>
      </c>
      <c r="P33" s="1135">
        <f t="shared" si="12"/>
        <v>8.2538858181548398E-3</v>
      </c>
      <c r="Q33" s="812">
        <f t="shared" si="13"/>
        <v>445</v>
      </c>
      <c r="R33" s="1135">
        <f t="shared" si="14"/>
        <v>7.9586507851343129E-3</v>
      </c>
      <c r="S33" s="812">
        <f t="shared" si="15"/>
        <v>445</v>
      </c>
      <c r="T33" s="1135">
        <f t="shared" si="16"/>
        <v>7.7507228202180652E-3</v>
      </c>
      <c r="AJ33" s="862"/>
      <c r="AK33" s="862"/>
      <c r="AL33" s="861"/>
      <c r="AM33" s="861"/>
      <c r="AN33" s="861"/>
      <c r="AO33" s="861"/>
      <c r="AP33" s="861"/>
      <c r="AQ33" s="861"/>
      <c r="AR33" s="861"/>
      <c r="AS33" s="861"/>
      <c r="AT33" s="861"/>
      <c r="AU33" s="862"/>
      <c r="AV33" s="862"/>
      <c r="AW33" s="862"/>
      <c r="AX33" s="862"/>
      <c r="AY33" s="862"/>
      <c r="AZ33" s="862"/>
      <c r="BA33" s="862"/>
      <c r="BB33" s="862"/>
      <c r="BC33" s="862"/>
      <c r="BD33" s="862"/>
      <c r="BE33" s="862"/>
      <c r="BF33" s="862"/>
      <c r="BG33" s="862"/>
    </row>
    <row r="34" spans="1:59" ht="15.75" customHeight="1" outlineLevel="1">
      <c r="A34" s="864" t="s">
        <v>249</v>
      </c>
      <c r="B34" s="812">
        <v>56109</v>
      </c>
      <c r="C34" s="812"/>
      <c r="D34" s="812">
        <v>58109</v>
      </c>
      <c r="E34" s="812"/>
      <c r="F34" s="812">
        <v>59609</v>
      </c>
      <c r="H34" s="812">
        <f t="shared" si="17"/>
        <v>2195</v>
      </c>
      <c r="I34" s="1135">
        <f t="shared" si="18"/>
        <v>4.0712987350224432E-2</v>
      </c>
      <c r="J34" s="812">
        <f t="shared" si="19"/>
        <v>2195</v>
      </c>
      <c r="K34" s="1135">
        <f t="shared" si="20"/>
        <v>3.925671567049397E-2</v>
      </c>
      <c r="L34" s="812">
        <f t="shared" si="21"/>
        <v>2195</v>
      </c>
      <c r="M34" s="1135">
        <f t="shared" si="22"/>
        <v>3.8231093461525062E-2</v>
      </c>
      <c r="O34" s="812">
        <f t="shared" si="11"/>
        <v>413</v>
      </c>
      <c r="P34" s="1135">
        <f t="shared" si="12"/>
        <v>7.4152542372881358E-3</v>
      </c>
      <c r="Q34" s="812">
        <f t="shared" si="13"/>
        <v>413</v>
      </c>
      <c r="R34" s="1135">
        <f t="shared" si="14"/>
        <v>7.1582085413200219E-3</v>
      </c>
      <c r="S34" s="812">
        <f t="shared" si="15"/>
        <v>413</v>
      </c>
      <c r="T34" s="1135">
        <f t="shared" si="16"/>
        <v>6.976822758294479E-3</v>
      </c>
      <c r="AJ34" s="862"/>
      <c r="AK34" s="862"/>
      <c r="AL34" s="861"/>
      <c r="AM34" s="861"/>
      <c r="AN34" s="861"/>
      <c r="AO34" s="861"/>
      <c r="AP34" s="861"/>
      <c r="AQ34" s="861"/>
      <c r="AR34" s="861"/>
      <c r="AS34" s="861"/>
      <c r="AT34" s="861"/>
      <c r="AU34" s="862"/>
      <c r="AV34" s="862"/>
      <c r="AW34" s="862"/>
      <c r="AX34" s="862"/>
      <c r="AY34" s="862"/>
      <c r="AZ34" s="862"/>
      <c r="BA34" s="862"/>
      <c r="BB34" s="862"/>
      <c r="BC34" s="862"/>
      <c r="BD34" s="862"/>
      <c r="BE34" s="862"/>
      <c r="BF34" s="862"/>
      <c r="BG34" s="862"/>
    </row>
    <row r="35" spans="1:59" ht="15.75" customHeight="1" outlineLevel="1">
      <c r="A35" s="864" t="s">
        <v>250</v>
      </c>
      <c r="B35" s="812">
        <v>57859</v>
      </c>
      <c r="C35" s="812"/>
      <c r="D35" s="812">
        <v>59859</v>
      </c>
      <c r="E35" s="812"/>
      <c r="F35" s="812">
        <v>61359</v>
      </c>
      <c r="H35" s="812">
        <f t="shared" si="17"/>
        <v>2163</v>
      </c>
      <c r="I35" s="1135">
        <f t="shared" si="18"/>
        <v>3.883582303935651E-2</v>
      </c>
      <c r="J35" s="812">
        <f t="shared" si="19"/>
        <v>2163</v>
      </c>
      <c r="K35" s="1135">
        <f t="shared" si="20"/>
        <v>3.7489600665557406E-2</v>
      </c>
      <c r="L35" s="812">
        <f t="shared" si="21"/>
        <v>2163</v>
      </c>
      <c r="M35" s="1135">
        <f t="shared" si="22"/>
        <v>3.653963105615244E-2</v>
      </c>
      <c r="O35" s="812">
        <f t="shared" si="11"/>
        <v>381</v>
      </c>
      <c r="P35" s="1135">
        <f t="shared" si="12"/>
        <v>6.628623125369707E-3</v>
      </c>
      <c r="Q35" s="812">
        <f t="shared" si="13"/>
        <v>381</v>
      </c>
      <c r="R35" s="1135">
        <f t="shared" si="14"/>
        <v>6.4057298496923232E-3</v>
      </c>
      <c r="S35" s="812">
        <f t="shared" si="15"/>
        <v>381</v>
      </c>
      <c r="T35" s="1135">
        <f t="shared" si="16"/>
        <v>6.2481550723211647E-3</v>
      </c>
      <c r="AJ35" s="862"/>
      <c r="AK35" s="862"/>
      <c r="AL35" s="861"/>
      <c r="AM35" s="861"/>
      <c r="AN35" s="861"/>
      <c r="AO35" s="861"/>
      <c r="AP35" s="861"/>
      <c r="AQ35" s="861"/>
      <c r="AR35" s="861"/>
      <c r="AS35" s="861"/>
      <c r="AT35" s="861"/>
      <c r="AU35" s="862"/>
      <c r="AV35" s="862"/>
      <c r="AW35" s="862"/>
      <c r="AX35" s="862"/>
      <c r="AY35" s="862"/>
      <c r="AZ35" s="862"/>
      <c r="BA35" s="862"/>
      <c r="BB35" s="862"/>
      <c r="BC35" s="862"/>
      <c r="BD35" s="862"/>
      <c r="BE35" s="862"/>
      <c r="BF35" s="862"/>
      <c r="BG35" s="862"/>
    </row>
    <row r="36" spans="1:59" ht="15.75" customHeight="1" outlineLevel="1">
      <c r="A36" s="864" t="s">
        <v>440</v>
      </c>
      <c r="B36" s="812">
        <v>61359</v>
      </c>
      <c r="C36" s="812"/>
      <c r="D36" s="812">
        <v>63359</v>
      </c>
      <c r="E36" s="812"/>
      <c r="F36" s="812">
        <v>64859</v>
      </c>
      <c r="H36" s="812">
        <f t="shared" si="17"/>
        <v>3881</v>
      </c>
      <c r="I36" s="1135">
        <f t="shared" si="18"/>
        <v>6.752148648178434E-2</v>
      </c>
      <c r="J36" s="812">
        <f t="shared" si="19"/>
        <v>3881</v>
      </c>
      <c r="K36" s="1135">
        <f t="shared" si="20"/>
        <v>6.5251017182823903E-2</v>
      </c>
      <c r="L36" s="812">
        <f t="shared" si="21"/>
        <v>3881</v>
      </c>
      <c r="M36" s="1135">
        <f t="shared" si="22"/>
        <v>6.3645905080520843E-2</v>
      </c>
      <c r="O36" s="812">
        <f t="shared" si="11"/>
        <v>767</v>
      </c>
      <c r="P36" s="1135">
        <f t="shared" si="12"/>
        <v>1.2658436757327701E-2</v>
      </c>
      <c r="Q36" s="812">
        <f t="shared" si="13"/>
        <v>767</v>
      </c>
      <c r="R36" s="1135">
        <f t="shared" si="14"/>
        <v>1.2253962167689161E-2</v>
      </c>
      <c r="S36" s="812">
        <f t="shared" si="15"/>
        <v>767</v>
      </c>
      <c r="T36" s="1135">
        <f t="shared" si="16"/>
        <v>1.1967172189976907E-2</v>
      </c>
      <c r="AJ36" s="862"/>
      <c r="AK36" s="862"/>
      <c r="AL36" s="861"/>
      <c r="AM36" s="861"/>
      <c r="AN36" s="861"/>
      <c r="AO36" s="861"/>
      <c r="AP36" s="861"/>
      <c r="AQ36" s="861"/>
      <c r="AR36" s="861"/>
      <c r="AS36" s="861"/>
      <c r="AT36" s="861"/>
      <c r="AU36" s="862"/>
      <c r="AV36" s="862"/>
      <c r="AW36" s="862"/>
      <c r="AX36" s="862"/>
      <c r="AY36" s="862"/>
      <c r="AZ36" s="862"/>
      <c r="BA36" s="862"/>
      <c r="BB36" s="862"/>
      <c r="BC36" s="862"/>
      <c r="BD36" s="862"/>
      <c r="BE36" s="862"/>
      <c r="BF36" s="862"/>
      <c r="BG36" s="862"/>
    </row>
    <row r="37" spans="1:59" ht="15.75" customHeight="1" outlineLevel="1">
      <c r="A37" s="864" t="s">
        <v>441</v>
      </c>
      <c r="B37" s="812">
        <v>63359</v>
      </c>
      <c r="C37" s="812"/>
      <c r="D37" s="812">
        <v>65359</v>
      </c>
      <c r="E37" s="812"/>
      <c r="F37" s="812">
        <v>66859</v>
      </c>
      <c r="H37" s="812">
        <f t="shared" si="17"/>
        <v>2767</v>
      </c>
      <c r="I37" s="1135">
        <f t="shared" si="18"/>
        <v>4.5666094533931875E-2</v>
      </c>
      <c r="J37" s="812">
        <f t="shared" si="19"/>
        <v>2767</v>
      </c>
      <c r="K37" s="1135">
        <f t="shared" si="20"/>
        <v>4.4206927402862986E-2</v>
      </c>
      <c r="L37" s="812">
        <f t="shared" si="21"/>
        <v>2767</v>
      </c>
      <c r="M37" s="1135">
        <f t="shared" si="22"/>
        <v>4.3172314797478621E-2</v>
      </c>
      <c r="O37" s="812">
        <f t="shared" si="11"/>
        <v>1295</v>
      </c>
      <c r="P37" s="1135">
        <f t="shared" si="12"/>
        <v>2.0865558133539571E-2</v>
      </c>
      <c r="Q37" s="812">
        <f t="shared" si="13"/>
        <v>1295</v>
      </c>
      <c r="R37" s="1135">
        <f t="shared" si="14"/>
        <v>2.021416083916084E-2</v>
      </c>
      <c r="S37" s="812">
        <f t="shared" si="15"/>
        <v>1295</v>
      </c>
      <c r="T37" s="1135">
        <f t="shared" si="16"/>
        <v>1.9751693002257337E-2</v>
      </c>
      <c r="AJ37" s="862"/>
      <c r="AK37" s="862"/>
      <c r="AL37" s="861"/>
      <c r="AM37" s="861"/>
      <c r="AN37" s="861"/>
      <c r="AO37" s="861"/>
      <c r="AP37" s="861"/>
      <c r="AQ37" s="861"/>
      <c r="AR37" s="861"/>
      <c r="AS37" s="861"/>
      <c r="AT37" s="861"/>
      <c r="AU37" s="862"/>
      <c r="AV37" s="862"/>
      <c r="AW37" s="862"/>
      <c r="AX37" s="862"/>
      <c r="AY37" s="862"/>
      <c r="AZ37" s="862"/>
      <c r="BA37" s="862"/>
      <c r="BB37" s="862"/>
      <c r="BC37" s="862"/>
      <c r="BD37" s="862"/>
      <c r="BE37" s="862"/>
      <c r="BF37" s="862"/>
      <c r="BG37" s="862"/>
    </row>
    <row r="38" spans="1:59" ht="15.6" outlineLevel="1">
      <c r="A38" s="864" t="s">
        <v>442</v>
      </c>
      <c r="B38" s="812">
        <v>65359</v>
      </c>
      <c r="C38" s="812"/>
      <c r="D38" s="812">
        <v>67359</v>
      </c>
      <c r="E38" s="812"/>
      <c r="F38" s="812">
        <v>68859</v>
      </c>
      <c r="H38" s="812">
        <f t="shared" si="17"/>
        <v>3295</v>
      </c>
      <c r="I38" s="1135">
        <f t="shared" si="18"/>
        <v>5.3090358339778293E-2</v>
      </c>
      <c r="J38" s="812">
        <f t="shared" si="19"/>
        <v>3295</v>
      </c>
      <c r="K38" s="1135">
        <f t="shared" si="20"/>
        <v>5.1432942057942056E-2</v>
      </c>
      <c r="L38" s="812">
        <f t="shared" si="21"/>
        <v>3295</v>
      </c>
      <c r="M38" s="1135">
        <f t="shared" si="22"/>
        <v>5.0256238179488745E-2</v>
      </c>
      <c r="O38" s="812">
        <f t="shared" si="11"/>
        <v>1835</v>
      </c>
      <c r="P38" s="1135">
        <f t="shared" si="12"/>
        <v>2.8886719979850137E-2</v>
      </c>
      <c r="Q38" s="812">
        <f t="shared" si="13"/>
        <v>1835</v>
      </c>
      <c r="R38" s="1135">
        <f t="shared" si="14"/>
        <v>2.8005005799401746E-2</v>
      </c>
      <c r="S38" s="812">
        <f t="shared" si="15"/>
        <v>1835</v>
      </c>
      <c r="T38" s="1135">
        <f t="shared" si="16"/>
        <v>2.7378252566244928E-2</v>
      </c>
      <c r="AJ38" s="862"/>
      <c r="AK38" s="862"/>
      <c r="AL38" s="861"/>
      <c r="AM38" s="861"/>
      <c r="AN38" s="861"/>
      <c r="AO38" s="861"/>
      <c r="AP38" s="861"/>
      <c r="AQ38" s="861"/>
      <c r="AR38" s="861"/>
      <c r="AS38" s="861"/>
      <c r="AT38" s="861"/>
      <c r="AU38" s="862"/>
      <c r="AV38" s="862"/>
      <c r="AW38" s="862"/>
      <c r="AX38" s="862"/>
      <c r="AY38" s="862"/>
      <c r="AZ38" s="862"/>
    </row>
    <row r="39" spans="1:59" ht="15.6" customHeight="1" outlineLevel="1">
      <c r="A39" s="864" t="s">
        <v>443</v>
      </c>
      <c r="B39" s="812">
        <v>67359</v>
      </c>
      <c r="C39" s="812"/>
      <c r="D39" s="812">
        <v>69359</v>
      </c>
      <c r="E39" s="812"/>
      <c r="F39" s="812">
        <v>70859</v>
      </c>
      <c r="H39" s="812">
        <f t="shared" si="17"/>
        <v>3835</v>
      </c>
      <c r="I39" s="1135">
        <f t="shared" si="18"/>
        <v>6.0370883445626848E-2</v>
      </c>
      <c r="J39" s="812">
        <f t="shared" si="19"/>
        <v>3835</v>
      </c>
      <c r="K39" s="1135">
        <f t="shared" si="20"/>
        <v>5.8528172883218363E-2</v>
      </c>
      <c r="L39" s="812">
        <f t="shared" si="21"/>
        <v>3835</v>
      </c>
      <c r="M39" s="1135">
        <f t="shared" si="22"/>
        <v>5.721830985915493E-2</v>
      </c>
      <c r="O39" s="812">
        <f t="shared" si="11"/>
        <v>2387</v>
      </c>
      <c r="P39" s="1135">
        <f t="shared" si="12"/>
        <v>3.6738902912023641E-2</v>
      </c>
      <c r="Q39" s="812">
        <f t="shared" si="13"/>
        <v>2387</v>
      </c>
      <c r="R39" s="1135">
        <f t="shared" si="14"/>
        <v>3.5641760735829899E-2</v>
      </c>
      <c r="S39" s="812">
        <f t="shared" si="15"/>
        <v>2387</v>
      </c>
      <c r="T39" s="1135">
        <f t="shared" si="16"/>
        <v>3.4860965066012384E-2</v>
      </c>
      <c r="AJ39" s="862"/>
      <c r="AK39" s="862"/>
      <c r="AL39" s="861"/>
      <c r="AM39" s="861"/>
      <c r="AN39" s="861"/>
      <c r="AO39" s="861"/>
      <c r="AP39" s="861"/>
      <c r="AQ39" s="861"/>
      <c r="AR39" s="861"/>
      <c r="AS39" s="861"/>
      <c r="AT39" s="861"/>
      <c r="AU39" s="862"/>
      <c r="AV39" s="862"/>
      <c r="AW39" s="862"/>
      <c r="AX39" s="862"/>
      <c r="AY39" s="862"/>
      <c r="AZ39" s="862"/>
    </row>
    <row r="40" spans="1:59" ht="15.75" customHeight="1" outlineLevel="1">
      <c r="A40" s="864" t="s">
        <v>444</v>
      </c>
      <c r="B40" s="812">
        <v>69359</v>
      </c>
      <c r="C40" s="812"/>
      <c r="D40" s="812">
        <v>71359</v>
      </c>
      <c r="E40" s="812"/>
      <c r="F40" s="812">
        <v>72859</v>
      </c>
      <c r="H40" s="812">
        <f t="shared" si="17"/>
        <v>4387</v>
      </c>
      <c r="I40" s="1135">
        <f t="shared" si="18"/>
        <v>6.7521393831188825E-2</v>
      </c>
      <c r="J40" s="812">
        <f t="shared" si="19"/>
        <v>4387</v>
      </c>
      <c r="K40" s="1135">
        <f t="shared" si="20"/>
        <v>6.5504987158812644E-2</v>
      </c>
      <c r="L40" s="812">
        <f t="shared" si="21"/>
        <v>4387</v>
      </c>
      <c r="M40" s="1135">
        <f t="shared" si="22"/>
        <v>6.4069984811309738E-2</v>
      </c>
      <c r="O40" s="1134" t="s">
        <v>1411</v>
      </c>
      <c r="P40" s="1134" t="s">
        <v>1411</v>
      </c>
      <c r="Q40" s="1134" t="s">
        <v>1411</v>
      </c>
      <c r="R40" s="1134" t="s">
        <v>1411</v>
      </c>
      <c r="S40" s="1134" t="s">
        <v>1411</v>
      </c>
      <c r="T40" s="1134" t="s">
        <v>1411</v>
      </c>
      <c r="AJ40" s="862"/>
      <c r="AK40" s="862"/>
      <c r="AL40" s="861"/>
      <c r="AM40" s="861"/>
      <c r="AN40" s="861"/>
      <c r="AO40" s="861"/>
      <c r="AP40" s="861"/>
      <c r="AQ40" s="861"/>
      <c r="AR40" s="861"/>
      <c r="AS40" s="861"/>
      <c r="AT40" s="861"/>
      <c r="AU40" s="862"/>
      <c r="AV40" s="862"/>
      <c r="AW40" s="862"/>
      <c r="AX40" s="862"/>
      <c r="AY40" s="862"/>
      <c r="AZ40" s="862"/>
    </row>
    <row r="41" spans="1:59" ht="15.75" customHeight="1" outlineLevel="1">
      <c r="A41" s="864"/>
      <c r="B41" s="812"/>
      <c r="C41" s="812"/>
      <c r="D41" s="1136"/>
      <c r="E41" s="1136"/>
      <c r="F41" s="1136"/>
      <c r="H41" s="1136"/>
      <c r="I41" s="1136"/>
      <c r="J41" s="1136"/>
      <c r="K41" s="1136"/>
      <c r="L41" s="1136"/>
      <c r="M41" s="1136"/>
      <c r="O41" s="1136"/>
      <c r="P41" s="1136"/>
      <c r="Q41" s="1136"/>
      <c r="R41" s="1136"/>
      <c r="S41" s="1136"/>
      <c r="T41" s="1136"/>
      <c r="AJ41" s="862"/>
      <c r="AK41" s="862"/>
      <c r="AL41" s="861"/>
      <c r="AM41" s="861"/>
      <c r="AN41" s="861"/>
      <c r="AO41" s="861"/>
      <c r="AP41" s="861"/>
      <c r="AQ41" s="861"/>
      <c r="AR41" s="861"/>
      <c r="AS41" s="861"/>
      <c r="AT41" s="861"/>
      <c r="AU41" s="862"/>
      <c r="AV41" s="862"/>
      <c r="AW41" s="862"/>
      <c r="AX41" s="862"/>
      <c r="AY41" s="862"/>
      <c r="AZ41" s="862"/>
      <c r="BA41" s="862"/>
      <c r="BB41" s="862"/>
      <c r="BC41" s="862"/>
      <c r="BD41" s="862"/>
      <c r="BE41" s="862"/>
      <c r="BF41" s="862"/>
      <c r="BG41" s="862"/>
    </row>
    <row r="42" spans="1:59" ht="15.75" customHeight="1" outlineLevel="1">
      <c r="A42" s="864"/>
      <c r="B42" s="1201" t="s">
        <v>1417</v>
      </c>
      <c r="C42" s="1201"/>
      <c r="D42" s="1201"/>
      <c r="E42" s="1201"/>
      <c r="F42" s="1201"/>
      <c r="AJ42" s="862"/>
      <c r="AK42" s="862"/>
      <c r="AL42" s="861"/>
      <c r="AM42" s="861"/>
      <c r="AN42" s="861"/>
      <c r="AO42" s="861"/>
      <c r="AP42" s="861"/>
      <c r="AQ42" s="861"/>
      <c r="AR42" s="861"/>
      <c r="AS42" s="861"/>
      <c r="AT42" s="861"/>
      <c r="AU42" s="862"/>
      <c r="AV42" s="862"/>
      <c r="AW42" s="862"/>
      <c r="AX42" s="862"/>
      <c r="AY42" s="862"/>
      <c r="AZ42" s="862"/>
      <c r="BA42" s="862"/>
      <c r="BB42" s="862"/>
      <c r="BC42" s="862"/>
      <c r="BD42" s="862"/>
      <c r="BE42" s="862"/>
      <c r="BF42" s="862"/>
      <c r="BG42" s="862"/>
    </row>
    <row r="43" spans="1:59" ht="15.75" customHeight="1" outlineLevel="1">
      <c r="A43" s="864"/>
      <c r="B43" s="1201"/>
      <c r="C43" s="1201"/>
      <c r="D43" s="1201"/>
      <c r="E43" s="1201"/>
      <c r="F43" s="1201"/>
      <c r="AJ43" s="862"/>
      <c r="AK43" s="862"/>
      <c r="AL43" s="861"/>
      <c r="AM43" s="861"/>
      <c r="AN43" s="861"/>
      <c r="AO43" s="861"/>
      <c r="AP43" s="861"/>
      <c r="AQ43" s="861"/>
      <c r="AR43" s="861"/>
      <c r="AS43" s="861"/>
      <c r="AT43" s="861"/>
      <c r="AU43" s="862"/>
      <c r="AV43" s="862"/>
      <c r="AW43" s="862"/>
      <c r="AX43" s="862"/>
      <c r="AY43" s="862"/>
      <c r="AZ43" s="862"/>
      <c r="BA43" s="862"/>
      <c r="BB43" s="862"/>
      <c r="BC43" s="862"/>
      <c r="BD43" s="862"/>
      <c r="BE43" s="862"/>
      <c r="BF43" s="862"/>
      <c r="BG43" s="862"/>
    </row>
    <row r="44" spans="1:59" ht="15.75" customHeight="1" outlineLevel="1">
      <c r="A44" s="864"/>
      <c r="B44" s="1201"/>
      <c r="C44" s="1201"/>
      <c r="D44" s="1201"/>
      <c r="E44" s="1201"/>
      <c r="F44" s="1201"/>
      <c r="AJ44" s="862"/>
      <c r="AK44" s="862"/>
      <c r="AL44" s="861"/>
      <c r="AM44" s="861"/>
      <c r="AN44" s="861"/>
      <c r="AO44" s="861"/>
      <c r="AP44" s="861"/>
      <c r="AQ44" s="861"/>
      <c r="AR44" s="861"/>
      <c r="AS44" s="861"/>
      <c r="AT44" s="861"/>
      <c r="AU44" s="862"/>
      <c r="AV44" s="862"/>
      <c r="AW44" s="862"/>
      <c r="AX44" s="862"/>
      <c r="AY44" s="862"/>
      <c r="AZ44" s="862"/>
      <c r="BA44" s="862"/>
      <c r="BB44" s="862"/>
      <c r="BC44" s="862"/>
      <c r="BD44" s="862"/>
      <c r="BE44" s="862"/>
      <c r="BF44" s="862"/>
      <c r="BG44" s="862"/>
    </row>
    <row r="45" spans="1:59" ht="15.75" customHeight="1" outlineLevel="1">
      <c r="A45" s="864"/>
      <c r="B45" s="1201"/>
      <c r="C45" s="1201"/>
      <c r="D45" s="1201"/>
      <c r="E45" s="1201"/>
      <c r="F45" s="1201"/>
      <c r="AJ45" s="862"/>
      <c r="AK45" s="862"/>
      <c r="AL45" s="861"/>
      <c r="AM45" s="861"/>
      <c r="AN45" s="861"/>
      <c r="AO45" s="861"/>
      <c r="AP45" s="861"/>
      <c r="AQ45" s="861"/>
      <c r="AR45" s="861"/>
      <c r="AS45" s="861"/>
      <c r="AT45" s="861"/>
      <c r="AU45" s="862"/>
      <c r="AV45" s="862"/>
      <c r="AW45" s="862"/>
      <c r="AX45" s="862"/>
      <c r="AY45" s="862"/>
      <c r="AZ45" s="862"/>
      <c r="BA45" s="862"/>
      <c r="BB45" s="862"/>
      <c r="BC45" s="862"/>
      <c r="BD45" s="862"/>
      <c r="BE45" s="862"/>
      <c r="BF45" s="862"/>
      <c r="BG45" s="862"/>
    </row>
    <row r="46" spans="1:59" ht="15.75" customHeight="1" outlineLevel="1">
      <c r="A46" s="864"/>
      <c r="B46" s="812"/>
      <c r="C46" s="812"/>
      <c r="D46" s="1136"/>
      <c r="E46" s="1136"/>
      <c r="F46" s="1136"/>
      <c r="H46" s="1136"/>
      <c r="I46" s="1136"/>
      <c r="J46" s="1136"/>
      <c r="K46" s="1136"/>
      <c r="L46" s="1136"/>
      <c r="M46" s="1136"/>
      <c r="O46" s="1136"/>
      <c r="P46" s="1136"/>
      <c r="Q46" s="1136"/>
      <c r="R46" s="1136"/>
      <c r="S46" s="1136"/>
      <c r="T46" s="1136"/>
      <c r="AJ46" s="862"/>
      <c r="AK46" s="862"/>
      <c r="AL46" s="861"/>
      <c r="AM46" s="861"/>
      <c r="AN46" s="861"/>
      <c r="AO46" s="861"/>
      <c r="AP46" s="861"/>
      <c r="AQ46" s="861"/>
      <c r="AR46" s="861"/>
      <c r="AS46" s="861"/>
      <c r="AT46" s="861"/>
      <c r="AU46" s="862"/>
      <c r="AV46" s="862"/>
      <c r="AW46" s="862"/>
      <c r="AX46" s="862"/>
      <c r="AY46" s="862"/>
      <c r="AZ46" s="862"/>
      <c r="BA46" s="862"/>
      <c r="BB46" s="862"/>
      <c r="BC46" s="862"/>
      <c r="BD46" s="862"/>
      <c r="BE46" s="862"/>
      <c r="BF46" s="862"/>
      <c r="BG46" s="862"/>
    </row>
    <row r="47" spans="1:59" ht="15.75" customHeight="1" outlineLevel="1" thickBot="1">
      <c r="A47" s="1122" t="s">
        <v>1222</v>
      </c>
      <c r="B47" s="866" t="s">
        <v>1408</v>
      </c>
      <c r="C47" s="866"/>
      <c r="D47" s="866" t="s">
        <v>1409</v>
      </c>
      <c r="E47" s="866"/>
      <c r="F47" s="866" t="s">
        <v>1410</v>
      </c>
      <c r="H47" s="1136"/>
      <c r="I47" s="1136"/>
      <c r="J47" s="1136"/>
      <c r="K47" s="1136"/>
      <c r="L47" s="1136"/>
      <c r="M47" s="1136"/>
      <c r="O47" s="1136"/>
      <c r="P47" s="1136"/>
      <c r="Q47" s="1136"/>
      <c r="R47" s="1136"/>
      <c r="S47" s="1136"/>
      <c r="T47" s="1136"/>
      <c r="AJ47" s="862"/>
      <c r="AK47" s="862"/>
      <c r="AL47" s="861"/>
      <c r="AM47" s="861"/>
      <c r="AN47" s="861"/>
      <c r="AO47" s="861"/>
      <c r="AP47" s="861"/>
      <c r="AQ47" s="861"/>
      <c r="AR47" s="861"/>
      <c r="AS47" s="861"/>
      <c r="AT47" s="861"/>
      <c r="AU47" s="862"/>
      <c r="AV47" s="862"/>
      <c r="AW47" s="862"/>
      <c r="AX47" s="862"/>
      <c r="AY47" s="862"/>
      <c r="AZ47" s="862"/>
      <c r="BA47" s="862"/>
      <c r="BB47" s="862"/>
      <c r="BC47" s="862"/>
      <c r="BD47" s="862"/>
      <c r="BE47" s="862"/>
      <c r="BF47" s="862"/>
      <c r="BG47" s="862"/>
    </row>
    <row r="48" spans="1:59" ht="15.75" customHeight="1" outlineLevel="1">
      <c r="A48" s="864" t="s">
        <v>241</v>
      </c>
      <c r="B48" s="812">
        <v>47477</v>
      </c>
      <c r="C48" s="812"/>
      <c r="D48" s="812">
        <v>47477</v>
      </c>
      <c r="E48" s="812"/>
      <c r="F48" s="812">
        <v>47477</v>
      </c>
      <c r="AJ48" s="862"/>
      <c r="AK48" s="862"/>
      <c r="AL48" s="861"/>
      <c r="AM48" s="861"/>
      <c r="AN48" s="861"/>
      <c r="AO48" s="861"/>
      <c r="AP48" s="861"/>
      <c r="AQ48" s="861"/>
      <c r="AR48" s="861"/>
      <c r="AS48" s="861"/>
      <c r="AT48" s="861"/>
      <c r="AU48" s="862"/>
      <c r="AV48" s="862"/>
      <c r="AW48" s="862"/>
      <c r="AX48" s="862"/>
      <c r="AY48" s="862"/>
      <c r="AZ48" s="862"/>
      <c r="BA48" s="862"/>
      <c r="BB48" s="862"/>
      <c r="BC48" s="862"/>
      <c r="BD48" s="862"/>
      <c r="BE48" s="862"/>
      <c r="BF48" s="862"/>
      <c r="BG48" s="862"/>
    </row>
    <row r="49" spans="1:59" ht="15.75" customHeight="1" outlineLevel="1">
      <c r="A49" s="864" t="s">
        <v>460</v>
      </c>
      <c r="B49" s="812">
        <v>48347</v>
      </c>
      <c r="C49" s="812"/>
      <c r="D49" s="812">
        <v>48347</v>
      </c>
      <c r="E49" s="812"/>
      <c r="F49" s="812">
        <v>48347</v>
      </c>
      <c r="AJ49" s="862"/>
      <c r="AK49" s="862"/>
      <c r="AL49" s="861"/>
      <c r="AM49" s="861"/>
      <c r="AN49" s="861"/>
      <c r="AO49" s="861"/>
      <c r="AP49" s="861"/>
      <c r="AQ49" s="861"/>
      <c r="AR49" s="861"/>
      <c r="AS49" s="861"/>
      <c r="AT49" s="861"/>
      <c r="AU49" s="862"/>
      <c r="AV49" s="862"/>
      <c r="AW49" s="862"/>
      <c r="AX49" s="862"/>
      <c r="AY49" s="862"/>
      <c r="AZ49" s="862"/>
      <c r="BA49" s="862"/>
      <c r="BB49" s="862"/>
      <c r="BC49" s="862"/>
      <c r="BD49" s="862"/>
      <c r="BE49" s="862"/>
      <c r="BF49" s="862"/>
      <c r="BG49" s="862"/>
    </row>
    <row r="50" spans="1:59" ht="15.75" customHeight="1" outlineLevel="1">
      <c r="A50" s="864" t="s">
        <v>461</v>
      </c>
      <c r="B50" s="812">
        <v>49219</v>
      </c>
      <c r="C50" s="812"/>
      <c r="D50" s="812">
        <v>49219</v>
      </c>
      <c r="E50" s="812"/>
      <c r="F50" s="812">
        <v>49219</v>
      </c>
      <c r="AJ50" s="862"/>
      <c r="AK50" s="862"/>
      <c r="AL50" s="861"/>
      <c r="AM50" s="861"/>
      <c r="AN50" s="861"/>
      <c r="AO50" s="861"/>
      <c r="AP50" s="861"/>
      <c r="AQ50" s="861"/>
      <c r="AR50" s="861"/>
      <c r="AS50" s="861"/>
      <c r="AT50" s="861"/>
      <c r="AU50" s="862"/>
      <c r="AV50" s="862"/>
      <c r="AW50" s="862"/>
      <c r="AX50" s="862"/>
      <c r="AY50" s="862"/>
      <c r="AZ50" s="862"/>
      <c r="BA50" s="862"/>
      <c r="BB50" s="862"/>
      <c r="BC50" s="862"/>
      <c r="BD50" s="862"/>
      <c r="BE50" s="862"/>
      <c r="BF50" s="862"/>
      <c r="BG50" s="862"/>
    </row>
    <row r="51" spans="1:59" ht="15" customHeight="1" outlineLevel="1">
      <c r="A51" s="864" t="s">
        <v>246</v>
      </c>
      <c r="B51" s="812">
        <v>50349</v>
      </c>
      <c r="C51" s="812"/>
      <c r="D51" s="812">
        <v>52349</v>
      </c>
      <c r="E51" s="812"/>
      <c r="F51" s="812">
        <v>53849</v>
      </c>
    </row>
    <row r="52" spans="1:59" ht="15.75" customHeight="1">
      <c r="A52" s="864" t="s">
        <v>247</v>
      </c>
      <c r="B52" s="812">
        <v>52132</v>
      </c>
      <c r="C52" s="812"/>
      <c r="D52" s="812">
        <v>54132</v>
      </c>
      <c r="E52" s="812"/>
      <c r="F52" s="812">
        <v>55632</v>
      </c>
      <c r="AJ52" s="872"/>
      <c r="AK52" s="862"/>
      <c r="AL52" s="1126" t="s">
        <v>1223</v>
      </c>
      <c r="AM52" s="1123"/>
      <c r="AN52" s="1123"/>
      <c r="AO52" s="1123"/>
      <c r="AP52" s="1123"/>
      <c r="AQ52" s="1123"/>
      <c r="AR52" s="1199" t="s">
        <v>1224</v>
      </c>
      <c r="AS52" s="1194"/>
      <c r="AT52" s="1194"/>
      <c r="AU52" s="862"/>
      <c r="AV52" s="1193" t="s">
        <v>1225</v>
      </c>
      <c r="AW52" s="1194"/>
      <c r="AX52" s="1194"/>
      <c r="AY52" s="1194"/>
      <c r="AZ52" s="1194"/>
      <c r="BA52" s="1194"/>
      <c r="BB52" s="1194"/>
      <c r="BC52" s="1194"/>
      <c r="BD52" s="1194"/>
      <c r="BE52" s="1194"/>
      <c r="BF52" s="1194"/>
      <c r="BG52" s="1194"/>
    </row>
    <row r="53" spans="1:59" ht="15.75" customHeight="1">
      <c r="A53" s="864" t="s">
        <v>248</v>
      </c>
      <c r="B53" s="812">
        <v>53914</v>
      </c>
      <c r="C53" s="812"/>
      <c r="D53" s="812">
        <v>55914</v>
      </c>
      <c r="E53" s="812"/>
      <c r="F53" s="812">
        <v>57414</v>
      </c>
      <c r="AJ53" s="872"/>
      <c r="AK53" s="862"/>
      <c r="AL53" s="873" t="s">
        <v>870</v>
      </c>
      <c r="AM53" s="873" t="s">
        <v>1226</v>
      </c>
      <c r="AN53" s="873" t="s">
        <v>1227</v>
      </c>
      <c r="AO53" s="873" t="s">
        <v>1228</v>
      </c>
      <c r="AP53" s="873" t="s">
        <v>1229</v>
      </c>
      <c r="AQ53" s="873" t="s">
        <v>1230</v>
      </c>
      <c r="AR53" s="874" t="s">
        <v>1231</v>
      </c>
      <c r="AS53" s="875" t="s">
        <v>1229</v>
      </c>
      <c r="AT53" s="875" t="s">
        <v>1232</v>
      </c>
      <c r="AU53" s="876"/>
      <c r="AV53" s="1195" t="s">
        <v>1233</v>
      </c>
      <c r="AW53" s="1194"/>
      <c r="AX53" s="1194"/>
      <c r="AY53" s="1194"/>
      <c r="AZ53" s="1194"/>
      <c r="BA53" s="1194"/>
      <c r="BB53" s="1194"/>
      <c r="BC53" s="1194"/>
      <c r="BD53" s="1194"/>
      <c r="BE53" s="1194"/>
      <c r="BF53" s="1194"/>
      <c r="BG53" s="1194"/>
    </row>
    <row r="54" spans="1:59" ht="15.75" customHeight="1">
      <c r="A54" s="864" t="s">
        <v>249</v>
      </c>
      <c r="B54" s="812">
        <v>55696</v>
      </c>
      <c r="C54" s="812"/>
      <c r="D54" s="812">
        <v>57696</v>
      </c>
      <c r="E54" s="812"/>
      <c r="F54" s="812">
        <v>59196</v>
      </c>
      <c r="AJ54" s="872"/>
      <c r="AK54" s="877"/>
      <c r="AL54" s="869" t="s">
        <v>1238</v>
      </c>
      <c r="AM54" s="869" t="s">
        <v>1236</v>
      </c>
      <c r="AN54" s="878">
        <v>15</v>
      </c>
      <c r="AO54" s="878">
        <f>J59</f>
        <v>0</v>
      </c>
      <c r="AP54" s="878">
        <f t="shared" ref="AP54:AP63" si="23">AO54-AN54</f>
        <v>-15</v>
      </c>
      <c r="AQ54" s="878">
        <f t="shared" ref="AQ54:AQ63" si="24">((AP54*6.75)*169)</f>
        <v>-17111.25</v>
      </c>
      <c r="AR54" s="878">
        <v>15.5</v>
      </c>
      <c r="AS54" s="878">
        <f t="shared" ref="AS54:AS62" si="25">AR54-AN54</f>
        <v>0.5</v>
      </c>
      <c r="AT54" s="878">
        <f t="shared" ref="AT54:AT63" si="26">((AS54*6.75)*169)</f>
        <v>570.375</v>
      </c>
      <c r="AU54" s="879"/>
      <c r="AV54" s="1198" t="s">
        <v>1234</v>
      </c>
      <c r="AW54" s="1196" t="s">
        <v>1235</v>
      </c>
      <c r="AX54" s="1194"/>
      <c r="AY54" s="1194"/>
      <c r="AZ54" s="865"/>
      <c r="BA54" s="1196" t="s">
        <v>1236</v>
      </c>
      <c r="BB54" s="1194"/>
      <c r="BC54" s="1194"/>
      <c r="BD54" s="865"/>
      <c r="BE54" s="1196" t="s">
        <v>1237</v>
      </c>
      <c r="BF54" s="1194"/>
      <c r="BG54" s="1194"/>
    </row>
    <row r="55" spans="1:59" ht="15.75" customHeight="1">
      <c r="A55" s="864" t="s">
        <v>250</v>
      </c>
      <c r="B55" s="812">
        <v>57478</v>
      </c>
      <c r="C55" s="812"/>
      <c r="D55" s="812">
        <v>59478</v>
      </c>
      <c r="E55" s="812"/>
      <c r="F55" s="812">
        <v>60978</v>
      </c>
      <c r="AJ55" s="872"/>
      <c r="AK55" s="881"/>
      <c r="AL55" s="869" t="s">
        <v>1243</v>
      </c>
      <c r="AM55" s="869" t="s">
        <v>1236</v>
      </c>
      <c r="AN55" s="878">
        <v>18.5</v>
      </c>
      <c r="AO55" s="878">
        <f>N62</f>
        <v>0</v>
      </c>
      <c r="AP55" s="878">
        <f t="shared" si="23"/>
        <v>-18.5</v>
      </c>
      <c r="AQ55" s="878">
        <f t="shared" si="24"/>
        <v>-21103.875</v>
      </c>
      <c r="AR55" s="878">
        <v>19</v>
      </c>
      <c r="AS55" s="878">
        <f t="shared" si="25"/>
        <v>0.5</v>
      </c>
      <c r="AT55" s="878">
        <f t="shared" si="26"/>
        <v>570.375</v>
      </c>
      <c r="AU55" s="879"/>
      <c r="AV55" s="1194"/>
      <c r="AW55" s="880" t="s">
        <v>1239</v>
      </c>
      <c r="AX55" s="1197" t="s">
        <v>1240</v>
      </c>
      <c r="AY55" s="1194"/>
      <c r="AZ55" s="865"/>
      <c r="BA55" s="880" t="s">
        <v>1241</v>
      </c>
      <c r="BB55" s="1197" t="s">
        <v>1240</v>
      </c>
      <c r="BC55" s="1194"/>
      <c r="BD55" s="865"/>
      <c r="BE55" s="880" t="s">
        <v>1242</v>
      </c>
      <c r="BF55" s="1197" t="s">
        <v>1240</v>
      </c>
      <c r="BG55" s="1194"/>
    </row>
    <row r="56" spans="1:59" ht="15.75" customHeight="1">
      <c r="A56" s="864" t="s">
        <v>440</v>
      </c>
      <c r="B56" s="812">
        <v>60592</v>
      </c>
      <c r="C56" s="812"/>
      <c r="D56" s="812">
        <v>62592</v>
      </c>
      <c r="E56" s="812"/>
      <c r="F56" s="812">
        <v>64092</v>
      </c>
      <c r="AJ56" s="872"/>
      <c r="AK56" s="883"/>
      <c r="AL56" s="869" t="s">
        <v>1244</v>
      </c>
      <c r="AM56" s="869" t="s">
        <v>1236</v>
      </c>
      <c r="AN56" s="878">
        <v>17</v>
      </c>
      <c r="AO56" s="878">
        <f>J63</f>
        <v>0</v>
      </c>
      <c r="AP56" s="878">
        <f t="shared" si="23"/>
        <v>-17</v>
      </c>
      <c r="AQ56" s="878">
        <f t="shared" si="24"/>
        <v>-19392.75</v>
      </c>
      <c r="AR56" s="878">
        <v>17.5</v>
      </c>
      <c r="AS56" s="878">
        <f t="shared" si="25"/>
        <v>0.5</v>
      </c>
      <c r="AT56" s="878">
        <f t="shared" si="26"/>
        <v>570.375</v>
      </c>
      <c r="AU56" s="879"/>
      <c r="AV56" s="864">
        <v>1</v>
      </c>
      <c r="AW56" s="882">
        <v>12</v>
      </c>
      <c r="AX56" s="878"/>
      <c r="AY56" s="870"/>
      <c r="AZ56" s="869"/>
      <c r="BA56" s="882">
        <v>14</v>
      </c>
      <c r="BB56" s="878"/>
      <c r="BC56" s="870"/>
      <c r="BD56" s="869"/>
      <c r="BE56" s="882">
        <v>16</v>
      </c>
      <c r="BF56" s="878"/>
      <c r="BG56" s="870"/>
    </row>
    <row r="57" spans="1:59" ht="15.75" customHeight="1">
      <c r="A57" s="864" t="s">
        <v>441</v>
      </c>
      <c r="B57" s="812">
        <v>62064</v>
      </c>
      <c r="C57" s="812"/>
      <c r="D57" s="812">
        <v>64064</v>
      </c>
      <c r="E57" s="812"/>
      <c r="F57" s="812">
        <v>65564</v>
      </c>
      <c r="AJ57" s="872"/>
      <c r="AK57" s="883"/>
      <c r="AL57" s="869" t="s">
        <v>1245</v>
      </c>
      <c r="AM57" s="869" t="s">
        <v>1246</v>
      </c>
      <c r="AN57" s="878">
        <v>23</v>
      </c>
      <c r="AO57" s="878">
        <f>N71</f>
        <v>0</v>
      </c>
      <c r="AP57" s="878">
        <f t="shared" si="23"/>
        <v>-23</v>
      </c>
      <c r="AQ57" s="878">
        <f t="shared" si="24"/>
        <v>-26237.25</v>
      </c>
      <c r="AR57" s="878">
        <v>23.5</v>
      </c>
      <c r="AS57" s="878">
        <f t="shared" si="25"/>
        <v>0.5</v>
      </c>
      <c r="AT57" s="878">
        <f t="shared" si="26"/>
        <v>570.375</v>
      </c>
      <c r="AU57" s="879"/>
      <c r="AV57" s="864">
        <v>2</v>
      </c>
      <c r="AW57" s="882">
        <v>12.5</v>
      </c>
      <c r="AX57" s="878">
        <f t="shared" ref="AX57:AX71" si="27">AW57-AW56</f>
        <v>0.5</v>
      </c>
      <c r="AY57" s="868">
        <f t="shared" ref="AY57:AY71" si="28">AX57/AW57</f>
        <v>0.04</v>
      </c>
      <c r="AZ57" s="869"/>
      <c r="BA57" s="882">
        <v>14.5</v>
      </c>
      <c r="BB57" s="878">
        <f t="shared" ref="BB57:BB71" si="29">BA57-BA56</f>
        <v>0.5</v>
      </c>
      <c r="BC57" s="868">
        <f t="shared" ref="BC57:BC71" si="30">BB57/BA57</f>
        <v>3.4482758620689655E-2</v>
      </c>
      <c r="BD57" s="869"/>
      <c r="BE57" s="882">
        <v>16.5</v>
      </c>
      <c r="BF57" s="878">
        <f t="shared" ref="BF57:BF71" si="31">BE57-BE56</f>
        <v>0.5</v>
      </c>
      <c r="BG57" s="868">
        <f t="shared" ref="BG57:BG71" si="32">BF57/BE57</f>
        <v>3.0303030303030304E-2</v>
      </c>
    </row>
    <row r="58" spans="1:59" ht="15.75" customHeight="1">
      <c r="A58" s="864" t="s">
        <v>442</v>
      </c>
      <c r="B58" s="812">
        <v>63524</v>
      </c>
      <c r="C58" s="812"/>
      <c r="D58" s="812">
        <v>65524</v>
      </c>
      <c r="E58" s="812"/>
      <c r="F58" s="812">
        <v>67024</v>
      </c>
      <c r="AJ58" s="872"/>
      <c r="AK58" s="883"/>
      <c r="AL58" s="869" t="s">
        <v>1247</v>
      </c>
      <c r="AM58" s="869" t="s">
        <v>1236</v>
      </c>
      <c r="AN58" s="878">
        <v>14</v>
      </c>
      <c r="AO58" s="878">
        <f>J57</f>
        <v>0</v>
      </c>
      <c r="AP58" s="878">
        <f t="shared" si="23"/>
        <v>-14</v>
      </c>
      <c r="AQ58" s="878">
        <f t="shared" si="24"/>
        <v>-15970.5</v>
      </c>
      <c r="AR58" s="878">
        <v>14.5</v>
      </c>
      <c r="AS58" s="878">
        <f t="shared" si="25"/>
        <v>0.5</v>
      </c>
      <c r="AT58" s="878">
        <f t="shared" si="26"/>
        <v>570.375</v>
      </c>
      <c r="AU58" s="879"/>
      <c r="AV58" s="864">
        <v>3</v>
      </c>
      <c r="AW58" s="882">
        <v>13</v>
      </c>
      <c r="AX58" s="878">
        <f t="shared" si="27"/>
        <v>0.5</v>
      </c>
      <c r="AY58" s="868">
        <f t="shared" si="28"/>
        <v>3.8461538461538464E-2</v>
      </c>
      <c r="AZ58" s="869"/>
      <c r="BA58" s="882">
        <v>15</v>
      </c>
      <c r="BB58" s="878">
        <f t="shared" si="29"/>
        <v>0.5</v>
      </c>
      <c r="BC58" s="868">
        <f t="shared" si="30"/>
        <v>3.3333333333333333E-2</v>
      </c>
      <c r="BD58" s="869"/>
      <c r="BE58" s="882">
        <v>17</v>
      </c>
      <c r="BF58" s="878">
        <f t="shared" si="31"/>
        <v>0.5</v>
      </c>
      <c r="BG58" s="868">
        <f t="shared" si="32"/>
        <v>2.9411764705882353E-2</v>
      </c>
    </row>
    <row r="59" spans="1:59" ht="15.75" customHeight="1">
      <c r="A59" s="864" t="s">
        <v>443</v>
      </c>
      <c r="B59" s="812">
        <v>64972</v>
      </c>
      <c r="C59" s="812"/>
      <c r="D59" s="812">
        <v>66972</v>
      </c>
      <c r="E59" s="812"/>
      <c r="F59" s="812">
        <v>68472</v>
      </c>
      <c r="AJ59" s="872"/>
      <c r="AK59" s="883"/>
      <c r="AL59" s="869" t="s">
        <v>1248</v>
      </c>
      <c r="AM59" s="869" t="s">
        <v>1249</v>
      </c>
      <c r="AN59" s="878">
        <v>13</v>
      </c>
      <c r="AO59" s="878">
        <f>B59</f>
        <v>64972</v>
      </c>
      <c r="AP59" s="878">
        <f t="shared" si="23"/>
        <v>64959</v>
      </c>
      <c r="AQ59" s="878">
        <f t="shared" si="24"/>
        <v>74101979.25</v>
      </c>
      <c r="AR59" s="878">
        <v>13.5</v>
      </c>
      <c r="AS59" s="878">
        <f t="shared" si="25"/>
        <v>0.5</v>
      </c>
      <c r="AT59" s="878">
        <f t="shared" si="26"/>
        <v>570.375</v>
      </c>
      <c r="AU59" s="879"/>
      <c r="AV59" s="864">
        <v>4</v>
      </c>
      <c r="AW59" s="882">
        <v>13.5</v>
      </c>
      <c r="AX59" s="878">
        <f t="shared" si="27"/>
        <v>0.5</v>
      </c>
      <c r="AY59" s="868">
        <f t="shared" si="28"/>
        <v>3.7037037037037035E-2</v>
      </c>
      <c r="AZ59" s="869"/>
      <c r="BA59" s="882">
        <v>15.5</v>
      </c>
      <c r="BB59" s="878">
        <f t="shared" si="29"/>
        <v>0.5</v>
      </c>
      <c r="BC59" s="868">
        <f t="shared" si="30"/>
        <v>3.2258064516129031E-2</v>
      </c>
      <c r="BD59" s="869"/>
      <c r="BE59" s="882">
        <v>17.5</v>
      </c>
      <c r="BF59" s="878">
        <f t="shared" si="31"/>
        <v>0.5</v>
      </c>
      <c r="BG59" s="868">
        <f t="shared" si="32"/>
        <v>2.8571428571428571E-2</v>
      </c>
    </row>
    <row r="60" spans="1:59" ht="15.75" customHeight="1">
      <c r="A60" s="864" t="s">
        <v>444</v>
      </c>
      <c r="B60" s="812">
        <v>0</v>
      </c>
      <c r="C60" s="812"/>
      <c r="D60" s="812">
        <v>0</v>
      </c>
      <c r="E60" s="812"/>
      <c r="F60" s="812">
        <v>0</v>
      </c>
      <c r="AJ60" s="872"/>
      <c r="AK60" s="883"/>
      <c r="AL60" s="869" t="s">
        <v>1250</v>
      </c>
      <c r="AM60" s="869" t="s">
        <v>1236</v>
      </c>
      <c r="AN60" s="878">
        <v>14</v>
      </c>
      <c r="AO60" s="878">
        <f>J57</f>
        <v>0</v>
      </c>
      <c r="AP60" s="878">
        <f t="shared" si="23"/>
        <v>-14</v>
      </c>
      <c r="AQ60" s="878">
        <f t="shared" si="24"/>
        <v>-15970.5</v>
      </c>
      <c r="AR60" s="878">
        <v>14.5</v>
      </c>
      <c r="AS60" s="878">
        <f t="shared" si="25"/>
        <v>0.5</v>
      </c>
      <c r="AT60" s="878">
        <f t="shared" si="26"/>
        <v>570.375</v>
      </c>
      <c r="AU60" s="879"/>
      <c r="AV60" s="864">
        <v>5</v>
      </c>
      <c r="AW60" s="882">
        <v>14</v>
      </c>
      <c r="AX60" s="878">
        <f t="shared" si="27"/>
        <v>0.5</v>
      </c>
      <c r="AY60" s="868">
        <f t="shared" si="28"/>
        <v>3.5714285714285712E-2</v>
      </c>
      <c r="AZ60" s="869"/>
      <c r="BA60" s="882">
        <v>16</v>
      </c>
      <c r="BB60" s="878">
        <f t="shared" si="29"/>
        <v>0.5</v>
      </c>
      <c r="BC60" s="868">
        <f t="shared" si="30"/>
        <v>3.125E-2</v>
      </c>
      <c r="BD60" s="869"/>
      <c r="BE60" s="882">
        <v>18</v>
      </c>
      <c r="BF60" s="878">
        <f t="shared" si="31"/>
        <v>0.5</v>
      </c>
      <c r="BG60" s="868">
        <f t="shared" si="32"/>
        <v>2.7777777777777776E-2</v>
      </c>
    </row>
    <row r="61" spans="1:59" ht="15.75" customHeight="1">
      <c r="AJ61" s="872"/>
      <c r="AK61" s="883"/>
      <c r="AL61" s="869" t="s">
        <v>1251</v>
      </c>
      <c r="AM61" s="869" t="s">
        <v>1236</v>
      </c>
      <c r="AN61" s="878">
        <v>15</v>
      </c>
      <c r="AO61" s="878">
        <f>J59</f>
        <v>0</v>
      </c>
      <c r="AP61" s="878">
        <f t="shared" si="23"/>
        <v>-15</v>
      </c>
      <c r="AQ61" s="878">
        <f t="shared" si="24"/>
        <v>-17111.25</v>
      </c>
      <c r="AR61" s="878">
        <v>15.5</v>
      </c>
      <c r="AS61" s="878">
        <f t="shared" si="25"/>
        <v>0.5</v>
      </c>
      <c r="AT61" s="878">
        <f t="shared" si="26"/>
        <v>570.375</v>
      </c>
      <c r="AU61" s="879"/>
      <c r="AV61" s="864">
        <v>6</v>
      </c>
      <c r="AW61" s="882">
        <v>14.5</v>
      </c>
      <c r="AX61" s="878">
        <f t="shared" si="27"/>
        <v>0.5</v>
      </c>
      <c r="AY61" s="868">
        <f t="shared" si="28"/>
        <v>3.4482758620689655E-2</v>
      </c>
      <c r="AZ61" s="869"/>
      <c r="BA61" s="882">
        <v>16.5</v>
      </c>
      <c r="BB61" s="878">
        <f t="shared" si="29"/>
        <v>0.5</v>
      </c>
      <c r="BC61" s="868">
        <f t="shared" si="30"/>
        <v>3.0303030303030304E-2</v>
      </c>
      <c r="BD61" s="869"/>
      <c r="BE61" s="882">
        <v>18.5</v>
      </c>
      <c r="BF61" s="878">
        <f t="shared" si="31"/>
        <v>0.5</v>
      </c>
      <c r="BG61" s="868">
        <f t="shared" si="32"/>
        <v>2.7027027027027029E-2</v>
      </c>
    </row>
    <row r="62" spans="1:59" ht="15.75" customHeight="1">
      <c r="AJ62" s="872"/>
      <c r="AK62" s="884"/>
      <c r="AL62" s="869" t="s">
        <v>1252</v>
      </c>
      <c r="AM62" s="869" t="s">
        <v>1249</v>
      </c>
      <c r="AN62" s="878">
        <v>14.5</v>
      </c>
      <c r="AO62" s="878">
        <f>B62</f>
        <v>0</v>
      </c>
      <c r="AP62" s="878">
        <f t="shared" si="23"/>
        <v>-14.5</v>
      </c>
      <c r="AQ62" s="878">
        <f t="shared" si="24"/>
        <v>-16540.875</v>
      </c>
      <c r="AR62" s="878">
        <v>15</v>
      </c>
      <c r="AS62" s="878">
        <f t="shared" si="25"/>
        <v>0.5</v>
      </c>
      <c r="AT62" s="878">
        <f t="shared" si="26"/>
        <v>570.375</v>
      </c>
      <c r="AU62" s="879"/>
      <c r="AV62" s="864">
        <v>7</v>
      </c>
      <c r="AW62" s="882">
        <v>15</v>
      </c>
      <c r="AX62" s="878">
        <f t="shared" si="27"/>
        <v>0.5</v>
      </c>
      <c r="AY62" s="868">
        <f t="shared" si="28"/>
        <v>3.3333333333333333E-2</v>
      </c>
      <c r="AZ62" s="869"/>
      <c r="BA62" s="882">
        <v>17</v>
      </c>
      <c r="BB62" s="878">
        <f t="shared" si="29"/>
        <v>0.5</v>
      </c>
      <c r="BC62" s="868">
        <f t="shared" si="30"/>
        <v>2.9411764705882353E-2</v>
      </c>
      <c r="BD62" s="869"/>
      <c r="BE62" s="882">
        <v>19</v>
      </c>
      <c r="BF62" s="878">
        <f t="shared" si="31"/>
        <v>0.5</v>
      </c>
      <c r="BG62" s="868">
        <f t="shared" si="32"/>
        <v>2.6315789473684209E-2</v>
      </c>
    </row>
    <row r="63" spans="1:59" ht="15.75" customHeight="1">
      <c r="AJ63" s="872"/>
      <c r="AK63" s="862"/>
      <c r="AL63" s="861" t="s">
        <v>1253</v>
      </c>
      <c r="AM63" s="861" t="s">
        <v>1236</v>
      </c>
      <c r="AN63" s="878">
        <v>18</v>
      </c>
      <c r="AO63" s="878">
        <f>J65</f>
        <v>0</v>
      </c>
      <c r="AP63" s="878">
        <f t="shared" si="23"/>
        <v>-18</v>
      </c>
      <c r="AQ63" s="878">
        <f t="shared" si="24"/>
        <v>-20533.5</v>
      </c>
      <c r="AR63" s="878">
        <v>18</v>
      </c>
      <c r="AS63" s="878">
        <v>0.5</v>
      </c>
      <c r="AT63" s="878">
        <f t="shared" si="26"/>
        <v>570.375</v>
      </c>
      <c r="AU63" s="885"/>
      <c r="AV63" s="864">
        <v>8</v>
      </c>
      <c r="AW63" s="882">
        <v>15.5</v>
      </c>
      <c r="AX63" s="878">
        <f t="shared" si="27"/>
        <v>0.5</v>
      </c>
      <c r="AY63" s="868">
        <f t="shared" si="28"/>
        <v>3.2258064516129031E-2</v>
      </c>
      <c r="AZ63" s="869"/>
      <c r="BA63" s="882">
        <v>17.5</v>
      </c>
      <c r="BB63" s="878">
        <f t="shared" si="29"/>
        <v>0.5</v>
      </c>
      <c r="BC63" s="868">
        <f t="shared" si="30"/>
        <v>2.8571428571428571E-2</v>
      </c>
      <c r="BD63" s="869"/>
      <c r="BE63" s="882">
        <v>19.5</v>
      </c>
      <c r="BF63" s="878">
        <f t="shared" si="31"/>
        <v>0.5</v>
      </c>
      <c r="BG63" s="868">
        <f t="shared" si="32"/>
        <v>2.564102564102564E-2</v>
      </c>
    </row>
    <row r="64" spans="1:59" ht="15.75" customHeight="1">
      <c r="AJ64" s="872"/>
      <c r="AK64" s="862"/>
      <c r="AL64" s="861"/>
      <c r="AM64" s="861"/>
      <c r="AN64" s="861"/>
      <c r="AO64" s="861"/>
      <c r="AP64" s="861"/>
      <c r="AQ64" s="882">
        <f>SUM(AQ55:AQ63)</f>
        <v>73949118.75</v>
      </c>
      <c r="AR64" s="868"/>
      <c r="AS64" s="869"/>
      <c r="AT64" s="882">
        <f>SUM(AT55:AT63)</f>
        <v>5133.375</v>
      </c>
      <c r="AU64" s="885"/>
      <c r="AV64" s="864">
        <v>9</v>
      </c>
      <c r="AW64" s="882">
        <v>16</v>
      </c>
      <c r="AX64" s="878">
        <f t="shared" si="27"/>
        <v>0.5</v>
      </c>
      <c r="AY64" s="868">
        <f t="shared" si="28"/>
        <v>3.125E-2</v>
      </c>
      <c r="AZ64" s="869"/>
      <c r="BA64" s="882">
        <v>18</v>
      </c>
      <c r="BB64" s="878">
        <f t="shared" si="29"/>
        <v>0.5</v>
      </c>
      <c r="BC64" s="868">
        <f t="shared" si="30"/>
        <v>2.7777777777777776E-2</v>
      </c>
      <c r="BD64" s="869"/>
      <c r="BE64" s="882">
        <v>20</v>
      </c>
      <c r="BF64" s="878">
        <f t="shared" si="31"/>
        <v>0.5</v>
      </c>
      <c r="BG64" s="868">
        <f t="shared" si="32"/>
        <v>2.5000000000000001E-2</v>
      </c>
    </row>
    <row r="65" spans="36:59" ht="15.75" customHeight="1">
      <c r="AJ65" s="872"/>
      <c r="AK65" s="862"/>
      <c r="AL65" s="1126" t="s">
        <v>1254</v>
      </c>
      <c r="AM65" s="1123"/>
      <c r="AN65" s="1123"/>
      <c r="AO65" s="1123"/>
      <c r="AP65" s="1123"/>
      <c r="AQ65" s="1123"/>
      <c r="AR65" s="868"/>
      <c r="AS65" s="869"/>
      <c r="AT65" s="882"/>
      <c r="AU65" s="885"/>
      <c r="AV65" s="864">
        <v>10</v>
      </c>
      <c r="AW65" s="882">
        <v>16.5</v>
      </c>
      <c r="AX65" s="878">
        <f t="shared" si="27"/>
        <v>0.5</v>
      </c>
      <c r="AY65" s="868">
        <f t="shared" si="28"/>
        <v>3.0303030303030304E-2</v>
      </c>
      <c r="AZ65" s="869"/>
      <c r="BA65" s="882">
        <v>18.5</v>
      </c>
      <c r="BB65" s="886">
        <f t="shared" si="29"/>
        <v>0.5</v>
      </c>
      <c r="BC65" s="868">
        <f t="shared" si="30"/>
        <v>2.7027027027027029E-2</v>
      </c>
      <c r="BD65" s="869"/>
      <c r="BE65" s="882">
        <v>20.5</v>
      </c>
      <c r="BF65" s="886">
        <f t="shared" si="31"/>
        <v>0.5</v>
      </c>
      <c r="BG65" s="868">
        <f t="shared" si="32"/>
        <v>2.4390243902439025E-2</v>
      </c>
    </row>
    <row r="66" spans="36:59" ht="15.75" customHeight="1">
      <c r="AJ66" s="872"/>
      <c r="AK66" s="862"/>
      <c r="AL66" s="887" t="s">
        <v>1255</v>
      </c>
      <c r="AM66" s="887"/>
      <c r="AN66" s="888"/>
      <c r="AO66" s="888"/>
      <c r="AP66" s="888"/>
      <c r="AQ66" s="888"/>
      <c r="AR66" s="868"/>
      <c r="AS66" s="869"/>
      <c r="AT66" s="882"/>
      <c r="AU66" s="885"/>
      <c r="AV66" s="864">
        <v>11</v>
      </c>
      <c r="AW66" s="882">
        <v>17</v>
      </c>
      <c r="AX66" s="878">
        <f t="shared" si="27"/>
        <v>0.5</v>
      </c>
      <c r="AY66" s="868">
        <f t="shared" si="28"/>
        <v>2.9411764705882353E-2</v>
      </c>
      <c r="AZ66" s="869"/>
      <c r="BA66" s="882">
        <v>19</v>
      </c>
      <c r="BB66" s="886">
        <f t="shared" si="29"/>
        <v>0.5</v>
      </c>
      <c r="BC66" s="868">
        <f t="shared" si="30"/>
        <v>2.6315789473684209E-2</v>
      </c>
      <c r="BD66" s="869"/>
      <c r="BE66" s="882">
        <v>21</v>
      </c>
      <c r="BF66" s="886">
        <f t="shared" si="31"/>
        <v>0.5</v>
      </c>
      <c r="BG66" s="868">
        <f t="shared" si="32"/>
        <v>2.3809523809523808E-2</v>
      </c>
    </row>
    <row r="67" spans="36:59" ht="15.75" customHeight="1">
      <c r="AJ67" s="872"/>
      <c r="AK67" s="862"/>
      <c r="AL67" s="887" t="s">
        <v>1256</v>
      </c>
      <c r="AM67" s="887"/>
      <c r="AN67" s="878"/>
      <c r="AO67" s="878"/>
      <c r="AP67" s="878"/>
      <c r="AQ67" s="878"/>
      <c r="AR67" s="868"/>
      <c r="AS67" s="869"/>
      <c r="AT67" s="882"/>
      <c r="AU67" s="885"/>
      <c r="AV67" s="864">
        <v>12</v>
      </c>
      <c r="AW67" s="882">
        <v>17.5</v>
      </c>
      <c r="AX67" s="878">
        <f t="shared" si="27"/>
        <v>0.5</v>
      </c>
      <c r="AY67" s="868">
        <f t="shared" si="28"/>
        <v>2.8571428571428571E-2</v>
      </c>
      <c r="AZ67" s="869"/>
      <c r="BA67" s="882">
        <v>19.5</v>
      </c>
      <c r="BB67" s="886">
        <f t="shared" si="29"/>
        <v>0.5</v>
      </c>
      <c r="BC67" s="868">
        <f t="shared" si="30"/>
        <v>2.564102564102564E-2</v>
      </c>
      <c r="BD67" s="869"/>
      <c r="BE67" s="882">
        <v>21.5</v>
      </c>
      <c r="BF67" s="886">
        <f t="shared" si="31"/>
        <v>0.5</v>
      </c>
      <c r="BG67" s="868">
        <f t="shared" si="32"/>
        <v>2.3255813953488372E-2</v>
      </c>
    </row>
    <row r="68" spans="36:59" ht="15.75" customHeight="1">
      <c r="AJ68" s="872"/>
      <c r="AK68" s="862"/>
      <c r="AL68" s="887" t="s">
        <v>1257</v>
      </c>
      <c r="AM68" s="887"/>
      <c r="AN68" s="878"/>
      <c r="AO68" s="878"/>
      <c r="AP68" s="878"/>
      <c r="AQ68" s="878"/>
      <c r="AR68" s="868"/>
      <c r="AS68" s="869"/>
      <c r="AT68" s="882"/>
      <c r="AU68" s="885"/>
      <c r="AV68" s="864">
        <v>13</v>
      </c>
      <c r="AW68" s="882">
        <v>18</v>
      </c>
      <c r="AX68" s="878">
        <f t="shared" si="27"/>
        <v>0.5</v>
      </c>
      <c r="AY68" s="868">
        <f t="shared" si="28"/>
        <v>2.7777777777777776E-2</v>
      </c>
      <c r="AZ68" s="869"/>
      <c r="BA68" s="882">
        <v>20</v>
      </c>
      <c r="BB68" s="886">
        <f t="shared" si="29"/>
        <v>0.5</v>
      </c>
      <c r="BC68" s="868">
        <f t="shared" si="30"/>
        <v>2.5000000000000001E-2</v>
      </c>
      <c r="BD68" s="869"/>
      <c r="BE68" s="882">
        <v>22</v>
      </c>
      <c r="BF68" s="886">
        <f t="shared" si="31"/>
        <v>0.5</v>
      </c>
      <c r="BG68" s="868">
        <f t="shared" si="32"/>
        <v>2.2727272727272728E-2</v>
      </c>
    </row>
    <row r="69" spans="36:59" ht="15.75" customHeight="1">
      <c r="AJ69" s="872"/>
      <c r="AK69" s="862"/>
      <c r="AL69" s="887" t="s">
        <v>1258</v>
      </c>
      <c r="AM69" s="887"/>
      <c r="AN69" s="878"/>
      <c r="AO69" s="878"/>
      <c r="AP69" s="878"/>
      <c r="AQ69" s="878"/>
      <c r="AR69" s="868"/>
      <c r="AS69" s="869"/>
      <c r="AT69" s="882"/>
      <c r="AU69" s="885"/>
      <c r="AV69" s="864">
        <v>14</v>
      </c>
      <c r="AW69" s="882">
        <v>18.5</v>
      </c>
      <c r="AX69" s="878">
        <f t="shared" si="27"/>
        <v>0.5</v>
      </c>
      <c r="AY69" s="868">
        <f t="shared" si="28"/>
        <v>2.7027027027027029E-2</v>
      </c>
      <c r="AZ69" s="869"/>
      <c r="BA69" s="882">
        <v>20.5</v>
      </c>
      <c r="BB69" s="886">
        <f t="shared" si="29"/>
        <v>0.5</v>
      </c>
      <c r="BC69" s="868">
        <f t="shared" si="30"/>
        <v>2.4390243902439025E-2</v>
      </c>
      <c r="BD69" s="869"/>
      <c r="BE69" s="882">
        <v>22.5</v>
      </c>
      <c r="BF69" s="886">
        <f t="shared" si="31"/>
        <v>0.5</v>
      </c>
      <c r="BG69" s="868">
        <f t="shared" si="32"/>
        <v>2.2222222222222223E-2</v>
      </c>
    </row>
    <row r="70" spans="36:59" ht="15.75" customHeight="1">
      <c r="AJ70" s="868"/>
      <c r="AK70" s="862"/>
      <c r="AL70" s="889" t="s">
        <v>1259</v>
      </c>
      <c r="AM70" s="887"/>
      <c r="AN70" s="878"/>
      <c r="AO70" s="878"/>
      <c r="AP70" s="878"/>
      <c r="AQ70" s="878"/>
      <c r="AR70" s="868"/>
      <c r="AS70" s="869"/>
      <c r="AT70" s="882"/>
      <c r="AU70" s="885"/>
      <c r="AV70" s="864">
        <v>15</v>
      </c>
      <c r="AW70" s="882">
        <v>19</v>
      </c>
      <c r="AX70" s="878">
        <f t="shared" si="27"/>
        <v>0.5</v>
      </c>
      <c r="AY70" s="868">
        <f t="shared" si="28"/>
        <v>2.6315789473684209E-2</v>
      </c>
      <c r="AZ70" s="869"/>
      <c r="BA70" s="882">
        <v>21</v>
      </c>
      <c r="BB70" s="886">
        <f t="shared" si="29"/>
        <v>0.5</v>
      </c>
      <c r="BC70" s="868">
        <f t="shared" si="30"/>
        <v>2.3809523809523808E-2</v>
      </c>
      <c r="BD70" s="869"/>
      <c r="BE70" s="882">
        <v>23</v>
      </c>
      <c r="BF70" s="886">
        <f t="shared" si="31"/>
        <v>0.5</v>
      </c>
      <c r="BG70" s="868">
        <f t="shared" si="32"/>
        <v>2.1739130434782608E-2</v>
      </c>
    </row>
    <row r="71" spans="36:59" ht="15.75" customHeight="1">
      <c r="AJ71" s="868"/>
      <c r="AK71" s="862"/>
      <c r="AL71" s="887"/>
      <c r="AM71" s="887"/>
      <c r="AN71" s="878"/>
      <c r="AO71" s="878"/>
      <c r="AP71" s="878"/>
      <c r="AQ71" s="878"/>
      <c r="AR71" s="868"/>
      <c r="AS71" s="869"/>
      <c r="AT71" s="882"/>
      <c r="AU71" s="885"/>
      <c r="AV71" s="864">
        <v>16</v>
      </c>
      <c r="AW71" s="882">
        <v>19.5</v>
      </c>
      <c r="AX71" s="878">
        <f t="shared" si="27"/>
        <v>0.5</v>
      </c>
      <c r="AY71" s="868">
        <f t="shared" si="28"/>
        <v>2.564102564102564E-2</v>
      </c>
      <c r="AZ71" s="869"/>
      <c r="BA71" s="882">
        <v>21.5</v>
      </c>
      <c r="BB71" s="886">
        <f t="shared" si="29"/>
        <v>0.5</v>
      </c>
      <c r="BC71" s="868">
        <f t="shared" si="30"/>
        <v>2.3255813953488372E-2</v>
      </c>
      <c r="BD71" s="869"/>
      <c r="BE71" s="882">
        <v>23.5</v>
      </c>
      <c r="BF71" s="886">
        <f t="shared" si="31"/>
        <v>0.5</v>
      </c>
      <c r="BG71" s="868">
        <f t="shared" si="32"/>
        <v>2.1276595744680851E-2</v>
      </c>
    </row>
    <row r="72" spans="36:59" ht="15.75" customHeight="1">
      <c r="AJ72" s="862"/>
      <c r="AK72" s="862"/>
      <c r="AL72" s="869"/>
      <c r="AM72" s="869"/>
      <c r="AN72" s="878"/>
      <c r="AO72" s="878"/>
      <c r="AP72" s="878"/>
      <c r="AQ72" s="878"/>
      <c r="AR72" s="868"/>
      <c r="AS72" s="869"/>
      <c r="AT72" s="882"/>
      <c r="AU72" s="886"/>
      <c r="AV72" s="890"/>
      <c r="AW72" s="884"/>
      <c r="AX72" s="882"/>
      <c r="AY72" s="886"/>
      <c r="AZ72" s="890"/>
      <c r="BA72" s="884"/>
      <c r="BB72" s="882"/>
      <c r="BC72" s="886"/>
      <c r="BD72" s="890"/>
      <c r="BE72" s="891"/>
      <c r="BF72" s="891"/>
      <c r="BG72" s="891"/>
    </row>
    <row r="73" spans="36:59" ht="15.75" customHeight="1">
      <c r="AL73" s="1126" t="s">
        <v>1223</v>
      </c>
      <c r="AM73" s="1123"/>
      <c r="AN73" s="1123"/>
      <c r="AO73" s="1123"/>
      <c r="AP73" s="1123"/>
      <c r="AQ73" s="1123"/>
      <c r="AR73" s="872"/>
      <c r="AS73" s="872"/>
      <c r="AT73" s="872"/>
      <c r="AV73" s="1193" t="s">
        <v>1260</v>
      </c>
      <c r="AW73" s="1194"/>
      <c r="AX73" s="1194"/>
      <c r="AY73" s="1194"/>
      <c r="AZ73" s="1194"/>
      <c r="BA73" s="1194"/>
      <c r="BB73" s="1194"/>
      <c r="BC73" s="1194"/>
      <c r="BD73" s="1194"/>
      <c r="BE73" s="1194"/>
      <c r="BF73" s="1194"/>
      <c r="BG73" s="1194"/>
    </row>
    <row r="74" spans="36:59" ht="15.75" customHeight="1">
      <c r="AL74" s="873" t="s">
        <v>870</v>
      </c>
      <c r="AM74" s="873" t="s">
        <v>1226</v>
      </c>
      <c r="AN74" s="873" t="s">
        <v>1227</v>
      </c>
      <c r="AO74" s="873" t="s">
        <v>1228</v>
      </c>
      <c r="AP74" s="873" t="s">
        <v>1229</v>
      </c>
      <c r="AQ74" s="873" t="s">
        <v>1230</v>
      </c>
      <c r="AR74" s="872"/>
      <c r="AS74" s="872"/>
      <c r="AT74" s="872"/>
      <c r="AV74" s="1195" t="s">
        <v>1261</v>
      </c>
      <c r="AW74" s="1194"/>
      <c r="AX74" s="1194"/>
      <c r="AY74" s="1194"/>
      <c r="AZ74" s="1194"/>
      <c r="BA74" s="1194"/>
      <c r="BB74" s="1194"/>
      <c r="BC74" s="1194"/>
      <c r="BD74" s="1194"/>
      <c r="BE74" s="1194"/>
      <c r="BF74" s="1194"/>
      <c r="BG74" s="1194"/>
    </row>
    <row r="75" spans="36:59" ht="15.75" customHeight="1">
      <c r="AJ75" s="864"/>
      <c r="AL75" s="869" t="s">
        <v>1263</v>
      </c>
      <c r="AM75" s="869" t="s">
        <v>1264</v>
      </c>
      <c r="AN75" s="878">
        <f>BA87</f>
        <v>24.5</v>
      </c>
      <c r="AO75" s="878">
        <f t="shared" ref="AO75:AO76" si="33">J88</f>
        <v>0</v>
      </c>
      <c r="AP75" s="878">
        <f t="shared" ref="AP75:AP86" si="34">AO75-AN75</f>
        <v>-24.5</v>
      </c>
      <c r="AQ75" s="878">
        <f t="shared" ref="AQ75:AQ86" si="35">((AP75*6.75)*169)</f>
        <v>-27948.375</v>
      </c>
      <c r="AR75" s="872"/>
      <c r="AS75" s="872"/>
      <c r="AT75" s="872"/>
      <c r="AV75" s="892" t="s">
        <v>1262</v>
      </c>
      <c r="AW75" s="892"/>
      <c r="AX75" s="892"/>
      <c r="AY75" s="892"/>
      <c r="AZ75" s="892"/>
      <c r="BA75" s="892"/>
      <c r="BB75" s="892"/>
      <c r="BC75" s="892"/>
      <c r="BD75" s="892"/>
      <c r="BE75" s="892"/>
      <c r="BF75" s="892"/>
      <c r="BG75" s="892"/>
    </row>
    <row r="76" spans="36:59" ht="15.75" customHeight="1">
      <c r="AL76" s="869" t="s">
        <v>1268</v>
      </c>
      <c r="AM76" s="869" t="s">
        <v>1264</v>
      </c>
      <c r="AN76" s="878">
        <v>24.5</v>
      </c>
      <c r="AO76" s="878">
        <f t="shared" si="33"/>
        <v>0</v>
      </c>
      <c r="AP76" s="878">
        <f t="shared" si="34"/>
        <v>-24.5</v>
      </c>
      <c r="AQ76" s="878">
        <f t="shared" si="35"/>
        <v>-27948.375</v>
      </c>
      <c r="AR76" s="872"/>
      <c r="AS76" s="872"/>
      <c r="AT76" s="872"/>
      <c r="AV76" s="1198" t="s">
        <v>1234</v>
      </c>
      <c r="AW76" s="1196" t="s">
        <v>1265</v>
      </c>
      <c r="AX76" s="1194"/>
      <c r="AY76" s="1194"/>
      <c r="AZ76" s="865"/>
      <c r="BA76" s="1196" t="s">
        <v>1266</v>
      </c>
      <c r="BB76" s="1194"/>
      <c r="BC76" s="1194"/>
      <c r="BD76" s="865"/>
      <c r="BE76" s="1196" t="s">
        <v>1267</v>
      </c>
      <c r="BF76" s="1194"/>
      <c r="BG76" s="1194"/>
    </row>
    <row r="77" spans="36:59" ht="15.75" customHeight="1">
      <c r="AL77" s="869" t="s">
        <v>1272</v>
      </c>
      <c r="AM77" s="869" t="s">
        <v>1264</v>
      </c>
      <c r="AN77" s="878">
        <v>23.5</v>
      </c>
      <c r="AO77" s="878">
        <f>J86</f>
        <v>0</v>
      </c>
      <c r="AP77" s="878">
        <f t="shared" si="34"/>
        <v>-23.5</v>
      </c>
      <c r="AQ77" s="878">
        <f t="shared" si="35"/>
        <v>-26807.625</v>
      </c>
      <c r="AR77" s="872"/>
      <c r="AS77" s="872"/>
      <c r="AT77" s="872"/>
      <c r="AV77" s="1194"/>
      <c r="AW77" s="880" t="s">
        <v>1269</v>
      </c>
      <c r="AX77" s="1197" t="s">
        <v>1240</v>
      </c>
      <c r="AY77" s="1194"/>
      <c r="AZ77" s="865"/>
      <c r="BA77" s="880" t="s">
        <v>1270</v>
      </c>
      <c r="BB77" s="1197" t="s">
        <v>1240</v>
      </c>
      <c r="BC77" s="1194"/>
      <c r="BD77" s="865"/>
      <c r="BE77" s="880" t="s">
        <v>1271</v>
      </c>
      <c r="BF77" s="1197" t="s">
        <v>1240</v>
      </c>
      <c r="BG77" s="1194"/>
    </row>
    <row r="78" spans="36:59" ht="15.75" customHeight="1">
      <c r="AJ78" s="870"/>
      <c r="AL78" s="869" t="s">
        <v>1273</v>
      </c>
      <c r="AM78" s="869" t="s">
        <v>1264</v>
      </c>
      <c r="AN78" s="878">
        <v>21</v>
      </c>
      <c r="AO78" s="878">
        <f>J81</f>
        <v>0</v>
      </c>
      <c r="AP78" s="878">
        <f t="shared" si="34"/>
        <v>-21</v>
      </c>
      <c r="AQ78" s="878">
        <f t="shared" si="35"/>
        <v>-23955.75</v>
      </c>
      <c r="AR78" s="872"/>
      <c r="AS78" s="872"/>
      <c r="AT78" s="872"/>
      <c r="AV78" s="864">
        <v>1</v>
      </c>
      <c r="AW78" s="882">
        <v>15</v>
      </c>
      <c r="AX78" s="878"/>
      <c r="AY78" s="870"/>
      <c r="AZ78" s="869"/>
      <c r="BA78" s="882">
        <v>20</v>
      </c>
      <c r="BB78" s="878"/>
      <c r="BC78" s="870"/>
      <c r="BD78" s="869"/>
      <c r="BE78" s="882">
        <v>25</v>
      </c>
      <c r="BF78" s="878"/>
      <c r="BG78" s="870"/>
    </row>
    <row r="79" spans="36:59" ht="15.75" customHeight="1">
      <c r="AJ79" s="868"/>
      <c r="AL79" s="869" t="s">
        <v>1274</v>
      </c>
      <c r="AM79" s="869" t="s">
        <v>1275</v>
      </c>
      <c r="AN79" s="878">
        <v>26</v>
      </c>
      <c r="AO79" s="878">
        <f>N81</f>
        <v>0</v>
      </c>
      <c r="AP79" s="878">
        <f t="shared" si="34"/>
        <v>-26</v>
      </c>
      <c r="AQ79" s="878">
        <f t="shared" si="35"/>
        <v>-29659.5</v>
      </c>
      <c r="AR79" s="872"/>
      <c r="AS79" s="872"/>
      <c r="AT79" s="872"/>
      <c r="AV79" s="864">
        <v>2</v>
      </c>
      <c r="AW79" s="882">
        <v>15.25</v>
      </c>
      <c r="AX79" s="878">
        <f t="shared" ref="AX79:AX90" si="36">AW79-AW78</f>
        <v>0.25</v>
      </c>
      <c r="AY79" s="868">
        <f t="shared" ref="AY79:AY90" si="37">AX79/AW79</f>
        <v>1.6393442622950821E-2</v>
      </c>
      <c r="AZ79" s="869"/>
      <c r="BA79" s="882">
        <v>20.5</v>
      </c>
      <c r="BB79" s="878">
        <f t="shared" ref="BB79:BB90" si="38">BA79-BA78</f>
        <v>0.5</v>
      </c>
      <c r="BC79" s="868">
        <f t="shared" ref="BC79:BC90" si="39">BB79/BA79</f>
        <v>2.4390243902439025E-2</v>
      </c>
      <c r="BD79" s="869"/>
      <c r="BE79" s="882">
        <v>25.5</v>
      </c>
      <c r="BF79" s="878">
        <f t="shared" ref="BF79:BF90" si="40">BE79-BE78</f>
        <v>0.5</v>
      </c>
      <c r="BG79" s="868">
        <f t="shared" ref="BG79:BG90" si="41">BF79/BE79</f>
        <v>1.9607843137254902E-2</v>
      </c>
    </row>
    <row r="80" spans="36:59" ht="15.75" customHeight="1">
      <c r="AJ80" s="868"/>
      <c r="AL80" s="869" t="s">
        <v>1276</v>
      </c>
      <c r="AM80" s="869" t="s">
        <v>1264</v>
      </c>
      <c r="AN80" s="878">
        <v>20.5</v>
      </c>
      <c r="AO80" s="878">
        <f>J80</f>
        <v>0</v>
      </c>
      <c r="AP80" s="878">
        <f t="shared" si="34"/>
        <v>-20.5</v>
      </c>
      <c r="AQ80" s="878">
        <f t="shared" si="35"/>
        <v>-23385.375</v>
      </c>
      <c r="AR80" s="872"/>
      <c r="AS80" s="872"/>
      <c r="AT80" s="872"/>
      <c r="AV80" s="864">
        <v>3</v>
      </c>
      <c r="AW80" s="882">
        <v>15.5</v>
      </c>
      <c r="AX80" s="878">
        <f t="shared" si="36"/>
        <v>0.25</v>
      </c>
      <c r="AY80" s="868">
        <f t="shared" si="37"/>
        <v>1.6129032258064516E-2</v>
      </c>
      <c r="AZ80" s="869"/>
      <c r="BA80" s="882">
        <v>21</v>
      </c>
      <c r="BB80" s="878">
        <f t="shared" si="38"/>
        <v>0.5</v>
      </c>
      <c r="BC80" s="868">
        <f t="shared" si="39"/>
        <v>2.3809523809523808E-2</v>
      </c>
      <c r="BD80" s="869"/>
      <c r="BE80" s="882">
        <v>26</v>
      </c>
      <c r="BF80" s="878">
        <f t="shared" si="40"/>
        <v>0.5</v>
      </c>
      <c r="BG80" s="868">
        <f t="shared" si="41"/>
        <v>1.9230769230769232E-2</v>
      </c>
    </row>
    <row r="81" spans="36:59" ht="15.75" customHeight="1">
      <c r="AJ81" s="868"/>
      <c r="AL81" s="869" t="s">
        <v>1277</v>
      </c>
      <c r="AM81" s="869" t="s">
        <v>1264</v>
      </c>
      <c r="AN81" s="878">
        <v>20.5</v>
      </c>
      <c r="AO81" s="878">
        <f>J80</f>
        <v>0</v>
      </c>
      <c r="AP81" s="878">
        <f t="shared" si="34"/>
        <v>-20.5</v>
      </c>
      <c r="AQ81" s="878">
        <f t="shared" si="35"/>
        <v>-23385.375</v>
      </c>
      <c r="AR81" s="872"/>
      <c r="AS81" s="872"/>
      <c r="AT81" s="872"/>
      <c r="AV81" s="864">
        <v>4</v>
      </c>
      <c r="AW81" s="882">
        <v>15.75</v>
      </c>
      <c r="AX81" s="878">
        <f t="shared" si="36"/>
        <v>0.25</v>
      </c>
      <c r="AY81" s="868">
        <f t="shared" si="37"/>
        <v>1.5873015873015872E-2</v>
      </c>
      <c r="AZ81" s="869"/>
      <c r="BA81" s="882">
        <v>21.5</v>
      </c>
      <c r="BB81" s="878">
        <f t="shared" si="38"/>
        <v>0.5</v>
      </c>
      <c r="BC81" s="868">
        <f t="shared" si="39"/>
        <v>2.3255813953488372E-2</v>
      </c>
      <c r="BD81" s="869"/>
      <c r="BE81" s="882">
        <v>26.5</v>
      </c>
      <c r="BF81" s="878">
        <f t="shared" si="40"/>
        <v>0.5</v>
      </c>
      <c r="BG81" s="868">
        <f t="shared" si="41"/>
        <v>1.8867924528301886E-2</v>
      </c>
    </row>
    <row r="82" spans="36:59" ht="15.75" customHeight="1">
      <c r="AJ82" s="868"/>
      <c r="AL82" s="869" t="s">
        <v>1278</v>
      </c>
      <c r="AM82" s="869" t="s">
        <v>1264</v>
      </c>
      <c r="AN82" s="878">
        <v>21.5</v>
      </c>
      <c r="AO82" s="878">
        <f>J82</f>
        <v>0</v>
      </c>
      <c r="AP82" s="878">
        <f t="shared" si="34"/>
        <v>-21.5</v>
      </c>
      <c r="AQ82" s="878">
        <f t="shared" si="35"/>
        <v>-24526.125</v>
      </c>
      <c r="AR82" s="872"/>
      <c r="AS82" s="872"/>
      <c r="AT82" s="872"/>
      <c r="AV82" s="864">
        <v>5</v>
      </c>
      <c r="AW82" s="882">
        <v>16</v>
      </c>
      <c r="AX82" s="878">
        <f t="shared" si="36"/>
        <v>0.25</v>
      </c>
      <c r="AY82" s="868">
        <f t="shared" si="37"/>
        <v>1.5625E-2</v>
      </c>
      <c r="AZ82" s="869"/>
      <c r="BA82" s="882">
        <v>22</v>
      </c>
      <c r="BB82" s="878">
        <f t="shared" si="38"/>
        <v>0.5</v>
      </c>
      <c r="BC82" s="868">
        <f t="shared" si="39"/>
        <v>2.2727272727272728E-2</v>
      </c>
      <c r="BD82" s="869"/>
      <c r="BE82" s="882">
        <v>27</v>
      </c>
      <c r="BF82" s="878">
        <f t="shared" si="40"/>
        <v>0.5</v>
      </c>
      <c r="BG82" s="868">
        <f t="shared" si="41"/>
        <v>1.8518518518518517E-2</v>
      </c>
    </row>
    <row r="83" spans="36:59" ht="15.75" customHeight="1">
      <c r="AJ83" s="868"/>
      <c r="AL83" s="869" t="s">
        <v>1279</v>
      </c>
      <c r="AM83" s="869" t="s">
        <v>1264</v>
      </c>
      <c r="AN83" s="878">
        <v>24</v>
      </c>
      <c r="AO83" s="878">
        <f>J86</f>
        <v>0</v>
      </c>
      <c r="AP83" s="878">
        <f t="shared" si="34"/>
        <v>-24</v>
      </c>
      <c r="AQ83" s="878">
        <f t="shared" si="35"/>
        <v>-27378</v>
      </c>
      <c r="AR83" s="872"/>
      <c r="AS83" s="872"/>
      <c r="AT83" s="872"/>
      <c r="AV83" s="864">
        <v>6</v>
      </c>
      <c r="AW83" s="882">
        <v>16.25</v>
      </c>
      <c r="AX83" s="878">
        <f t="shared" si="36"/>
        <v>0.25</v>
      </c>
      <c r="AY83" s="868">
        <f t="shared" si="37"/>
        <v>1.5384615384615385E-2</v>
      </c>
      <c r="AZ83" s="869"/>
      <c r="BA83" s="882">
        <v>22.5</v>
      </c>
      <c r="BB83" s="878">
        <f t="shared" si="38"/>
        <v>0.5</v>
      </c>
      <c r="BC83" s="868">
        <f t="shared" si="39"/>
        <v>2.2222222222222223E-2</v>
      </c>
      <c r="BD83" s="869"/>
      <c r="BE83" s="882">
        <v>27.5</v>
      </c>
      <c r="BF83" s="878">
        <f t="shared" si="40"/>
        <v>0.5</v>
      </c>
      <c r="BG83" s="868">
        <f t="shared" si="41"/>
        <v>1.8181818181818181E-2</v>
      </c>
    </row>
    <row r="84" spans="36:59" ht="15.75" customHeight="1">
      <c r="AJ84" s="868"/>
      <c r="AL84" s="861" t="s">
        <v>1280</v>
      </c>
      <c r="AM84" s="869" t="s">
        <v>1264</v>
      </c>
      <c r="AN84" s="878">
        <v>20.5</v>
      </c>
      <c r="AO84" s="878">
        <f>J80</f>
        <v>0</v>
      </c>
      <c r="AP84" s="878">
        <f t="shared" si="34"/>
        <v>-20.5</v>
      </c>
      <c r="AQ84" s="878">
        <f t="shared" si="35"/>
        <v>-23385.375</v>
      </c>
      <c r="AR84" s="872"/>
      <c r="AS84" s="872"/>
      <c r="AT84" s="872"/>
      <c r="AV84" s="864">
        <v>7</v>
      </c>
      <c r="AW84" s="882">
        <v>16.5</v>
      </c>
      <c r="AX84" s="878">
        <f t="shared" si="36"/>
        <v>0.25</v>
      </c>
      <c r="AY84" s="868">
        <f t="shared" si="37"/>
        <v>1.5151515151515152E-2</v>
      </c>
      <c r="AZ84" s="869"/>
      <c r="BA84" s="882">
        <v>23</v>
      </c>
      <c r="BB84" s="878">
        <f t="shared" si="38"/>
        <v>0.5</v>
      </c>
      <c r="BC84" s="868">
        <f t="shared" si="39"/>
        <v>2.1739130434782608E-2</v>
      </c>
      <c r="BD84" s="869"/>
      <c r="BE84" s="882">
        <v>28</v>
      </c>
      <c r="BF84" s="878">
        <f t="shared" si="40"/>
        <v>0.5</v>
      </c>
      <c r="BG84" s="868">
        <f t="shared" si="41"/>
        <v>1.7857142857142856E-2</v>
      </c>
    </row>
    <row r="85" spans="36:59" ht="15.75" customHeight="1">
      <c r="AJ85" s="868"/>
      <c r="AL85" s="861" t="s">
        <v>1281</v>
      </c>
      <c r="AM85" s="869" t="s">
        <v>1264</v>
      </c>
      <c r="AN85" s="878">
        <v>21.5</v>
      </c>
      <c r="AO85" s="878">
        <f>J82</f>
        <v>0</v>
      </c>
      <c r="AP85" s="878">
        <f t="shared" si="34"/>
        <v>-21.5</v>
      </c>
      <c r="AQ85" s="878">
        <f t="shared" si="35"/>
        <v>-24526.125</v>
      </c>
      <c r="AR85" s="872"/>
      <c r="AS85" s="872"/>
      <c r="AT85" s="872"/>
      <c r="AV85" s="864">
        <v>8</v>
      </c>
      <c r="AW85" s="882">
        <v>16.75</v>
      </c>
      <c r="AX85" s="878">
        <f t="shared" si="36"/>
        <v>0.25</v>
      </c>
      <c r="AY85" s="868">
        <f t="shared" si="37"/>
        <v>1.4925373134328358E-2</v>
      </c>
      <c r="AZ85" s="869"/>
      <c r="BA85" s="882">
        <v>23.5</v>
      </c>
      <c r="BB85" s="878">
        <f t="shared" si="38"/>
        <v>0.5</v>
      </c>
      <c r="BC85" s="868">
        <f t="shared" si="39"/>
        <v>2.1276595744680851E-2</v>
      </c>
      <c r="BD85" s="869"/>
      <c r="BE85" s="882">
        <v>28.5</v>
      </c>
      <c r="BF85" s="878">
        <f t="shared" si="40"/>
        <v>0.5</v>
      </c>
      <c r="BG85" s="868">
        <f t="shared" si="41"/>
        <v>1.7543859649122806E-2</v>
      </c>
    </row>
    <row r="86" spans="36:59" ht="15.75" customHeight="1">
      <c r="AJ86" s="868"/>
      <c r="AL86" s="861" t="s">
        <v>1282</v>
      </c>
      <c r="AM86" s="869" t="s">
        <v>1264</v>
      </c>
      <c r="AN86" s="878">
        <v>20.5</v>
      </c>
      <c r="AO86" s="878">
        <f>J80</f>
        <v>0</v>
      </c>
      <c r="AP86" s="878">
        <f t="shared" si="34"/>
        <v>-20.5</v>
      </c>
      <c r="AQ86" s="878">
        <f t="shared" si="35"/>
        <v>-23385.375</v>
      </c>
      <c r="AR86" s="872"/>
      <c r="AS86" s="872"/>
      <c r="AT86" s="872"/>
      <c r="AV86" s="864">
        <v>9</v>
      </c>
      <c r="AW86" s="882">
        <v>17</v>
      </c>
      <c r="AX86" s="878">
        <f t="shared" si="36"/>
        <v>0.25</v>
      </c>
      <c r="AY86" s="868">
        <f t="shared" si="37"/>
        <v>1.4705882352941176E-2</v>
      </c>
      <c r="AZ86" s="869"/>
      <c r="BA86" s="882">
        <v>24</v>
      </c>
      <c r="BB86" s="878">
        <f t="shared" si="38"/>
        <v>0.5</v>
      </c>
      <c r="BC86" s="868">
        <f t="shared" si="39"/>
        <v>2.0833333333333332E-2</v>
      </c>
      <c r="BD86" s="869"/>
      <c r="BE86" s="882">
        <v>29</v>
      </c>
      <c r="BF86" s="878">
        <f t="shared" si="40"/>
        <v>0.5</v>
      </c>
      <c r="BG86" s="868">
        <f t="shared" si="41"/>
        <v>1.7241379310344827E-2</v>
      </c>
    </row>
    <row r="87" spans="36:59" ht="15.75" customHeight="1">
      <c r="AJ87" s="868"/>
      <c r="AL87" s="861"/>
      <c r="AM87" s="861"/>
      <c r="AN87" s="878"/>
      <c r="AO87" s="878"/>
      <c r="AP87" s="878"/>
      <c r="AQ87" s="878"/>
      <c r="AR87" s="872"/>
      <c r="AS87" s="872"/>
      <c r="AT87" s="872"/>
      <c r="AV87" s="864">
        <v>10</v>
      </c>
      <c r="AW87" s="882">
        <v>17.25</v>
      </c>
      <c r="AX87" s="878">
        <f t="shared" si="36"/>
        <v>0.25</v>
      </c>
      <c r="AY87" s="868">
        <f t="shared" si="37"/>
        <v>1.4492753623188406E-2</v>
      </c>
      <c r="AZ87" s="869"/>
      <c r="BA87" s="882">
        <v>24.5</v>
      </c>
      <c r="BB87" s="878">
        <f t="shared" si="38"/>
        <v>0.5</v>
      </c>
      <c r="BC87" s="868">
        <f t="shared" si="39"/>
        <v>2.0408163265306121E-2</v>
      </c>
      <c r="BD87" s="869"/>
      <c r="BE87" s="882">
        <v>29.5</v>
      </c>
      <c r="BF87" s="878">
        <f t="shared" si="40"/>
        <v>0.5</v>
      </c>
      <c r="BG87" s="868">
        <f t="shared" si="41"/>
        <v>1.6949152542372881E-2</v>
      </c>
    </row>
    <row r="88" spans="36:59" ht="15.75" customHeight="1">
      <c r="AJ88" s="868"/>
      <c r="AL88" s="861"/>
      <c r="AM88" s="861"/>
      <c r="AN88" s="878"/>
      <c r="AO88" s="878"/>
      <c r="AP88" s="878"/>
      <c r="AQ88" s="878"/>
      <c r="AR88" s="872"/>
      <c r="AS88" s="872"/>
      <c r="AT88" s="872"/>
      <c r="AV88" s="864">
        <v>11</v>
      </c>
      <c r="AW88" s="882">
        <v>17.5</v>
      </c>
      <c r="AX88" s="878">
        <f t="shared" si="36"/>
        <v>0.25</v>
      </c>
      <c r="AY88" s="868">
        <f t="shared" si="37"/>
        <v>1.4285714285714285E-2</v>
      </c>
      <c r="AZ88" s="869"/>
      <c r="BA88" s="882">
        <v>25</v>
      </c>
      <c r="BB88" s="878">
        <f t="shared" si="38"/>
        <v>0.5</v>
      </c>
      <c r="BC88" s="868">
        <f t="shared" si="39"/>
        <v>0.02</v>
      </c>
      <c r="BD88" s="869"/>
      <c r="BE88" s="882">
        <v>30</v>
      </c>
      <c r="BF88" s="878">
        <f t="shared" si="40"/>
        <v>0.5</v>
      </c>
      <c r="BG88" s="868">
        <f t="shared" si="41"/>
        <v>1.6666666666666666E-2</v>
      </c>
    </row>
    <row r="89" spans="36:59" ht="15.75" customHeight="1">
      <c r="AJ89" s="868"/>
      <c r="AL89" s="861"/>
      <c r="AM89" s="861"/>
      <c r="AN89" s="878"/>
      <c r="AO89" s="878"/>
      <c r="AP89" s="878"/>
      <c r="AQ89" s="878"/>
      <c r="AR89" s="872"/>
      <c r="AS89" s="872"/>
      <c r="AT89" s="872"/>
      <c r="AV89" s="864">
        <v>12</v>
      </c>
      <c r="AW89" s="882">
        <v>17.75</v>
      </c>
      <c r="AX89" s="878">
        <f t="shared" si="36"/>
        <v>0.25</v>
      </c>
      <c r="AY89" s="868">
        <f t="shared" si="37"/>
        <v>1.4084507042253521E-2</v>
      </c>
      <c r="AZ89" s="869"/>
      <c r="BA89" s="882">
        <v>25.5</v>
      </c>
      <c r="BB89" s="878">
        <f t="shared" si="38"/>
        <v>0.5</v>
      </c>
      <c r="BC89" s="868">
        <f t="shared" si="39"/>
        <v>1.9607843137254902E-2</v>
      </c>
      <c r="BD89" s="869"/>
      <c r="BE89" s="882">
        <v>30.5</v>
      </c>
      <c r="BF89" s="878">
        <f t="shared" si="40"/>
        <v>0.5</v>
      </c>
      <c r="BG89" s="868">
        <f t="shared" si="41"/>
        <v>1.6393442622950821E-2</v>
      </c>
    </row>
    <row r="90" spans="36:59" ht="15.75" customHeight="1">
      <c r="AJ90" s="868"/>
      <c r="AL90" s="861"/>
      <c r="AM90" s="861"/>
      <c r="AN90" s="878"/>
      <c r="AO90" s="878"/>
      <c r="AP90" s="878"/>
      <c r="AQ90" s="878"/>
      <c r="AR90" s="872"/>
      <c r="AS90" s="872"/>
      <c r="AT90" s="872"/>
      <c r="AV90" s="864">
        <v>13</v>
      </c>
      <c r="AW90" s="882">
        <v>18</v>
      </c>
      <c r="AX90" s="878">
        <f t="shared" si="36"/>
        <v>0.25</v>
      </c>
      <c r="AY90" s="868">
        <f t="shared" si="37"/>
        <v>1.3888888888888888E-2</v>
      </c>
      <c r="AZ90" s="869"/>
      <c r="BA90" s="882">
        <v>26</v>
      </c>
      <c r="BB90" s="878">
        <f t="shared" si="38"/>
        <v>0.5</v>
      </c>
      <c r="BC90" s="868">
        <f t="shared" si="39"/>
        <v>1.9230769230769232E-2</v>
      </c>
      <c r="BD90" s="869"/>
      <c r="BE90" s="882">
        <v>31</v>
      </c>
      <c r="BF90" s="878">
        <f t="shared" si="40"/>
        <v>0.5</v>
      </c>
      <c r="BG90" s="868">
        <f t="shared" si="41"/>
        <v>1.6129032258064516E-2</v>
      </c>
    </row>
    <row r="91" spans="36:59" ht="15.75" customHeight="1">
      <c r="AL91" s="872"/>
      <c r="AM91" s="872"/>
      <c r="AN91" s="872"/>
      <c r="AO91" s="872"/>
      <c r="AP91" s="872"/>
      <c r="AQ91" s="872"/>
      <c r="AR91" s="872"/>
      <c r="AS91" s="872"/>
      <c r="AT91" s="872"/>
      <c r="AY91" s="862"/>
      <c r="AZ91" s="862"/>
      <c r="BA91" s="862"/>
      <c r="BB91" s="862"/>
      <c r="BC91" s="862"/>
      <c r="BD91" s="862"/>
      <c r="BE91" s="862"/>
      <c r="BF91" s="862"/>
      <c r="BG91" s="862"/>
    </row>
    <row r="92" spans="36:59" ht="15.75" customHeight="1">
      <c r="AL92" s="872"/>
      <c r="AM92" s="872"/>
      <c r="AN92" s="872"/>
      <c r="AO92" s="872"/>
      <c r="AP92" s="872"/>
      <c r="AQ92" s="872"/>
      <c r="AR92" s="872"/>
      <c r="AS92" s="872"/>
      <c r="AT92" s="872"/>
      <c r="AY92" s="862"/>
      <c r="AZ92" s="862"/>
      <c r="BA92" s="862"/>
      <c r="BB92" s="862"/>
      <c r="BC92" s="862"/>
      <c r="BD92" s="862"/>
      <c r="BE92" s="862"/>
      <c r="BF92" s="862"/>
      <c r="BG92" s="862"/>
    </row>
    <row r="93" spans="36:59" ht="15.75" customHeight="1">
      <c r="AL93" s="872"/>
      <c r="AM93" s="872"/>
      <c r="AN93" s="872"/>
      <c r="AO93" s="872"/>
      <c r="AP93" s="872"/>
      <c r="AQ93" s="872"/>
      <c r="AR93" s="872"/>
      <c r="AS93" s="872"/>
      <c r="AT93" s="872"/>
      <c r="AY93" s="862"/>
      <c r="AZ93" s="1200"/>
      <c r="BA93" s="1192"/>
      <c r="BB93" s="1192"/>
      <c r="BC93" s="862"/>
      <c r="BD93" s="1200"/>
      <c r="BE93" s="1192"/>
      <c r="BF93" s="1192"/>
      <c r="BG93" s="880"/>
    </row>
    <row r="94" spans="36:59" ht="15.75" customHeight="1">
      <c r="AL94" s="872"/>
      <c r="AM94" s="872"/>
      <c r="AN94" s="872"/>
      <c r="AO94" s="872"/>
      <c r="AP94" s="872"/>
      <c r="AQ94" s="872"/>
      <c r="AR94" s="872"/>
      <c r="AS94" s="872"/>
      <c r="AT94" s="872"/>
      <c r="AY94" s="862"/>
      <c r="AZ94" s="880"/>
      <c r="BA94" s="1191"/>
      <c r="BB94" s="1192"/>
      <c r="BC94" s="862"/>
      <c r="BD94" s="880"/>
      <c r="BE94" s="1191"/>
      <c r="BF94" s="1192"/>
      <c r="BG94" s="893"/>
    </row>
    <row r="95" spans="36:59" ht="15.75" customHeight="1">
      <c r="AL95" s="872"/>
      <c r="AM95" s="872"/>
      <c r="AN95" s="872"/>
      <c r="AO95" s="872"/>
      <c r="AP95" s="872"/>
      <c r="AQ95" s="872"/>
      <c r="AR95" s="872"/>
      <c r="AS95" s="872"/>
      <c r="AT95" s="872"/>
      <c r="AY95" s="884"/>
      <c r="AZ95" s="882"/>
      <c r="BA95" s="885"/>
      <c r="BB95" s="891"/>
      <c r="BC95" s="884"/>
      <c r="BD95" s="882"/>
      <c r="BE95" s="885"/>
      <c r="BF95" s="891"/>
      <c r="BG95" s="891"/>
    </row>
    <row r="96" spans="36:59" ht="15.75" customHeight="1">
      <c r="AL96" s="872"/>
      <c r="AM96" s="872"/>
      <c r="AN96" s="872"/>
      <c r="AO96" s="872"/>
      <c r="AP96" s="872"/>
      <c r="AQ96" s="872"/>
      <c r="AR96" s="872"/>
      <c r="AS96" s="872"/>
      <c r="AT96" s="872"/>
      <c r="AY96" s="862"/>
      <c r="AZ96" s="862"/>
      <c r="BA96" s="862"/>
      <c r="BB96" s="862"/>
      <c r="BC96" s="862"/>
      <c r="BD96" s="862"/>
      <c r="BE96" s="862"/>
      <c r="BF96" s="862"/>
      <c r="BG96" s="862"/>
    </row>
    <row r="97" spans="36:59" ht="15.75" hidden="1" customHeight="1">
      <c r="AJ97" s="862"/>
      <c r="AK97" s="862"/>
      <c r="AL97" s="861"/>
      <c r="AM97" s="861"/>
      <c r="AN97" s="861"/>
      <c r="AO97" s="872"/>
      <c r="AP97" s="872"/>
      <c r="AQ97" s="872"/>
      <c r="AR97" s="872"/>
      <c r="AS97" s="872"/>
      <c r="AT97" s="872"/>
      <c r="AY97" s="862"/>
      <c r="AZ97" s="862"/>
      <c r="BA97" s="862"/>
      <c r="BB97" s="862"/>
      <c r="BC97" s="862"/>
      <c r="BD97" s="862"/>
      <c r="BE97" s="862"/>
      <c r="BF97" s="862"/>
      <c r="BG97" s="862"/>
    </row>
    <row r="98" spans="36:59" ht="15.75" hidden="1" customHeight="1">
      <c r="AJ98" s="862"/>
      <c r="AK98" s="862"/>
      <c r="AL98" s="861"/>
      <c r="AM98" s="861"/>
      <c r="AN98" s="861"/>
      <c r="AO98" s="872"/>
      <c r="AP98" s="872"/>
      <c r="AQ98" s="872"/>
      <c r="AR98" s="872"/>
      <c r="AS98" s="872"/>
      <c r="AT98" s="872"/>
      <c r="AY98" s="862"/>
      <c r="AZ98" s="862"/>
      <c r="BA98" s="862"/>
      <c r="BB98" s="862"/>
      <c r="BC98" s="862"/>
      <c r="BD98" s="862"/>
      <c r="BE98" s="862"/>
      <c r="BF98" s="862"/>
      <c r="BG98" s="862"/>
    </row>
    <row r="99" spans="36:59" ht="15.75" hidden="1" customHeight="1">
      <c r="AJ99" s="862"/>
      <c r="AK99" s="862"/>
      <c r="AL99" s="861"/>
      <c r="AM99" s="861"/>
      <c r="AN99" s="861"/>
      <c r="AO99" s="872"/>
      <c r="AP99" s="872"/>
      <c r="AQ99" s="872"/>
      <c r="AR99" s="872"/>
      <c r="AS99" s="872"/>
      <c r="AT99" s="872"/>
      <c r="AY99" s="862"/>
      <c r="AZ99" s="862"/>
      <c r="BA99" s="862"/>
      <c r="BB99" s="862"/>
      <c r="BC99" s="862"/>
      <c r="BD99" s="862"/>
      <c r="BE99" s="862"/>
      <c r="BF99" s="862"/>
      <c r="BG99" s="862"/>
    </row>
    <row r="100" spans="36:59" ht="15.75" hidden="1" customHeight="1">
      <c r="AJ100" s="862"/>
      <c r="AK100" s="862"/>
      <c r="AL100" s="861"/>
      <c r="AM100" s="861"/>
      <c r="AN100" s="861"/>
      <c r="AO100" s="872"/>
      <c r="AP100" s="872"/>
      <c r="AQ100" s="872"/>
      <c r="AR100" s="872"/>
      <c r="AS100" s="872"/>
      <c r="AT100" s="872"/>
      <c r="AY100" s="862"/>
      <c r="AZ100" s="862"/>
      <c r="BA100" s="862"/>
      <c r="BB100" s="862"/>
      <c r="BC100" s="862"/>
      <c r="BD100" s="862"/>
      <c r="BE100" s="862"/>
      <c r="BF100" s="862"/>
      <c r="BG100" s="862"/>
    </row>
    <row r="101" spans="36:59" ht="15.75" hidden="1" customHeight="1">
      <c r="AJ101" s="862" t="s">
        <v>1283</v>
      </c>
      <c r="AK101" s="862"/>
      <c r="AL101" s="861"/>
      <c r="AM101" s="861"/>
      <c r="AN101" s="861"/>
      <c r="AO101" s="872"/>
      <c r="AP101" s="872"/>
      <c r="AQ101" s="872"/>
      <c r="AR101" s="872"/>
      <c r="AS101" s="872"/>
      <c r="AT101" s="872"/>
      <c r="AY101" s="862"/>
      <c r="AZ101" s="862"/>
      <c r="BA101" s="862"/>
      <c r="BB101" s="862"/>
      <c r="BC101" s="862"/>
      <c r="BD101" s="862"/>
      <c r="BE101" s="862"/>
      <c r="BF101" s="862"/>
      <c r="BG101" s="862"/>
    </row>
    <row r="102" spans="36:59" ht="15.75" hidden="1" customHeight="1">
      <c r="AJ102" s="885">
        <f t="shared" ref="AJ102:AJ111" si="42">AI102*1101</f>
        <v>0</v>
      </c>
      <c r="AK102" s="885"/>
      <c r="AL102" s="878"/>
      <c r="AM102" s="878"/>
      <c r="AN102" s="878"/>
      <c r="AO102" s="872"/>
      <c r="AP102" s="872"/>
      <c r="AQ102" s="872"/>
      <c r="AR102" s="872"/>
      <c r="AS102" s="872"/>
      <c r="AT102" s="872"/>
      <c r="AY102" s="862"/>
      <c r="AZ102" s="862"/>
      <c r="BA102" s="862"/>
      <c r="BB102" s="862"/>
      <c r="BC102" s="862"/>
      <c r="BD102" s="862"/>
      <c r="BE102" s="862"/>
      <c r="BF102" s="862"/>
      <c r="BG102" s="862"/>
    </row>
    <row r="103" spans="36:59" ht="15.75" hidden="1" customHeight="1">
      <c r="AJ103" s="885">
        <f t="shared" si="42"/>
        <v>0</v>
      </c>
      <c r="AK103" s="885"/>
      <c r="AL103" s="878"/>
      <c r="AM103" s="878"/>
      <c r="AN103" s="878"/>
      <c r="AO103" s="872"/>
      <c r="AP103" s="872"/>
      <c r="AQ103" s="872"/>
      <c r="AR103" s="872"/>
      <c r="AS103" s="872"/>
      <c r="AT103" s="872"/>
      <c r="AY103" s="862"/>
      <c r="AZ103" s="862"/>
      <c r="BA103" s="862"/>
      <c r="BB103" s="862"/>
      <c r="BC103" s="862"/>
      <c r="BD103" s="862"/>
      <c r="BE103" s="862"/>
      <c r="BF103" s="862"/>
      <c r="BG103" s="862"/>
    </row>
    <row r="104" spans="36:59" ht="15.75" hidden="1" customHeight="1">
      <c r="AJ104" s="885">
        <f t="shared" si="42"/>
        <v>0</v>
      </c>
      <c r="AK104" s="885"/>
      <c r="AL104" s="878"/>
      <c r="AM104" s="878"/>
      <c r="AN104" s="878"/>
      <c r="AO104" s="872"/>
      <c r="AP104" s="872"/>
      <c r="AQ104" s="872"/>
      <c r="AR104" s="872"/>
      <c r="AS104" s="872"/>
      <c r="AT104" s="872"/>
      <c r="AY104" s="862"/>
      <c r="AZ104" s="862"/>
      <c r="BA104" s="862"/>
      <c r="BB104" s="862"/>
      <c r="BC104" s="862"/>
      <c r="BD104" s="862"/>
      <c r="BE104" s="862"/>
      <c r="BF104" s="862"/>
      <c r="BG104" s="862"/>
    </row>
    <row r="105" spans="36:59" ht="15.75" hidden="1" customHeight="1">
      <c r="AJ105" s="885">
        <f t="shared" si="42"/>
        <v>0</v>
      </c>
      <c r="AK105" s="885"/>
      <c r="AL105" s="878"/>
      <c r="AM105" s="878"/>
      <c r="AN105" s="878"/>
      <c r="AO105" s="872"/>
      <c r="AP105" s="872"/>
      <c r="AQ105" s="872"/>
      <c r="AR105" s="872"/>
      <c r="AS105" s="872"/>
      <c r="AT105" s="872"/>
      <c r="AY105" s="862"/>
      <c r="AZ105" s="862"/>
      <c r="BA105" s="862"/>
      <c r="BB105" s="862"/>
      <c r="BC105" s="862"/>
      <c r="BD105" s="862"/>
      <c r="BE105" s="862"/>
      <c r="BF105" s="862"/>
      <c r="BG105" s="862"/>
    </row>
    <row r="106" spans="36:59" ht="15.75" hidden="1" customHeight="1">
      <c r="AJ106" s="885">
        <f t="shared" si="42"/>
        <v>0</v>
      </c>
      <c r="AK106" s="885"/>
      <c r="AL106" s="878"/>
      <c r="AM106" s="878"/>
      <c r="AN106" s="878"/>
      <c r="AO106" s="872"/>
      <c r="AP106" s="872"/>
      <c r="AQ106" s="872"/>
      <c r="AR106" s="872"/>
      <c r="AS106" s="872"/>
      <c r="AT106" s="872"/>
      <c r="AY106" s="862"/>
      <c r="AZ106" s="862"/>
      <c r="BA106" s="862"/>
      <c r="BB106" s="862"/>
      <c r="BC106" s="862"/>
      <c r="BD106" s="862"/>
      <c r="BE106" s="862"/>
      <c r="BF106" s="862"/>
      <c r="BG106" s="862"/>
    </row>
    <row r="107" spans="36:59" ht="15.75" hidden="1" customHeight="1">
      <c r="AJ107" s="885">
        <f t="shared" si="42"/>
        <v>0</v>
      </c>
      <c r="AK107" s="885"/>
      <c r="AL107" s="878"/>
      <c r="AM107" s="878"/>
      <c r="AN107" s="878"/>
      <c r="AO107" s="872"/>
      <c r="AP107" s="872"/>
      <c r="AQ107" s="872"/>
      <c r="AR107" s="872"/>
      <c r="AS107" s="872"/>
      <c r="AT107" s="872"/>
      <c r="AY107" s="862"/>
      <c r="AZ107" s="862"/>
      <c r="BA107" s="862"/>
      <c r="BB107" s="862"/>
      <c r="BC107" s="862"/>
      <c r="BD107" s="862"/>
      <c r="BE107" s="862"/>
      <c r="BF107" s="862"/>
      <c r="BG107" s="862"/>
    </row>
    <row r="108" spans="36:59" ht="15.75" hidden="1" customHeight="1">
      <c r="AJ108" s="885">
        <f t="shared" si="42"/>
        <v>0</v>
      </c>
      <c r="AK108" s="885"/>
      <c r="AL108" s="878"/>
      <c r="AM108" s="878"/>
      <c r="AN108" s="878"/>
      <c r="AO108" s="872"/>
      <c r="AP108" s="872"/>
      <c r="AQ108" s="872"/>
      <c r="AR108" s="872"/>
      <c r="AS108" s="872"/>
      <c r="AT108" s="872"/>
      <c r="AY108" s="862"/>
      <c r="AZ108" s="862"/>
      <c r="BA108" s="862"/>
      <c r="BB108" s="862"/>
      <c r="BC108" s="862"/>
      <c r="BD108" s="862"/>
      <c r="BE108" s="862"/>
      <c r="BF108" s="862"/>
      <c r="BG108" s="862"/>
    </row>
    <row r="109" spans="36:59" ht="15.75" hidden="1" customHeight="1">
      <c r="AJ109" s="885">
        <f t="shared" si="42"/>
        <v>0</v>
      </c>
      <c r="AK109" s="885"/>
      <c r="AL109" s="878"/>
      <c r="AM109" s="878"/>
      <c r="AN109" s="878"/>
      <c r="AO109" s="872"/>
      <c r="AP109" s="872"/>
      <c r="AQ109" s="872"/>
      <c r="AR109" s="872"/>
      <c r="AS109" s="872"/>
      <c r="AT109" s="872"/>
      <c r="AY109" s="862"/>
      <c r="AZ109" s="862"/>
      <c r="BA109" s="862"/>
      <c r="BB109" s="862"/>
      <c r="BC109" s="862"/>
      <c r="BD109" s="862"/>
      <c r="BE109" s="862"/>
      <c r="BF109" s="862"/>
      <c r="BG109" s="862"/>
    </row>
    <row r="110" spans="36:59" ht="15.75" hidden="1" customHeight="1">
      <c r="AJ110" s="885">
        <f t="shared" si="42"/>
        <v>0</v>
      </c>
      <c r="AK110" s="885"/>
      <c r="AL110" s="878"/>
      <c r="AM110" s="878"/>
      <c r="AN110" s="878"/>
      <c r="AO110" s="872"/>
      <c r="AP110" s="872"/>
      <c r="AQ110" s="872"/>
      <c r="AR110" s="872"/>
      <c r="AS110" s="872"/>
      <c r="AT110" s="872"/>
      <c r="AY110" s="862"/>
      <c r="AZ110" s="862"/>
      <c r="BA110" s="862"/>
      <c r="BB110" s="862"/>
      <c r="BC110" s="862"/>
      <c r="BD110" s="862"/>
      <c r="BE110" s="862"/>
      <c r="BF110" s="862"/>
      <c r="BG110" s="862"/>
    </row>
    <row r="111" spans="36:59" ht="15.75" hidden="1" customHeight="1">
      <c r="AJ111" s="885">
        <f t="shared" si="42"/>
        <v>0</v>
      </c>
      <c r="AK111" s="885"/>
      <c r="AL111" s="878"/>
      <c r="AM111" s="878"/>
      <c r="AN111" s="878"/>
      <c r="AO111" s="861"/>
      <c r="AP111" s="861"/>
      <c r="AQ111" s="861"/>
      <c r="AR111" s="861"/>
      <c r="AS111" s="861"/>
      <c r="AT111" s="861"/>
      <c r="AU111" s="862"/>
      <c r="AV111" s="862"/>
      <c r="AW111" s="862"/>
      <c r="AX111" s="862"/>
      <c r="AY111" s="862"/>
      <c r="AZ111" s="862"/>
      <c r="BA111" s="862"/>
      <c r="BB111" s="862"/>
      <c r="BC111" s="862"/>
      <c r="BD111" s="862"/>
      <c r="BE111" s="862"/>
      <c r="BF111" s="862"/>
      <c r="BG111" s="862"/>
    </row>
    <row r="112" spans="36:59" ht="15.75" hidden="1" customHeight="1">
      <c r="AJ112" s="885"/>
      <c r="AK112" s="885"/>
      <c r="AL112" s="878"/>
      <c r="AM112" s="878"/>
      <c r="AN112" s="878"/>
      <c r="AO112" s="861"/>
      <c r="AP112" s="861"/>
      <c r="AQ112" s="861"/>
      <c r="AR112" s="861"/>
      <c r="AS112" s="861"/>
      <c r="AT112" s="861"/>
      <c r="AU112" s="862"/>
      <c r="AV112" s="862"/>
      <c r="AW112" s="862"/>
      <c r="AX112" s="862"/>
      <c r="AY112" s="862"/>
      <c r="AZ112" s="862"/>
      <c r="BA112" s="862"/>
      <c r="BB112" s="862"/>
      <c r="BC112" s="862"/>
      <c r="BD112" s="862"/>
      <c r="BE112" s="862"/>
      <c r="BF112" s="862"/>
      <c r="BG112" s="862"/>
    </row>
    <row r="113" spans="36:59" ht="15.75" hidden="1" customHeight="1">
      <c r="AJ113" s="885"/>
      <c r="AK113" s="885"/>
      <c r="AL113" s="878"/>
      <c r="AM113" s="878"/>
      <c r="AN113" s="878"/>
      <c r="AO113" s="861"/>
      <c r="AP113" s="861"/>
      <c r="AQ113" s="861"/>
      <c r="AR113" s="861"/>
      <c r="AS113" s="861"/>
      <c r="AT113" s="861"/>
      <c r="AU113" s="862"/>
      <c r="AV113" s="862"/>
      <c r="AW113" s="862"/>
      <c r="AX113" s="862"/>
      <c r="AY113" s="862"/>
      <c r="AZ113" s="862"/>
      <c r="BA113" s="862"/>
      <c r="BB113" s="862"/>
      <c r="BC113" s="862"/>
      <c r="BD113" s="862"/>
      <c r="BE113" s="862"/>
      <c r="BF113" s="862"/>
      <c r="BG113" s="862"/>
    </row>
    <row r="114" spans="36:59" ht="15.75" hidden="1" customHeight="1">
      <c r="AJ114" s="885"/>
      <c r="AK114" s="885"/>
      <c r="AL114" s="878"/>
      <c r="AM114" s="878"/>
      <c r="AN114" s="878"/>
      <c r="AO114" s="861"/>
      <c r="AP114" s="861"/>
      <c r="AQ114" s="861"/>
      <c r="AR114" s="861"/>
      <c r="AS114" s="861"/>
      <c r="AT114" s="861"/>
      <c r="AU114" s="862"/>
      <c r="AV114" s="862"/>
      <c r="AW114" s="862"/>
      <c r="AX114" s="862"/>
      <c r="AY114" s="862"/>
      <c r="AZ114" s="862"/>
      <c r="BA114" s="862"/>
      <c r="BB114" s="862"/>
      <c r="BC114" s="862"/>
      <c r="BD114" s="862"/>
      <c r="BE114" s="862"/>
      <c r="BF114" s="862"/>
      <c r="BG114" s="862"/>
    </row>
    <row r="115" spans="36:59" ht="15.75" hidden="1" customHeight="1">
      <c r="AJ115" s="862"/>
      <c r="AK115" s="862"/>
      <c r="AL115" s="861"/>
      <c r="AM115" s="861"/>
      <c r="AN115" s="861"/>
      <c r="AO115" s="861"/>
      <c r="AP115" s="861"/>
      <c r="AQ115" s="861"/>
      <c r="AR115" s="861"/>
      <c r="AS115" s="861"/>
      <c r="AT115" s="861"/>
      <c r="AU115" s="862"/>
      <c r="AV115" s="862"/>
      <c r="AW115" s="862"/>
      <c r="AX115" s="862"/>
      <c r="AY115" s="862"/>
      <c r="AZ115" s="862"/>
      <c r="BA115" s="862"/>
      <c r="BB115" s="862"/>
      <c r="BC115" s="862"/>
      <c r="BD115" s="862"/>
      <c r="BE115" s="862"/>
      <c r="BF115" s="862"/>
      <c r="BG115" s="862"/>
    </row>
    <row r="116" spans="36:59" ht="15.75" hidden="1" customHeight="1">
      <c r="AJ116" s="862"/>
      <c r="AK116" s="862"/>
      <c r="AL116" s="861"/>
      <c r="AM116" s="861"/>
      <c r="AN116" s="861"/>
      <c r="AO116" s="861"/>
      <c r="AP116" s="861"/>
      <c r="AQ116" s="861"/>
      <c r="AR116" s="861"/>
      <c r="AS116" s="861"/>
      <c r="AT116" s="861"/>
      <c r="AU116" s="862"/>
      <c r="AV116" s="862"/>
      <c r="AW116" s="862"/>
      <c r="AX116" s="862"/>
      <c r="AY116" s="862"/>
      <c r="AZ116" s="862"/>
      <c r="BA116" s="862"/>
      <c r="BB116" s="862"/>
      <c r="BC116" s="862"/>
      <c r="BD116" s="862"/>
      <c r="BE116" s="862"/>
      <c r="BF116" s="862"/>
      <c r="BG116" s="862"/>
    </row>
    <row r="117" spans="36:59" ht="15.75" hidden="1" customHeight="1">
      <c r="AJ117" s="862"/>
      <c r="AK117" s="862"/>
      <c r="AL117" s="894"/>
      <c r="AO117" s="861"/>
      <c r="AP117" s="861"/>
      <c r="AQ117" s="861"/>
      <c r="AR117" s="861"/>
      <c r="AS117" s="861"/>
      <c r="AT117" s="861"/>
      <c r="AU117" s="862"/>
      <c r="AV117" s="862"/>
      <c r="AW117" s="862"/>
      <c r="AX117" s="862"/>
      <c r="AY117" s="862"/>
      <c r="AZ117" s="862"/>
      <c r="BA117" s="862"/>
      <c r="BB117" s="862"/>
      <c r="BC117" s="862"/>
      <c r="BD117" s="862"/>
      <c r="BE117" s="862"/>
      <c r="BF117" s="862"/>
      <c r="BG117" s="862"/>
    </row>
    <row r="118" spans="36:59" ht="15.75" hidden="1" customHeight="1">
      <c r="AJ118" s="862"/>
      <c r="AK118" s="862"/>
      <c r="AL118" s="1125"/>
      <c r="AO118" s="861"/>
      <c r="AP118" s="861"/>
      <c r="AQ118" s="861"/>
      <c r="AR118" s="861"/>
      <c r="AS118" s="861"/>
      <c r="AT118" s="861"/>
      <c r="AU118" s="862"/>
      <c r="AV118" s="862"/>
      <c r="AW118" s="862"/>
      <c r="AX118" s="862"/>
      <c r="AY118" s="862"/>
      <c r="AZ118" s="862"/>
      <c r="BA118" s="862"/>
      <c r="BB118" s="862"/>
      <c r="BC118" s="862"/>
      <c r="BD118" s="862"/>
      <c r="BE118" s="862"/>
      <c r="BF118" s="862"/>
      <c r="BG118" s="862"/>
    </row>
    <row r="119" spans="36:59" ht="15.75" hidden="1" customHeight="1">
      <c r="AJ119" s="862"/>
      <c r="AK119" s="862"/>
      <c r="AL119" s="878"/>
      <c r="AM119" s="878"/>
      <c r="AN119" s="870"/>
      <c r="AO119" s="861"/>
      <c r="AP119" s="861"/>
      <c r="AQ119" s="861"/>
      <c r="AR119" s="861"/>
      <c r="AS119" s="861"/>
      <c r="AT119" s="861"/>
      <c r="AU119" s="862"/>
      <c r="AV119" s="862"/>
      <c r="AW119" s="862"/>
      <c r="AX119" s="862"/>
      <c r="AY119" s="862"/>
      <c r="AZ119" s="862"/>
      <c r="BA119" s="862"/>
      <c r="BB119" s="862"/>
      <c r="BC119" s="862"/>
      <c r="BD119" s="862"/>
      <c r="BE119" s="862"/>
      <c r="BF119" s="862"/>
      <c r="BG119" s="862"/>
    </row>
    <row r="120" spans="36:59" ht="15.75" hidden="1" customHeight="1">
      <c r="AJ120" s="862"/>
      <c r="AK120" s="862"/>
      <c r="AL120" s="878"/>
      <c r="AM120" s="878"/>
      <c r="AN120" s="868"/>
      <c r="AO120" s="861"/>
      <c r="AP120" s="861"/>
      <c r="AQ120" s="861"/>
      <c r="AR120" s="861"/>
      <c r="AS120" s="861"/>
      <c r="AT120" s="861"/>
      <c r="AU120" s="862"/>
      <c r="AV120" s="862"/>
      <c r="AW120" s="862"/>
      <c r="AX120" s="862"/>
      <c r="AY120" s="862"/>
      <c r="AZ120" s="862"/>
      <c r="BA120" s="862"/>
      <c r="BB120" s="862"/>
      <c r="BC120" s="862"/>
      <c r="BD120" s="862"/>
      <c r="BE120" s="862"/>
      <c r="BF120" s="862"/>
      <c r="BG120" s="862"/>
    </row>
    <row r="121" spans="36:59" ht="15.75" hidden="1" customHeight="1">
      <c r="AJ121" s="862"/>
      <c r="AK121" s="862"/>
      <c r="AL121" s="878"/>
      <c r="AM121" s="878"/>
      <c r="AN121" s="868"/>
      <c r="AO121" s="861"/>
      <c r="AP121" s="861"/>
      <c r="AQ121" s="861"/>
      <c r="AR121" s="861"/>
      <c r="AS121" s="861"/>
      <c r="AT121" s="861"/>
      <c r="AU121" s="862"/>
      <c r="AV121" s="862"/>
      <c r="AW121" s="862"/>
      <c r="AX121" s="862"/>
      <c r="AY121" s="862"/>
      <c r="AZ121" s="862"/>
      <c r="BA121" s="862"/>
      <c r="BB121" s="862"/>
      <c r="BC121" s="862"/>
      <c r="BD121" s="862"/>
      <c r="BE121" s="862"/>
      <c r="BF121" s="862"/>
      <c r="BG121" s="862"/>
    </row>
    <row r="122" spans="36:59" ht="15.75" hidden="1" customHeight="1">
      <c r="AJ122" s="862"/>
      <c r="AK122" s="862"/>
      <c r="AL122" s="878"/>
      <c r="AM122" s="878"/>
      <c r="AN122" s="868"/>
      <c r="AO122" s="861"/>
      <c r="AP122" s="861"/>
      <c r="AQ122" s="861"/>
      <c r="AR122" s="861"/>
      <c r="AS122" s="861"/>
      <c r="AT122" s="861"/>
      <c r="AU122" s="862"/>
      <c r="AV122" s="862"/>
      <c r="AW122" s="862"/>
      <c r="AX122" s="862"/>
      <c r="AY122" s="862"/>
      <c r="AZ122" s="862"/>
      <c r="BA122" s="862"/>
      <c r="BB122" s="862"/>
      <c r="BC122" s="862"/>
      <c r="BD122" s="862"/>
      <c r="BE122" s="862"/>
      <c r="BF122" s="862"/>
      <c r="BG122" s="862"/>
    </row>
    <row r="123" spans="36:59" ht="15.75" hidden="1" customHeight="1">
      <c r="AJ123" s="862"/>
      <c r="AK123" s="862"/>
      <c r="AL123" s="878"/>
      <c r="AM123" s="878"/>
      <c r="AN123" s="868"/>
      <c r="AO123" s="861"/>
      <c r="AP123" s="861"/>
      <c r="AQ123" s="861"/>
      <c r="AR123" s="861"/>
      <c r="AS123" s="861"/>
      <c r="AT123" s="861"/>
      <c r="AU123" s="862"/>
      <c r="AV123" s="862"/>
      <c r="AW123" s="862"/>
      <c r="AX123" s="862"/>
      <c r="AY123" s="862"/>
      <c r="AZ123" s="862"/>
      <c r="BA123" s="862"/>
      <c r="BB123" s="862"/>
      <c r="BC123" s="862"/>
      <c r="BD123" s="862"/>
      <c r="BE123" s="862"/>
      <c r="BF123" s="862"/>
      <c r="BG123" s="862"/>
    </row>
    <row r="124" spans="36:59" ht="15.75" hidden="1" customHeight="1">
      <c r="AJ124" s="862"/>
      <c r="AK124" s="862"/>
      <c r="AL124" s="878"/>
      <c r="AM124" s="878"/>
      <c r="AN124" s="868"/>
      <c r="AO124" s="861"/>
      <c r="AP124" s="861"/>
      <c r="AQ124" s="861"/>
      <c r="AR124" s="861"/>
      <c r="AS124" s="861"/>
      <c r="AT124" s="861"/>
      <c r="AU124" s="862"/>
      <c r="AV124" s="862"/>
      <c r="AW124" s="862"/>
      <c r="AX124" s="862"/>
      <c r="AY124" s="862"/>
      <c r="AZ124" s="862"/>
      <c r="BA124" s="862"/>
      <c r="BB124" s="862"/>
      <c r="BC124" s="862"/>
      <c r="BD124" s="862"/>
      <c r="BE124" s="862"/>
      <c r="BF124" s="862"/>
      <c r="BG124" s="862"/>
    </row>
    <row r="125" spans="36:59" ht="15.75" hidden="1" customHeight="1">
      <c r="AJ125" s="862"/>
      <c r="AK125" s="862"/>
      <c r="AL125" s="878"/>
      <c r="AM125" s="878"/>
      <c r="AN125" s="868"/>
      <c r="AO125" s="861"/>
      <c r="AP125" s="861"/>
      <c r="AQ125" s="861"/>
      <c r="AR125" s="861"/>
      <c r="AS125" s="861"/>
      <c r="AT125" s="861"/>
      <c r="AU125" s="862"/>
      <c r="AV125" s="862"/>
      <c r="AW125" s="862"/>
      <c r="AX125" s="862"/>
      <c r="AY125" s="862"/>
      <c r="AZ125" s="862"/>
      <c r="BA125" s="862"/>
      <c r="BB125" s="862"/>
      <c r="BC125" s="862"/>
      <c r="BD125" s="862"/>
      <c r="BE125" s="862"/>
      <c r="BF125" s="862"/>
      <c r="BG125" s="862"/>
    </row>
    <row r="126" spans="36:59" ht="15.75" hidden="1" customHeight="1">
      <c r="AJ126" s="862"/>
      <c r="AK126" s="862"/>
      <c r="AL126" s="878"/>
      <c r="AM126" s="878"/>
      <c r="AN126" s="868"/>
      <c r="AO126" s="861"/>
      <c r="AP126" s="861"/>
      <c r="AQ126" s="861"/>
      <c r="AR126" s="861"/>
      <c r="AS126" s="861"/>
      <c r="AT126" s="861"/>
      <c r="AU126" s="862"/>
      <c r="AV126" s="862"/>
      <c r="AW126" s="862"/>
      <c r="AX126" s="862"/>
      <c r="AY126" s="862"/>
      <c r="AZ126" s="862"/>
      <c r="BA126" s="862"/>
      <c r="BB126" s="862"/>
      <c r="BC126" s="862"/>
      <c r="BD126" s="862"/>
      <c r="BE126" s="862"/>
      <c r="BF126" s="862"/>
      <c r="BG126" s="862"/>
    </row>
    <row r="127" spans="36:59" ht="15.75" hidden="1" customHeight="1">
      <c r="AJ127" s="862"/>
      <c r="AK127" s="862"/>
      <c r="AL127" s="878"/>
      <c r="AM127" s="878"/>
      <c r="AN127" s="868"/>
      <c r="AO127" s="861"/>
      <c r="AP127" s="861"/>
      <c r="AQ127" s="861"/>
      <c r="AR127" s="861"/>
      <c r="AS127" s="861"/>
      <c r="AT127" s="861"/>
      <c r="AU127" s="862"/>
      <c r="AV127" s="862"/>
      <c r="AW127" s="862"/>
      <c r="AX127" s="862"/>
      <c r="AY127" s="862"/>
      <c r="AZ127" s="862"/>
      <c r="BA127" s="862"/>
      <c r="BB127" s="862"/>
      <c r="BC127" s="862"/>
      <c r="BD127" s="862"/>
      <c r="BE127" s="862"/>
      <c r="BF127" s="862"/>
      <c r="BG127" s="862"/>
    </row>
    <row r="128" spans="36:59" ht="15.75" hidden="1" customHeight="1">
      <c r="AJ128" s="862"/>
      <c r="AK128" s="862"/>
      <c r="AL128" s="886"/>
      <c r="AM128" s="886"/>
      <c r="AN128" s="868"/>
      <c r="AO128" s="861"/>
      <c r="AP128" s="861"/>
      <c r="AQ128" s="861"/>
      <c r="AR128" s="861"/>
      <c r="AS128" s="861"/>
      <c r="AT128" s="861"/>
      <c r="AU128" s="862"/>
      <c r="AV128" s="862"/>
      <c r="AW128" s="862"/>
      <c r="AX128" s="862"/>
      <c r="AY128" s="862"/>
      <c r="AZ128" s="862"/>
      <c r="BA128" s="862"/>
      <c r="BB128" s="862"/>
      <c r="BC128" s="862"/>
      <c r="BD128" s="862"/>
      <c r="BE128" s="862"/>
      <c r="BF128" s="862"/>
      <c r="BG128" s="862"/>
    </row>
    <row r="129" spans="36:59" ht="15.75" hidden="1" customHeight="1">
      <c r="AJ129" s="862"/>
      <c r="AK129" s="862"/>
      <c r="AL129" s="861"/>
      <c r="AM129" s="861"/>
      <c r="AN129" s="861"/>
      <c r="AO129" s="861"/>
      <c r="AP129" s="861"/>
      <c r="AQ129" s="861"/>
      <c r="AR129" s="861"/>
      <c r="AS129" s="861"/>
      <c r="AT129" s="861"/>
      <c r="AU129" s="862"/>
      <c r="AV129" s="862"/>
      <c r="AW129" s="862"/>
      <c r="AX129" s="862"/>
      <c r="AY129" s="862"/>
      <c r="AZ129" s="862"/>
      <c r="BA129" s="862"/>
      <c r="BB129" s="862"/>
      <c r="BC129" s="862"/>
      <c r="BD129" s="862"/>
      <c r="BE129" s="862"/>
      <c r="BF129" s="862"/>
      <c r="BG129" s="862"/>
    </row>
    <row r="130" spans="36:59" ht="15.75" hidden="1" customHeight="1">
      <c r="AJ130" s="862"/>
      <c r="AK130" s="862"/>
      <c r="AL130" s="861"/>
      <c r="AM130" s="861"/>
      <c r="AN130" s="861"/>
      <c r="AO130" s="861"/>
      <c r="AP130" s="861"/>
      <c r="AQ130" s="861"/>
      <c r="AR130" s="861"/>
      <c r="AS130" s="861"/>
      <c r="AT130" s="861"/>
      <c r="AU130" s="862"/>
      <c r="AV130" s="862"/>
      <c r="AW130" s="862"/>
      <c r="AX130" s="862"/>
      <c r="AY130" s="862"/>
      <c r="AZ130" s="862"/>
      <c r="BA130" s="862"/>
      <c r="BB130" s="862"/>
      <c r="BC130" s="862"/>
      <c r="BD130" s="862"/>
      <c r="BE130" s="862"/>
      <c r="BF130" s="862"/>
      <c r="BG130" s="862"/>
    </row>
    <row r="131" spans="36:59" ht="15.75" hidden="1" customHeight="1">
      <c r="AJ131" s="862"/>
      <c r="AK131" s="862"/>
      <c r="AL131" s="861"/>
      <c r="AM131" s="861"/>
      <c r="AN131" s="861"/>
      <c r="AO131" s="872"/>
      <c r="AP131" s="872"/>
      <c r="AQ131" s="872"/>
      <c r="AR131" s="872"/>
      <c r="AS131" s="872"/>
      <c r="AT131" s="872"/>
      <c r="AY131" s="862"/>
      <c r="AZ131" s="862"/>
      <c r="BA131" s="862"/>
      <c r="BB131" s="862"/>
      <c r="BC131" s="862"/>
      <c r="BD131" s="862"/>
      <c r="BE131" s="862"/>
      <c r="BF131" s="862"/>
      <c r="BG131" s="862"/>
    </row>
    <row r="132" spans="36:59" ht="15.75" hidden="1" customHeight="1">
      <c r="AJ132" s="862"/>
      <c r="AK132" s="862"/>
      <c r="AL132" s="861"/>
      <c r="AM132" s="861"/>
      <c r="AN132" s="861"/>
      <c r="AO132" s="872"/>
      <c r="AP132" s="872"/>
      <c r="AQ132" s="872"/>
      <c r="AR132" s="872"/>
      <c r="AS132" s="872"/>
      <c r="AT132" s="872"/>
      <c r="AY132" s="862"/>
      <c r="AZ132" s="862"/>
      <c r="BA132" s="862"/>
      <c r="BB132" s="862"/>
      <c r="BC132" s="862"/>
      <c r="BD132" s="862"/>
      <c r="BE132" s="862"/>
      <c r="BF132" s="862"/>
      <c r="BG132" s="862"/>
    </row>
    <row r="133" spans="36:59" ht="15.75" hidden="1" customHeight="1">
      <c r="AJ133" s="862"/>
      <c r="AK133" s="862"/>
      <c r="AL133" s="861"/>
      <c r="AM133" s="861"/>
      <c r="AN133" s="861"/>
      <c r="AO133" s="872"/>
      <c r="AP133" s="872"/>
      <c r="AQ133" s="872"/>
      <c r="AR133" s="872"/>
      <c r="AS133" s="872"/>
      <c r="AT133" s="872"/>
      <c r="AY133" s="862"/>
      <c r="AZ133" s="862"/>
      <c r="BA133" s="862"/>
      <c r="BB133" s="862"/>
      <c r="BC133" s="862"/>
      <c r="BD133" s="862"/>
      <c r="BE133" s="862"/>
      <c r="BF133" s="862"/>
      <c r="BG133" s="862"/>
    </row>
    <row r="134" spans="36:59" ht="15.75" hidden="1" customHeight="1">
      <c r="AJ134" s="862" t="s">
        <v>1283</v>
      </c>
      <c r="AK134" s="862"/>
      <c r="AL134" s="861"/>
      <c r="AM134" s="861"/>
      <c r="AN134" s="861"/>
      <c r="AO134" s="872"/>
      <c r="AP134" s="872"/>
      <c r="AQ134" s="872"/>
      <c r="AR134" s="872"/>
      <c r="AS134" s="872"/>
      <c r="AT134" s="872"/>
      <c r="AY134" s="862"/>
      <c r="AZ134" s="862"/>
      <c r="BA134" s="862"/>
      <c r="BB134" s="862"/>
      <c r="BC134" s="862"/>
      <c r="BD134" s="862"/>
      <c r="BE134" s="862"/>
      <c r="BF134" s="862"/>
      <c r="BG134" s="862"/>
    </row>
    <row r="135" spans="36:59" ht="15.75" hidden="1" customHeight="1">
      <c r="AJ135" s="885">
        <f t="shared" ref="AJ135:AJ144" si="43">AI135*1101</f>
        <v>0</v>
      </c>
      <c r="AK135" s="885"/>
      <c r="AL135" s="878"/>
      <c r="AM135" s="878"/>
      <c r="AN135" s="878"/>
      <c r="AO135" s="872"/>
      <c r="AP135" s="872"/>
      <c r="AQ135" s="872"/>
      <c r="AR135" s="872"/>
      <c r="AS135" s="872"/>
      <c r="AT135" s="872"/>
      <c r="AY135" s="862"/>
      <c r="AZ135" s="862"/>
      <c r="BA135" s="862"/>
      <c r="BB135" s="862"/>
      <c r="BC135" s="862"/>
      <c r="BD135" s="862"/>
      <c r="BE135" s="862"/>
      <c r="BF135" s="862"/>
      <c r="BG135" s="862"/>
    </row>
    <row r="136" spans="36:59" ht="15.75" hidden="1" customHeight="1">
      <c r="AJ136" s="885">
        <f t="shared" si="43"/>
        <v>0</v>
      </c>
      <c r="AK136" s="885"/>
      <c r="AL136" s="878"/>
      <c r="AM136" s="878"/>
      <c r="AN136" s="878"/>
      <c r="AO136" s="872"/>
      <c r="AP136" s="872"/>
      <c r="AQ136" s="872"/>
      <c r="AR136" s="872"/>
      <c r="AS136" s="872"/>
      <c r="AT136" s="872"/>
      <c r="AY136" s="862"/>
      <c r="AZ136" s="862"/>
      <c r="BA136" s="862"/>
      <c r="BB136" s="862"/>
      <c r="BC136" s="862"/>
      <c r="BD136" s="862"/>
      <c r="BE136" s="862"/>
      <c r="BF136" s="862"/>
      <c r="BG136" s="862"/>
    </row>
    <row r="137" spans="36:59" ht="15.75" hidden="1" customHeight="1">
      <c r="AJ137" s="885">
        <f t="shared" si="43"/>
        <v>0</v>
      </c>
      <c r="AK137" s="885"/>
      <c r="AL137" s="878"/>
      <c r="AM137" s="878"/>
      <c r="AN137" s="878"/>
      <c r="AO137" s="872"/>
      <c r="AP137" s="872"/>
      <c r="AQ137" s="872"/>
      <c r="AR137" s="872"/>
      <c r="AS137" s="872"/>
      <c r="AT137" s="872"/>
      <c r="AY137" s="862"/>
      <c r="AZ137" s="862"/>
      <c r="BA137" s="862"/>
      <c r="BB137" s="862"/>
      <c r="BC137" s="862"/>
      <c r="BD137" s="862"/>
      <c r="BE137" s="862"/>
      <c r="BF137" s="862"/>
      <c r="BG137" s="862"/>
    </row>
    <row r="138" spans="36:59" ht="15.75" hidden="1" customHeight="1">
      <c r="AJ138" s="885">
        <f t="shared" si="43"/>
        <v>0</v>
      </c>
      <c r="AK138" s="885"/>
      <c r="AL138" s="878"/>
      <c r="AM138" s="878"/>
      <c r="AN138" s="878"/>
      <c r="AO138" s="872"/>
      <c r="AP138" s="872"/>
      <c r="AQ138" s="872"/>
      <c r="AR138" s="872"/>
      <c r="AS138" s="872"/>
      <c r="AT138" s="872"/>
      <c r="AY138" s="862"/>
      <c r="AZ138" s="862"/>
      <c r="BA138" s="862"/>
      <c r="BB138" s="862"/>
      <c r="BC138" s="862"/>
      <c r="BD138" s="862"/>
      <c r="BE138" s="862"/>
      <c r="BF138" s="862"/>
      <c r="BG138" s="862"/>
    </row>
    <row r="139" spans="36:59" ht="15.75" hidden="1" customHeight="1">
      <c r="AJ139" s="885">
        <f t="shared" si="43"/>
        <v>0</v>
      </c>
      <c r="AK139" s="885"/>
      <c r="AL139" s="878"/>
      <c r="AM139" s="878"/>
      <c r="AN139" s="878"/>
      <c r="AO139" s="872"/>
      <c r="AP139" s="872"/>
      <c r="AQ139" s="872"/>
      <c r="AR139" s="872"/>
      <c r="AS139" s="872"/>
      <c r="AT139" s="872"/>
      <c r="AY139" s="862"/>
      <c r="AZ139" s="862"/>
      <c r="BA139" s="862"/>
      <c r="BB139" s="862"/>
      <c r="BC139" s="862"/>
      <c r="BD139" s="862"/>
      <c r="BE139" s="862"/>
      <c r="BF139" s="862"/>
      <c r="BG139" s="862"/>
    </row>
    <row r="140" spans="36:59" ht="15.75" hidden="1" customHeight="1">
      <c r="AJ140" s="885">
        <f t="shared" si="43"/>
        <v>0</v>
      </c>
      <c r="AK140" s="885"/>
      <c r="AL140" s="878"/>
      <c r="AM140" s="878"/>
      <c r="AN140" s="878"/>
      <c r="AO140" s="872"/>
      <c r="AP140" s="872"/>
      <c r="AQ140" s="872"/>
      <c r="AR140" s="872"/>
      <c r="AS140" s="872"/>
      <c r="AT140" s="872"/>
      <c r="AY140" s="862"/>
      <c r="AZ140" s="862"/>
      <c r="BA140" s="862"/>
      <c r="BB140" s="862"/>
      <c r="BC140" s="862"/>
      <c r="BD140" s="862"/>
      <c r="BE140" s="862"/>
      <c r="BF140" s="862"/>
      <c r="BG140" s="862"/>
    </row>
    <row r="141" spans="36:59" ht="15.75" hidden="1" customHeight="1">
      <c r="AJ141" s="885">
        <f t="shared" si="43"/>
        <v>0</v>
      </c>
      <c r="AK141" s="885"/>
      <c r="AL141" s="878"/>
      <c r="AM141" s="878"/>
      <c r="AN141" s="878"/>
      <c r="AO141" s="872"/>
      <c r="AP141" s="872"/>
      <c r="AQ141" s="872"/>
      <c r="AR141" s="872"/>
      <c r="AS141" s="872"/>
      <c r="AT141" s="872"/>
      <c r="AY141" s="862"/>
      <c r="AZ141" s="862"/>
      <c r="BA141" s="862"/>
      <c r="BB141" s="862"/>
      <c r="BC141" s="862"/>
      <c r="BD141" s="862"/>
      <c r="BE141" s="862"/>
      <c r="BF141" s="862"/>
      <c r="BG141" s="862"/>
    </row>
    <row r="142" spans="36:59" ht="15.75" hidden="1" customHeight="1">
      <c r="AJ142" s="885">
        <f t="shared" si="43"/>
        <v>0</v>
      </c>
      <c r="AK142" s="885"/>
      <c r="AL142" s="878"/>
      <c r="AM142" s="878"/>
      <c r="AN142" s="878"/>
      <c r="AO142" s="872"/>
      <c r="AP142" s="872"/>
      <c r="AQ142" s="872"/>
      <c r="AR142" s="872"/>
      <c r="AS142" s="872"/>
      <c r="AT142" s="872"/>
      <c r="AY142" s="862"/>
      <c r="AZ142" s="862"/>
      <c r="BA142" s="862"/>
      <c r="BB142" s="862"/>
      <c r="BC142" s="862"/>
      <c r="BD142" s="862"/>
      <c r="BE142" s="862"/>
      <c r="BF142" s="862"/>
      <c r="BG142" s="862"/>
    </row>
    <row r="143" spans="36:59" ht="15.75" hidden="1" customHeight="1">
      <c r="AJ143" s="885">
        <f t="shared" si="43"/>
        <v>0</v>
      </c>
      <c r="AK143" s="885"/>
      <c r="AL143" s="878"/>
      <c r="AM143" s="878"/>
      <c r="AN143" s="878"/>
      <c r="AO143" s="872"/>
      <c r="AP143" s="872"/>
      <c r="AQ143" s="872"/>
      <c r="AR143" s="872"/>
      <c r="AS143" s="872"/>
      <c r="AT143" s="872"/>
      <c r="AY143" s="862"/>
      <c r="AZ143" s="862"/>
      <c r="BA143" s="862"/>
      <c r="BB143" s="862"/>
      <c r="BC143" s="862"/>
      <c r="BD143" s="862"/>
      <c r="BE143" s="862"/>
      <c r="BF143" s="862"/>
      <c r="BG143" s="862"/>
    </row>
    <row r="144" spans="36:59" ht="15.75" hidden="1" customHeight="1">
      <c r="AJ144" s="885">
        <f t="shared" si="43"/>
        <v>0</v>
      </c>
      <c r="AK144" s="885"/>
      <c r="AL144" s="878"/>
      <c r="AM144" s="878"/>
      <c r="AN144" s="878"/>
      <c r="AO144" s="861"/>
      <c r="AP144" s="861"/>
      <c r="AQ144" s="861"/>
      <c r="AR144" s="861"/>
      <c r="AS144" s="861"/>
      <c r="AT144" s="861"/>
      <c r="AU144" s="862"/>
      <c r="AV144" s="862"/>
      <c r="AW144" s="862"/>
      <c r="AX144" s="862"/>
      <c r="AY144" s="862"/>
      <c r="AZ144" s="862"/>
      <c r="BA144" s="862"/>
      <c r="BB144" s="862"/>
      <c r="BC144" s="862"/>
      <c r="BD144" s="862"/>
      <c r="BE144" s="862"/>
      <c r="BF144" s="862"/>
      <c r="BG144" s="862"/>
    </row>
    <row r="145" spans="36:59" ht="15.75" hidden="1" customHeight="1">
      <c r="AJ145" s="885"/>
      <c r="AK145" s="885"/>
      <c r="AL145" s="878"/>
      <c r="AM145" s="878"/>
      <c r="AN145" s="878"/>
      <c r="AO145" s="861"/>
      <c r="AP145" s="861"/>
      <c r="AQ145" s="861"/>
      <c r="AR145" s="861"/>
      <c r="AS145" s="861"/>
      <c r="AT145" s="861"/>
      <c r="AU145" s="862"/>
      <c r="AV145" s="862"/>
      <c r="AW145" s="862"/>
      <c r="AX145" s="862"/>
      <c r="AY145" s="862"/>
      <c r="AZ145" s="862"/>
      <c r="BA145" s="862"/>
      <c r="BB145" s="862"/>
      <c r="BC145" s="862"/>
      <c r="BD145" s="862"/>
      <c r="BE145" s="862"/>
      <c r="BF145" s="862"/>
      <c r="BG145" s="862"/>
    </row>
    <row r="146" spans="36:59" ht="15.75" hidden="1" customHeight="1">
      <c r="AJ146" s="885"/>
      <c r="AK146" s="885"/>
      <c r="AL146" s="878"/>
      <c r="AM146" s="878"/>
      <c r="AN146" s="878"/>
      <c r="AO146" s="861"/>
      <c r="AP146" s="861"/>
      <c r="AQ146" s="861"/>
      <c r="AR146" s="861"/>
      <c r="AS146" s="861"/>
      <c r="AT146" s="861"/>
      <c r="AU146" s="862"/>
      <c r="AV146" s="862"/>
      <c r="AW146" s="862"/>
      <c r="AX146" s="862"/>
      <c r="AY146" s="862"/>
      <c r="AZ146" s="862"/>
      <c r="BA146" s="862"/>
      <c r="BB146" s="862"/>
      <c r="BC146" s="862"/>
      <c r="BD146" s="862"/>
      <c r="BE146" s="862"/>
      <c r="BF146" s="862"/>
      <c r="BG146" s="862"/>
    </row>
    <row r="147" spans="36:59" ht="15.75" hidden="1" customHeight="1">
      <c r="AJ147" s="885"/>
      <c r="AK147" s="885"/>
      <c r="AL147" s="878"/>
      <c r="AM147" s="878"/>
      <c r="AN147" s="878"/>
      <c r="AO147" s="861"/>
      <c r="AP147" s="861"/>
      <c r="AQ147" s="861"/>
      <c r="AR147" s="861"/>
      <c r="AS147" s="861"/>
      <c r="AT147" s="861"/>
      <c r="AU147" s="862"/>
      <c r="AV147" s="862"/>
      <c r="AW147" s="862"/>
      <c r="AX147" s="862"/>
      <c r="AY147" s="862"/>
      <c r="AZ147" s="862"/>
      <c r="BA147" s="862"/>
      <c r="BB147" s="862"/>
      <c r="BC147" s="862"/>
      <c r="BD147" s="862"/>
      <c r="BE147" s="862"/>
      <c r="BF147" s="862"/>
      <c r="BG147" s="862"/>
    </row>
    <row r="148" spans="36:59" ht="15.75" hidden="1" customHeight="1">
      <c r="AJ148" s="862"/>
      <c r="AK148" s="862"/>
      <c r="AL148" s="861"/>
      <c r="AM148" s="861"/>
      <c r="AN148" s="861"/>
      <c r="AO148" s="861"/>
      <c r="AP148" s="861"/>
      <c r="AQ148" s="861"/>
      <c r="AR148" s="861"/>
      <c r="AS148" s="861"/>
      <c r="AT148" s="861"/>
      <c r="AU148" s="862"/>
      <c r="AV148" s="862"/>
      <c r="AW148" s="862"/>
      <c r="AX148" s="862"/>
      <c r="AY148" s="862"/>
      <c r="AZ148" s="862"/>
      <c r="BA148" s="862"/>
      <c r="BB148" s="862"/>
      <c r="BC148" s="862"/>
      <c r="BD148" s="862"/>
      <c r="BE148" s="862"/>
      <c r="BF148" s="862"/>
      <c r="BG148" s="862"/>
    </row>
    <row r="149" spans="36:59" ht="15.75" hidden="1" customHeight="1">
      <c r="AJ149" s="862"/>
      <c r="AK149" s="862"/>
      <c r="AL149" s="861"/>
      <c r="AM149" s="861"/>
      <c r="AN149" s="861"/>
      <c r="AO149" s="861"/>
      <c r="AP149" s="861"/>
      <c r="AQ149" s="861"/>
      <c r="AR149" s="861"/>
      <c r="AS149" s="861"/>
      <c r="AT149" s="861"/>
      <c r="AU149" s="862"/>
      <c r="AV149" s="862"/>
      <c r="AW149" s="862"/>
      <c r="AX149" s="862"/>
      <c r="AY149" s="862"/>
      <c r="AZ149" s="862"/>
      <c r="BA149" s="862"/>
      <c r="BB149" s="862"/>
      <c r="BC149" s="862"/>
      <c r="BD149" s="862"/>
      <c r="BE149" s="862"/>
      <c r="BF149" s="862"/>
      <c r="BG149" s="862"/>
    </row>
    <row r="150" spans="36:59" ht="15.75" hidden="1" customHeight="1">
      <c r="AJ150" s="862"/>
      <c r="AK150" s="862"/>
      <c r="AL150" s="894"/>
      <c r="AO150" s="861"/>
      <c r="AP150" s="861"/>
      <c r="AQ150" s="861"/>
      <c r="AR150" s="861"/>
      <c r="AS150" s="861"/>
      <c r="AT150" s="861"/>
      <c r="AU150" s="862"/>
      <c r="AV150" s="862"/>
      <c r="AW150" s="862"/>
      <c r="AX150" s="862"/>
      <c r="AY150" s="862"/>
      <c r="AZ150" s="862"/>
      <c r="BA150" s="862"/>
      <c r="BB150" s="862"/>
      <c r="BC150" s="862"/>
      <c r="BD150" s="862"/>
      <c r="BE150" s="862"/>
      <c r="BF150" s="862"/>
      <c r="BG150" s="862"/>
    </row>
    <row r="151" spans="36:59" ht="15.75" hidden="1" customHeight="1">
      <c r="AJ151" s="862"/>
      <c r="AK151" s="862"/>
      <c r="AL151" s="1125"/>
      <c r="AO151" s="861"/>
      <c r="AP151" s="861"/>
      <c r="AQ151" s="861"/>
      <c r="AR151" s="861"/>
      <c r="AS151" s="861"/>
      <c r="AT151" s="861"/>
      <c r="AU151" s="862"/>
      <c r="AV151" s="862"/>
      <c r="AW151" s="862"/>
      <c r="AX151" s="862"/>
      <c r="AY151" s="862"/>
      <c r="AZ151" s="862"/>
      <c r="BA151" s="862"/>
      <c r="BB151" s="862"/>
      <c r="BC151" s="862"/>
      <c r="BD151" s="862"/>
      <c r="BE151" s="862"/>
      <c r="BF151" s="862"/>
      <c r="BG151" s="862"/>
    </row>
    <row r="152" spans="36:59" ht="15.75" hidden="1" customHeight="1">
      <c r="AJ152" s="862"/>
      <c r="AK152" s="862"/>
      <c r="AL152" s="878"/>
      <c r="AM152" s="878"/>
      <c r="AN152" s="870"/>
      <c r="AO152" s="861"/>
      <c r="AP152" s="861"/>
      <c r="AQ152" s="861"/>
      <c r="AR152" s="861"/>
      <c r="AS152" s="861"/>
      <c r="AT152" s="861"/>
      <c r="AU152" s="862"/>
      <c r="AV152" s="862"/>
      <c r="AW152" s="862"/>
      <c r="AX152" s="862"/>
      <c r="AY152" s="862"/>
      <c r="AZ152" s="862"/>
      <c r="BA152" s="862"/>
      <c r="BB152" s="862"/>
      <c r="BC152" s="862"/>
      <c r="BD152" s="862"/>
      <c r="BE152" s="862"/>
      <c r="BF152" s="862"/>
      <c r="BG152" s="862"/>
    </row>
    <row r="153" spans="36:59" ht="15.75" hidden="1" customHeight="1">
      <c r="AJ153" s="862"/>
      <c r="AK153" s="862"/>
      <c r="AL153" s="878"/>
      <c r="AM153" s="878"/>
      <c r="AN153" s="868"/>
      <c r="AO153" s="861"/>
      <c r="AP153" s="861"/>
      <c r="AQ153" s="861"/>
      <c r="AR153" s="861"/>
      <c r="AS153" s="861"/>
      <c r="AT153" s="861"/>
      <c r="AU153" s="862"/>
      <c r="AV153" s="862"/>
      <c r="AW153" s="862"/>
      <c r="AX153" s="862"/>
      <c r="AY153" s="862"/>
      <c r="AZ153" s="862"/>
      <c r="BA153" s="862"/>
      <c r="BB153" s="862"/>
      <c r="BC153" s="862"/>
      <c r="BD153" s="862"/>
      <c r="BE153" s="862"/>
      <c r="BF153" s="862"/>
      <c r="BG153" s="862"/>
    </row>
    <row r="154" spans="36:59" ht="15.75" hidden="1" customHeight="1">
      <c r="AJ154" s="862"/>
      <c r="AK154" s="862"/>
      <c r="AL154" s="878"/>
      <c r="AM154" s="878"/>
      <c r="AN154" s="868"/>
      <c r="AO154" s="861"/>
      <c r="AP154" s="861"/>
      <c r="AQ154" s="861"/>
      <c r="AR154" s="861"/>
      <c r="AS154" s="861"/>
      <c r="AT154" s="861"/>
      <c r="AU154" s="862"/>
      <c r="AV154" s="862"/>
      <c r="AW154" s="862"/>
      <c r="AX154" s="862"/>
      <c r="AY154" s="862"/>
      <c r="AZ154" s="862"/>
      <c r="BA154" s="862"/>
      <c r="BB154" s="862"/>
      <c r="BC154" s="862"/>
      <c r="BD154" s="862"/>
      <c r="BE154" s="862"/>
      <c r="BF154" s="862"/>
      <c r="BG154" s="862"/>
    </row>
    <row r="155" spans="36:59" ht="15.75" hidden="1" customHeight="1">
      <c r="AJ155" s="862"/>
      <c r="AK155" s="862"/>
      <c r="AL155" s="878"/>
      <c r="AM155" s="878"/>
      <c r="AN155" s="868"/>
      <c r="AO155" s="861"/>
      <c r="AP155" s="861"/>
      <c r="AQ155" s="861"/>
      <c r="AR155" s="861"/>
      <c r="AS155" s="861"/>
      <c r="AT155" s="861"/>
      <c r="AU155" s="862"/>
      <c r="AV155" s="862"/>
      <c r="AW155" s="862"/>
      <c r="AX155" s="862"/>
      <c r="AY155" s="862"/>
      <c r="AZ155" s="862"/>
      <c r="BA155" s="862"/>
      <c r="BB155" s="862"/>
      <c r="BC155" s="862"/>
      <c r="BD155" s="862"/>
      <c r="BE155" s="862"/>
      <c r="BF155" s="862"/>
      <c r="BG155" s="862"/>
    </row>
    <row r="156" spans="36:59" ht="15.75" hidden="1" customHeight="1">
      <c r="AJ156" s="862"/>
      <c r="AK156" s="862"/>
      <c r="AL156" s="878"/>
      <c r="AM156" s="878"/>
      <c r="AN156" s="868"/>
      <c r="AO156" s="861"/>
      <c r="AP156" s="861"/>
      <c r="AQ156" s="861"/>
      <c r="AR156" s="861"/>
      <c r="AS156" s="861"/>
      <c r="AT156" s="861"/>
      <c r="AU156" s="862"/>
      <c r="AV156" s="862"/>
      <c r="AW156" s="862"/>
      <c r="AX156" s="862"/>
      <c r="AY156" s="862"/>
      <c r="AZ156" s="862"/>
      <c r="BA156" s="862"/>
      <c r="BB156" s="862"/>
      <c r="BC156" s="862"/>
      <c r="BD156" s="862"/>
      <c r="BE156" s="862"/>
      <c r="BF156" s="862"/>
      <c r="BG156" s="862"/>
    </row>
    <row r="157" spans="36:59" ht="15.75" hidden="1" customHeight="1">
      <c r="AJ157" s="862"/>
      <c r="AK157" s="862"/>
      <c r="AL157" s="878"/>
      <c r="AM157" s="878"/>
      <c r="AN157" s="868"/>
      <c r="AO157" s="861"/>
      <c r="AP157" s="861"/>
      <c r="AQ157" s="861"/>
      <c r="AR157" s="861"/>
      <c r="AS157" s="861"/>
      <c r="AT157" s="861"/>
      <c r="AU157" s="862"/>
      <c r="AV157" s="862"/>
      <c r="AW157" s="862"/>
      <c r="AX157" s="862"/>
      <c r="AY157" s="862"/>
      <c r="AZ157" s="862"/>
      <c r="BA157" s="862"/>
      <c r="BB157" s="862"/>
      <c r="BC157" s="862"/>
      <c r="BD157" s="862"/>
      <c r="BE157" s="862"/>
      <c r="BF157" s="862"/>
      <c r="BG157" s="862"/>
    </row>
    <row r="158" spans="36:59" ht="15.75" hidden="1" customHeight="1">
      <c r="AJ158" s="862"/>
      <c r="AK158" s="862"/>
      <c r="AL158" s="878"/>
      <c r="AM158" s="878"/>
      <c r="AN158" s="868"/>
      <c r="AO158" s="861"/>
      <c r="AP158" s="861"/>
      <c r="AQ158" s="861"/>
      <c r="AR158" s="861"/>
      <c r="AS158" s="861"/>
      <c r="AT158" s="861"/>
      <c r="AU158" s="862"/>
      <c r="AV158" s="862"/>
      <c r="AW158" s="862"/>
      <c r="AX158" s="862"/>
      <c r="AY158" s="862"/>
      <c r="AZ158" s="862"/>
      <c r="BA158" s="862"/>
      <c r="BB158" s="862"/>
      <c r="BC158" s="862"/>
      <c r="BD158" s="862"/>
      <c r="BE158" s="862"/>
      <c r="BF158" s="862"/>
      <c r="BG158" s="862"/>
    </row>
    <row r="159" spans="36:59" ht="15.75" hidden="1" customHeight="1">
      <c r="AJ159" s="862"/>
      <c r="AK159" s="862"/>
      <c r="AL159" s="878"/>
      <c r="AM159" s="878"/>
      <c r="AN159" s="868"/>
      <c r="AO159" s="861"/>
      <c r="AP159" s="861"/>
      <c r="AQ159" s="861"/>
      <c r="AR159" s="861"/>
      <c r="AS159" s="861"/>
      <c r="AT159" s="861"/>
      <c r="AU159" s="862"/>
      <c r="AV159" s="862"/>
      <c r="AW159" s="862"/>
      <c r="AX159" s="862"/>
      <c r="AY159" s="862"/>
      <c r="AZ159" s="862"/>
      <c r="BA159" s="862"/>
      <c r="BB159" s="862"/>
      <c r="BC159" s="862"/>
      <c r="BD159" s="862"/>
      <c r="BE159" s="862"/>
      <c r="BF159" s="862"/>
      <c r="BG159" s="862"/>
    </row>
    <row r="160" spans="36:59" ht="15.75" hidden="1" customHeight="1">
      <c r="AJ160" s="862"/>
      <c r="AK160" s="862"/>
      <c r="AL160" s="878"/>
      <c r="AM160" s="878"/>
      <c r="AN160" s="868"/>
      <c r="AO160" s="861"/>
      <c r="AP160" s="861"/>
      <c r="AQ160" s="861"/>
      <c r="AR160" s="861"/>
      <c r="AS160" s="861"/>
      <c r="AT160" s="861"/>
      <c r="AU160" s="862"/>
      <c r="AV160" s="862"/>
      <c r="AW160" s="862"/>
      <c r="AX160" s="862"/>
      <c r="AY160" s="862"/>
      <c r="AZ160" s="862"/>
      <c r="BA160" s="862"/>
      <c r="BB160" s="862"/>
      <c r="BC160" s="862"/>
      <c r="BD160" s="862"/>
      <c r="BE160" s="862"/>
      <c r="BF160" s="862"/>
      <c r="BG160" s="862"/>
    </row>
    <row r="161" spans="36:59" ht="15.75" hidden="1" customHeight="1">
      <c r="AJ161" s="862"/>
      <c r="AK161" s="862"/>
      <c r="AL161" s="886"/>
      <c r="AM161" s="886"/>
      <c r="AN161" s="868"/>
      <c r="AO161" s="861"/>
      <c r="AP161" s="861"/>
      <c r="AQ161" s="861"/>
      <c r="AR161" s="861"/>
      <c r="AS161" s="861"/>
      <c r="AT161" s="861"/>
      <c r="AU161" s="862"/>
      <c r="AV161" s="862"/>
      <c r="AW161" s="862"/>
      <c r="AX161" s="862"/>
      <c r="AY161" s="862"/>
      <c r="AZ161" s="862"/>
      <c r="BA161" s="862"/>
      <c r="BB161" s="862"/>
      <c r="BC161" s="862"/>
      <c r="BD161" s="862"/>
      <c r="BE161" s="862"/>
      <c r="BF161" s="862"/>
      <c r="BG161" s="862"/>
    </row>
    <row r="162" spans="36:59" ht="15.75" hidden="1" customHeight="1">
      <c r="AJ162" s="862"/>
      <c r="AK162" s="862"/>
      <c r="AL162" s="861"/>
      <c r="AM162" s="861"/>
      <c r="AN162" s="861"/>
      <c r="AO162" s="861"/>
      <c r="AP162" s="861"/>
      <c r="AQ162" s="861"/>
      <c r="AR162" s="861"/>
      <c r="AS162" s="861"/>
      <c r="AT162" s="861"/>
      <c r="AU162" s="862"/>
      <c r="AV162" s="862"/>
      <c r="AW162" s="862"/>
      <c r="AX162" s="862"/>
      <c r="AY162" s="862"/>
      <c r="AZ162" s="862"/>
      <c r="BA162" s="862"/>
      <c r="BB162" s="862"/>
      <c r="BC162" s="862"/>
      <c r="BD162" s="862"/>
      <c r="BE162" s="862"/>
      <c r="BF162" s="862"/>
      <c r="BG162" s="862"/>
    </row>
    <row r="163" spans="36:59" ht="15.75" hidden="1" customHeight="1">
      <c r="AJ163" s="862"/>
      <c r="AK163" s="862"/>
      <c r="AL163" s="861"/>
      <c r="AM163" s="861"/>
      <c r="AN163" s="861"/>
      <c r="AO163" s="861"/>
      <c r="AP163" s="861"/>
      <c r="AQ163" s="861"/>
      <c r="AR163" s="861"/>
      <c r="AS163" s="861"/>
      <c r="AT163" s="861"/>
      <c r="AU163" s="862"/>
      <c r="AV163" s="862"/>
      <c r="AW163" s="862"/>
      <c r="AX163" s="862"/>
      <c r="AY163" s="862"/>
      <c r="AZ163" s="862"/>
      <c r="BA163" s="862"/>
      <c r="BB163" s="862"/>
      <c r="BC163" s="862"/>
      <c r="BD163" s="862"/>
      <c r="BE163" s="862"/>
      <c r="BF163" s="862"/>
      <c r="BG163" s="862"/>
    </row>
    <row r="164" spans="36:59" ht="15.75" hidden="1" customHeight="1">
      <c r="AJ164" s="862"/>
      <c r="AK164" s="862"/>
      <c r="AL164" s="861"/>
      <c r="AM164" s="861"/>
      <c r="AN164" s="861"/>
      <c r="AO164" s="861"/>
      <c r="AP164" s="861"/>
      <c r="AQ164" s="861"/>
      <c r="AR164" s="861"/>
      <c r="AS164" s="861"/>
      <c r="AT164" s="861"/>
      <c r="AU164" s="862"/>
      <c r="AV164" s="862"/>
      <c r="AW164" s="862"/>
      <c r="AX164" s="862"/>
      <c r="AY164" s="862"/>
      <c r="AZ164" s="862"/>
      <c r="BA164" s="862"/>
      <c r="BB164" s="862"/>
      <c r="BC164" s="862"/>
      <c r="BD164" s="862"/>
      <c r="BE164" s="862"/>
      <c r="BF164" s="862"/>
      <c r="BG164" s="862"/>
    </row>
    <row r="165" spans="36:59" ht="15.75" hidden="1" customHeight="1">
      <c r="AJ165" s="862"/>
      <c r="AK165" s="862"/>
      <c r="AL165" s="861"/>
      <c r="AM165" s="861"/>
      <c r="AN165" s="861"/>
      <c r="AO165" s="861"/>
      <c r="AP165" s="861"/>
      <c r="AQ165" s="861"/>
      <c r="AR165" s="861"/>
      <c r="AS165" s="861"/>
      <c r="AT165" s="861"/>
      <c r="AU165" s="862"/>
      <c r="AV165" s="862"/>
      <c r="AW165" s="862"/>
      <c r="AX165" s="862"/>
      <c r="AY165" s="862"/>
      <c r="AZ165" s="862"/>
      <c r="BA165" s="862"/>
      <c r="BB165" s="862"/>
      <c r="BC165" s="862"/>
      <c r="BD165" s="862"/>
      <c r="BE165" s="862"/>
      <c r="BF165" s="862"/>
      <c r="BG165" s="862"/>
    </row>
    <row r="166" spans="36:59" ht="15.75" hidden="1" customHeight="1">
      <c r="AJ166" s="862"/>
      <c r="AK166" s="862"/>
      <c r="AL166" s="861"/>
      <c r="AM166" s="861"/>
      <c r="AN166" s="861"/>
      <c r="AO166" s="861"/>
      <c r="AP166" s="861"/>
      <c r="AQ166" s="861"/>
      <c r="AR166" s="861"/>
      <c r="AS166" s="861"/>
      <c r="AT166" s="861"/>
      <c r="AU166" s="862"/>
      <c r="AV166" s="862"/>
      <c r="AW166" s="862"/>
      <c r="AX166" s="862"/>
      <c r="AY166" s="862"/>
      <c r="AZ166" s="862"/>
      <c r="BA166" s="862"/>
      <c r="BB166" s="862"/>
      <c r="BC166" s="862"/>
      <c r="BD166" s="862"/>
      <c r="BE166" s="862"/>
      <c r="BF166" s="862"/>
      <c r="BG166" s="862"/>
    </row>
    <row r="167" spans="36:59" ht="15.75" hidden="1" customHeight="1">
      <c r="AJ167" s="862"/>
      <c r="AK167" s="862"/>
      <c r="AL167" s="861"/>
      <c r="AM167" s="861"/>
      <c r="AN167" s="861"/>
      <c r="AO167" s="861"/>
      <c r="AP167" s="861"/>
      <c r="AQ167" s="861"/>
      <c r="AR167" s="861"/>
      <c r="AS167" s="861"/>
      <c r="AT167" s="861"/>
      <c r="AU167" s="862"/>
      <c r="AV167" s="862"/>
      <c r="AW167" s="862"/>
      <c r="AX167" s="862"/>
      <c r="AY167" s="862"/>
      <c r="AZ167" s="862"/>
      <c r="BA167" s="862"/>
      <c r="BB167" s="862"/>
      <c r="BC167" s="862"/>
      <c r="BD167" s="862"/>
      <c r="BE167" s="862"/>
      <c r="BF167" s="862"/>
      <c r="BG167" s="862"/>
    </row>
    <row r="168" spans="36:59" ht="15.75" customHeight="1">
      <c r="AJ168" s="862"/>
      <c r="AK168" s="862"/>
      <c r="AL168" s="861"/>
      <c r="AM168" s="861"/>
      <c r="AN168" s="861"/>
      <c r="AO168" s="861"/>
      <c r="AP168" s="861"/>
      <c r="AQ168" s="861"/>
      <c r="AR168" s="861"/>
      <c r="AS168" s="861"/>
      <c r="AT168" s="861"/>
      <c r="AU168" s="862"/>
      <c r="AV168" s="862"/>
      <c r="AW168" s="862"/>
      <c r="AX168" s="862"/>
      <c r="AY168" s="862"/>
      <c r="AZ168" s="862"/>
      <c r="BA168" s="862"/>
      <c r="BB168" s="862"/>
      <c r="BC168" s="862"/>
      <c r="BD168" s="862"/>
      <c r="BE168" s="862"/>
      <c r="BF168" s="862"/>
      <c r="BG168" s="862"/>
    </row>
    <row r="169" spans="36:59" ht="15.75" customHeight="1">
      <c r="AJ169" s="862"/>
      <c r="AK169" s="862"/>
      <c r="AL169" s="861"/>
      <c r="AM169" s="861"/>
      <c r="AN169" s="861"/>
      <c r="AO169" s="861"/>
      <c r="AP169" s="861"/>
      <c r="AQ169" s="861"/>
      <c r="AR169" s="861"/>
      <c r="AS169" s="861"/>
      <c r="AT169" s="861"/>
      <c r="AU169" s="862"/>
      <c r="AV169" s="862"/>
      <c r="AW169" s="862"/>
      <c r="AX169" s="862"/>
      <c r="AY169" s="862"/>
      <c r="AZ169" s="862"/>
      <c r="BA169" s="862"/>
      <c r="BB169" s="862"/>
      <c r="BC169" s="862"/>
      <c r="BD169" s="862"/>
      <c r="BE169" s="862"/>
      <c r="BF169" s="862"/>
      <c r="BG169" s="862"/>
    </row>
    <row r="170" spans="36:59" ht="15.75" customHeight="1">
      <c r="AJ170" s="862"/>
      <c r="AK170" s="862"/>
      <c r="AL170" s="861"/>
      <c r="AM170" s="861"/>
      <c r="AN170" s="861"/>
      <c r="AO170" s="861"/>
      <c r="AP170" s="861"/>
      <c r="AQ170" s="861"/>
      <c r="AR170" s="861"/>
      <c r="AS170" s="861"/>
      <c r="AT170" s="861"/>
      <c r="AU170" s="862"/>
      <c r="AV170" s="862"/>
      <c r="AW170" s="862"/>
      <c r="AX170" s="862"/>
      <c r="AY170" s="862"/>
      <c r="AZ170" s="862"/>
      <c r="BA170" s="862"/>
      <c r="BB170" s="862"/>
      <c r="BC170" s="862"/>
      <c r="BD170" s="862"/>
      <c r="BE170" s="862"/>
      <c r="BF170" s="862"/>
      <c r="BG170" s="862"/>
    </row>
    <row r="171" spans="36:59" ht="15.75" customHeight="1">
      <c r="AJ171" s="862"/>
      <c r="AK171" s="862"/>
      <c r="AL171" s="861"/>
      <c r="AM171" s="861"/>
      <c r="AN171" s="861"/>
      <c r="AO171" s="861"/>
      <c r="AP171" s="861"/>
      <c r="AQ171" s="861"/>
      <c r="AR171" s="861"/>
      <c r="AS171" s="861"/>
      <c r="AT171" s="861"/>
      <c r="AU171" s="862"/>
      <c r="AV171" s="862"/>
      <c r="AW171" s="862"/>
      <c r="AX171" s="862"/>
      <c r="AY171" s="862"/>
      <c r="AZ171" s="862"/>
      <c r="BA171" s="862"/>
      <c r="BB171" s="862"/>
      <c r="BC171" s="862"/>
      <c r="BD171" s="862"/>
      <c r="BE171" s="862"/>
      <c r="BF171" s="862"/>
      <c r="BG171" s="862"/>
    </row>
    <row r="172" spans="36:59" ht="15.75" customHeight="1">
      <c r="AJ172" s="862"/>
      <c r="AK172" s="862"/>
      <c r="AL172" s="861"/>
      <c r="AM172" s="861"/>
      <c r="AN172" s="861"/>
      <c r="AO172" s="861"/>
      <c r="AP172" s="861"/>
      <c r="AQ172" s="861"/>
      <c r="AR172" s="861"/>
      <c r="AS172" s="861"/>
      <c r="AT172" s="861"/>
      <c r="AU172" s="862"/>
      <c r="AV172" s="862"/>
      <c r="AW172" s="862"/>
      <c r="AX172" s="862"/>
      <c r="AY172" s="862"/>
      <c r="AZ172" s="862"/>
      <c r="BA172" s="862"/>
      <c r="BB172" s="862"/>
      <c r="BC172" s="862"/>
      <c r="BD172" s="862"/>
      <c r="BE172" s="862"/>
      <c r="BF172" s="862"/>
      <c r="BG172" s="862"/>
    </row>
    <row r="173" spans="36:59" ht="15.75" customHeight="1">
      <c r="AJ173" s="862"/>
      <c r="AK173" s="862"/>
      <c r="AL173" s="861"/>
      <c r="AM173" s="861"/>
      <c r="AN173" s="861"/>
      <c r="AO173" s="861"/>
      <c r="AP173" s="861"/>
      <c r="AQ173" s="861"/>
      <c r="AR173" s="861"/>
      <c r="AS173" s="861"/>
      <c r="AT173" s="861"/>
      <c r="AU173" s="862"/>
      <c r="AV173" s="862"/>
      <c r="AW173" s="862"/>
      <c r="AX173" s="862"/>
      <c r="AY173" s="862"/>
      <c r="AZ173" s="862"/>
      <c r="BA173" s="862"/>
      <c r="BB173" s="862"/>
      <c r="BC173" s="862"/>
      <c r="BD173" s="862"/>
      <c r="BE173" s="862"/>
      <c r="BF173" s="862"/>
      <c r="BG173" s="862"/>
    </row>
    <row r="174" spans="36:59" ht="15.75" customHeight="1">
      <c r="AJ174" s="862"/>
      <c r="AK174" s="862"/>
      <c r="AL174" s="861"/>
      <c r="AM174" s="861"/>
      <c r="AN174" s="861"/>
      <c r="AO174" s="861"/>
      <c r="AP174" s="861"/>
      <c r="AQ174" s="861"/>
      <c r="AR174" s="861"/>
      <c r="AS174" s="861"/>
      <c r="AT174" s="861"/>
      <c r="AU174" s="862"/>
      <c r="AV174" s="862"/>
      <c r="AW174" s="862"/>
      <c r="AX174" s="862"/>
      <c r="AY174" s="862"/>
      <c r="AZ174" s="862"/>
      <c r="BA174" s="862"/>
      <c r="BB174" s="862"/>
      <c r="BC174" s="862"/>
      <c r="BD174" s="862"/>
      <c r="BE174" s="862"/>
      <c r="BF174" s="862"/>
      <c r="BG174" s="862"/>
    </row>
    <row r="175" spans="36:59" ht="15.75" customHeight="1">
      <c r="AJ175" s="862"/>
      <c r="AK175" s="862"/>
      <c r="AL175" s="861"/>
      <c r="AM175" s="861"/>
      <c r="AN175" s="861"/>
      <c r="AO175" s="861"/>
      <c r="AP175" s="861"/>
      <c r="AQ175" s="861"/>
      <c r="AR175" s="861"/>
      <c r="AS175" s="861"/>
      <c r="AT175" s="861"/>
      <c r="AU175" s="862"/>
      <c r="AV175" s="862"/>
      <c r="AW175" s="862"/>
      <c r="AX175" s="862"/>
      <c r="AY175" s="862"/>
      <c r="AZ175" s="862"/>
      <c r="BA175" s="862"/>
      <c r="BB175" s="862"/>
      <c r="BC175" s="862"/>
      <c r="BD175" s="862"/>
      <c r="BE175" s="862"/>
      <c r="BF175" s="862"/>
      <c r="BG175" s="862"/>
    </row>
    <row r="176" spans="36:59" ht="15.75" customHeight="1">
      <c r="AJ176" s="862"/>
      <c r="AK176" s="862"/>
      <c r="AL176" s="861"/>
      <c r="AM176" s="861"/>
      <c r="AN176" s="861"/>
      <c r="AO176" s="861"/>
      <c r="AP176" s="861"/>
      <c r="AQ176" s="861"/>
      <c r="AR176" s="861"/>
      <c r="AS176" s="861"/>
      <c r="AT176" s="861"/>
      <c r="AU176" s="862"/>
      <c r="AV176" s="862"/>
      <c r="AW176" s="862"/>
      <c r="AX176" s="862"/>
      <c r="AY176" s="862"/>
      <c r="AZ176" s="862"/>
      <c r="BA176" s="862"/>
      <c r="BB176" s="862"/>
      <c r="BC176" s="862"/>
      <c r="BD176" s="862"/>
      <c r="BE176" s="862"/>
      <c r="BF176" s="862"/>
      <c r="BG176" s="862"/>
    </row>
    <row r="177" spans="36:59" ht="15.75" customHeight="1">
      <c r="AJ177" s="862"/>
      <c r="AK177" s="862"/>
      <c r="AL177" s="861"/>
      <c r="AM177" s="861"/>
      <c r="AN177" s="861"/>
      <c r="AO177" s="861"/>
      <c r="AP177" s="861"/>
      <c r="AQ177" s="861"/>
      <c r="AR177" s="861"/>
      <c r="AS177" s="861"/>
      <c r="AT177" s="861"/>
      <c r="AU177" s="862"/>
      <c r="AV177" s="862"/>
      <c r="AW177" s="862"/>
      <c r="AX177" s="862"/>
      <c r="AY177" s="862"/>
      <c r="AZ177" s="862"/>
      <c r="BA177" s="862"/>
      <c r="BB177" s="862"/>
      <c r="BC177" s="862"/>
      <c r="BD177" s="862"/>
      <c r="BE177" s="862"/>
      <c r="BF177" s="862"/>
      <c r="BG177" s="862"/>
    </row>
    <row r="178" spans="36:59" ht="15.75" customHeight="1">
      <c r="AJ178" s="862"/>
      <c r="AK178" s="862"/>
      <c r="AL178" s="861"/>
      <c r="AM178" s="861"/>
      <c r="AN178" s="861"/>
      <c r="AO178" s="861"/>
      <c r="AP178" s="861"/>
      <c r="AQ178" s="861"/>
      <c r="AR178" s="861"/>
      <c r="AS178" s="861"/>
      <c r="AT178" s="861"/>
      <c r="AU178" s="862"/>
      <c r="AV178" s="862"/>
      <c r="AW178" s="862"/>
      <c r="AX178" s="862"/>
      <c r="AY178" s="862"/>
      <c r="AZ178" s="862"/>
      <c r="BA178" s="862"/>
      <c r="BB178" s="862"/>
      <c r="BC178" s="862"/>
      <c r="BD178" s="862"/>
      <c r="BE178" s="862"/>
      <c r="BF178" s="862"/>
      <c r="BG178" s="862"/>
    </row>
    <row r="179" spans="36:59" ht="15.75" customHeight="1">
      <c r="AJ179" s="862"/>
      <c r="AK179" s="862"/>
      <c r="AL179" s="861"/>
      <c r="AM179" s="861"/>
      <c r="AN179" s="861"/>
      <c r="AO179" s="861"/>
      <c r="AP179" s="861"/>
      <c r="AQ179" s="861"/>
      <c r="AR179" s="861"/>
      <c r="AS179" s="861"/>
      <c r="AT179" s="861"/>
      <c r="AU179" s="862"/>
      <c r="AV179" s="862"/>
      <c r="AW179" s="862"/>
      <c r="AX179" s="862"/>
      <c r="AY179" s="862"/>
      <c r="AZ179" s="862"/>
      <c r="BA179" s="862"/>
      <c r="BB179" s="862"/>
      <c r="BC179" s="862"/>
      <c r="BD179" s="862"/>
      <c r="BE179" s="862"/>
      <c r="BF179" s="862"/>
      <c r="BG179" s="862"/>
    </row>
    <row r="180" spans="36:59" ht="15.75" customHeight="1">
      <c r="AJ180" s="862"/>
      <c r="AK180" s="862"/>
      <c r="AL180" s="861"/>
      <c r="AM180" s="861"/>
      <c r="AN180" s="861"/>
      <c r="AO180" s="861"/>
      <c r="AP180" s="861"/>
      <c r="AQ180" s="861"/>
      <c r="AR180" s="861"/>
      <c r="AS180" s="861"/>
      <c r="AT180" s="861"/>
      <c r="AU180" s="862"/>
      <c r="AV180" s="862"/>
      <c r="AW180" s="862"/>
      <c r="AX180" s="862"/>
      <c r="AY180" s="862"/>
      <c r="AZ180" s="862"/>
      <c r="BA180" s="862"/>
      <c r="BB180" s="862"/>
      <c r="BC180" s="862"/>
      <c r="BD180" s="862"/>
      <c r="BE180" s="862"/>
      <c r="BF180" s="862"/>
      <c r="BG180" s="862"/>
    </row>
    <row r="181" spans="36:59" ht="15.75" customHeight="1">
      <c r="AJ181" s="862"/>
      <c r="AK181" s="862"/>
      <c r="AL181" s="861"/>
      <c r="AM181" s="861"/>
      <c r="AN181" s="861"/>
      <c r="AO181" s="861"/>
      <c r="AP181" s="861"/>
      <c r="AQ181" s="861"/>
      <c r="AR181" s="861"/>
      <c r="AS181" s="861"/>
      <c r="AT181" s="861"/>
      <c r="AU181" s="862"/>
      <c r="AV181" s="862"/>
      <c r="AW181" s="862"/>
      <c r="AX181" s="862"/>
      <c r="AY181" s="862"/>
      <c r="AZ181" s="862"/>
      <c r="BA181" s="862"/>
      <c r="BB181" s="862"/>
      <c r="BC181" s="862"/>
      <c r="BD181" s="862"/>
      <c r="BE181" s="862"/>
      <c r="BF181" s="862"/>
      <c r="BG181" s="862"/>
    </row>
    <row r="182" spans="36:59" ht="15.75" customHeight="1">
      <c r="AJ182" s="862"/>
      <c r="AK182" s="862"/>
      <c r="AL182" s="861"/>
      <c r="AM182" s="861"/>
      <c r="AN182" s="861"/>
      <c r="AO182" s="861"/>
      <c r="AP182" s="861"/>
      <c r="AQ182" s="861"/>
      <c r="AR182" s="861"/>
      <c r="AS182" s="861"/>
      <c r="AT182" s="861"/>
      <c r="AU182" s="862"/>
      <c r="AV182" s="862"/>
      <c r="AW182" s="862"/>
      <c r="AX182" s="862"/>
      <c r="AY182" s="862"/>
      <c r="AZ182" s="862"/>
      <c r="BA182" s="862"/>
      <c r="BB182" s="862"/>
      <c r="BC182" s="862"/>
      <c r="BD182" s="862"/>
      <c r="BE182" s="862"/>
      <c r="BF182" s="862"/>
      <c r="BG182" s="862"/>
    </row>
    <row r="183" spans="36:59" ht="15.75" customHeight="1">
      <c r="AJ183" s="862"/>
      <c r="AK183" s="862"/>
      <c r="AL183" s="861"/>
      <c r="AM183" s="861"/>
      <c r="AN183" s="861"/>
      <c r="AO183" s="861"/>
      <c r="AP183" s="861"/>
      <c r="AQ183" s="861"/>
      <c r="AR183" s="861"/>
      <c r="AS183" s="861"/>
      <c r="AT183" s="861"/>
      <c r="AU183" s="862"/>
      <c r="AV183" s="862"/>
      <c r="AW183" s="862"/>
      <c r="AX183" s="862"/>
      <c r="AY183" s="862"/>
      <c r="AZ183" s="862"/>
      <c r="BA183" s="862"/>
      <c r="BB183" s="862"/>
      <c r="BC183" s="862"/>
      <c r="BD183" s="862"/>
      <c r="BE183" s="862"/>
      <c r="BF183" s="862"/>
      <c r="BG183" s="862"/>
    </row>
    <row r="184" spans="36:59" ht="15.75" customHeight="1">
      <c r="AJ184" s="862"/>
      <c r="AK184" s="862"/>
      <c r="AL184" s="861"/>
      <c r="AM184" s="861"/>
      <c r="AN184" s="861"/>
      <c r="AO184" s="861"/>
      <c r="AP184" s="861"/>
      <c r="AQ184" s="861"/>
      <c r="AR184" s="861"/>
      <c r="AS184" s="861"/>
      <c r="AT184" s="861"/>
      <c r="AU184" s="862"/>
      <c r="AV184" s="862"/>
      <c r="AW184" s="862"/>
      <c r="AX184" s="862"/>
      <c r="AY184" s="862"/>
      <c r="AZ184" s="862"/>
      <c r="BA184" s="862"/>
      <c r="BB184" s="862"/>
      <c r="BC184" s="862"/>
      <c r="BD184" s="862"/>
      <c r="BE184" s="862"/>
      <c r="BF184" s="862"/>
      <c r="BG184" s="862"/>
    </row>
    <row r="185" spans="36:59" ht="15.75" customHeight="1">
      <c r="AJ185" s="862"/>
      <c r="AK185" s="862"/>
      <c r="AL185" s="861"/>
      <c r="AM185" s="861"/>
      <c r="AN185" s="861"/>
      <c r="AO185" s="861"/>
      <c r="AP185" s="861"/>
      <c r="AQ185" s="861"/>
      <c r="AR185" s="861"/>
      <c r="AS185" s="861"/>
      <c r="AT185" s="861"/>
      <c r="AU185" s="862"/>
      <c r="AV185" s="862"/>
      <c r="AW185" s="862"/>
      <c r="AX185" s="862"/>
      <c r="AY185" s="862"/>
      <c r="AZ185" s="862"/>
      <c r="BA185" s="862"/>
      <c r="BB185" s="862"/>
      <c r="BC185" s="862"/>
      <c r="BD185" s="862"/>
      <c r="BE185" s="862"/>
      <c r="BF185" s="862"/>
      <c r="BG185" s="862"/>
    </row>
    <row r="186" spans="36:59" ht="15.75" customHeight="1">
      <c r="AJ186" s="862"/>
      <c r="AK186" s="862"/>
      <c r="AL186" s="861"/>
      <c r="AM186" s="861"/>
      <c r="AN186" s="861"/>
      <c r="AO186" s="861"/>
      <c r="AP186" s="861"/>
      <c r="AQ186" s="861"/>
      <c r="AR186" s="861"/>
      <c r="AS186" s="861"/>
      <c r="AT186" s="861"/>
      <c r="AU186" s="862"/>
      <c r="AV186" s="862"/>
      <c r="AW186" s="862"/>
      <c r="AX186" s="862"/>
      <c r="AY186" s="862"/>
      <c r="AZ186" s="862"/>
      <c r="BA186" s="862"/>
      <c r="BB186" s="862"/>
      <c r="BC186" s="862"/>
      <c r="BD186" s="862"/>
      <c r="BE186" s="862"/>
      <c r="BF186" s="862"/>
      <c r="BG186" s="862"/>
    </row>
    <row r="187" spans="36:59" ht="15.75" customHeight="1">
      <c r="AJ187" s="862"/>
      <c r="AK187" s="862"/>
      <c r="AL187" s="861"/>
      <c r="AM187" s="861"/>
      <c r="AN187" s="861"/>
      <c r="AO187" s="861"/>
      <c r="AP187" s="861"/>
      <c r="AQ187" s="861"/>
      <c r="AR187" s="861"/>
      <c r="AS187" s="861"/>
      <c r="AT187" s="861"/>
      <c r="AU187" s="862"/>
      <c r="AV187" s="862"/>
      <c r="AW187" s="862"/>
      <c r="AX187" s="862"/>
      <c r="AY187" s="862"/>
      <c r="AZ187" s="862"/>
      <c r="BA187" s="862"/>
      <c r="BB187" s="862"/>
      <c r="BC187" s="862"/>
      <c r="BD187" s="862"/>
      <c r="BE187" s="862"/>
      <c r="BF187" s="862"/>
      <c r="BG187" s="862"/>
    </row>
    <row r="188" spans="36:59" ht="15.75" customHeight="1">
      <c r="AJ188" s="862"/>
      <c r="AK188" s="862"/>
      <c r="AL188" s="861"/>
      <c r="AM188" s="861"/>
      <c r="AN188" s="861"/>
      <c r="AO188" s="861"/>
      <c r="AP188" s="861"/>
      <c r="AQ188" s="861"/>
      <c r="AR188" s="861"/>
      <c r="AS188" s="861"/>
      <c r="AT188" s="861"/>
      <c r="AU188" s="862"/>
      <c r="AV188" s="862"/>
      <c r="AW188" s="862"/>
      <c r="AX188" s="862"/>
      <c r="AY188" s="862"/>
      <c r="AZ188" s="862"/>
      <c r="BA188" s="862"/>
      <c r="BB188" s="862"/>
      <c r="BC188" s="862"/>
      <c r="BD188" s="862"/>
      <c r="BE188" s="862"/>
      <c r="BF188" s="862"/>
      <c r="BG188" s="862"/>
    </row>
    <row r="189" spans="36:59" ht="15.75" customHeight="1">
      <c r="AJ189" s="862"/>
      <c r="AK189" s="862"/>
      <c r="AL189" s="861"/>
      <c r="AM189" s="861"/>
      <c r="AN189" s="861"/>
      <c r="AO189" s="861"/>
      <c r="AP189" s="861"/>
      <c r="AQ189" s="861"/>
      <c r="AR189" s="861"/>
      <c r="AS189" s="861"/>
      <c r="AT189" s="861"/>
      <c r="AU189" s="862"/>
      <c r="AV189" s="862"/>
      <c r="AW189" s="862"/>
      <c r="AX189" s="862"/>
      <c r="AY189" s="862"/>
      <c r="AZ189" s="862"/>
      <c r="BA189" s="862"/>
      <c r="BB189" s="862"/>
      <c r="BC189" s="862"/>
      <c r="BD189" s="862"/>
      <c r="BE189" s="862"/>
      <c r="BF189" s="862"/>
      <c r="BG189" s="862"/>
    </row>
    <row r="190" spans="36:59" ht="15.75" customHeight="1">
      <c r="AJ190" s="862"/>
      <c r="AK190" s="862"/>
      <c r="AL190" s="861"/>
      <c r="AM190" s="861"/>
      <c r="AN190" s="861"/>
      <c r="AO190" s="861"/>
      <c r="AP190" s="861"/>
      <c r="AQ190" s="861"/>
      <c r="AR190" s="861"/>
      <c r="AS190" s="861"/>
      <c r="AT190" s="861"/>
      <c r="AU190" s="862"/>
      <c r="AV190" s="862"/>
      <c r="AW190" s="862"/>
      <c r="AX190" s="862"/>
      <c r="AY190" s="862"/>
      <c r="AZ190" s="862"/>
      <c r="BA190" s="862"/>
      <c r="BB190" s="862"/>
      <c r="BC190" s="862"/>
      <c r="BD190" s="862"/>
      <c r="BE190" s="862"/>
      <c r="BF190" s="862"/>
      <c r="BG190" s="862"/>
    </row>
    <row r="191" spans="36:59" ht="15.75" customHeight="1">
      <c r="AJ191" s="862"/>
      <c r="AK191" s="862"/>
      <c r="AL191" s="861"/>
      <c r="AM191" s="861"/>
      <c r="AN191" s="861"/>
      <c r="AO191" s="861"/>
      <c r="AP191" s="861"/>
      <c r="AQ191" s="861"/>
      <c r="AR191" s="861"/>
      <c r="AS191" s="861"/>
      <c r="AT191" s="861"/>
      <c r="AU191" s="862"/>
      <c r="AV191" s="862"/>
      <c r="AW191" s="862"/>
      <c r="AX191" s="862"/>
      <c r="AY191" s="862"/>
      <c r="AZ191" s="862"/>
      <c r="BA191" s="862"/>
      <c r="BB191" s="862"/>
      <c r="BC191" s="862"/>
      <c r="BD191" s="862"/>
      <c r="BE191" s="862"/>
      <c r="BF191" s="862"/>
      <c r="BG191" s="862"/>
    </row>
    <row r="192" spans="36:59" ht="15.75" customHeight="1">
      <c r="AJ192" s="862"/>
      <c r="AK192" s="862"/>
      <c r="AL192" s="861"/>
      <c r="AM192" s="861"/>
      <c r="AN192" s="861"/>
      <c r="AO192" s="861"/>
      <c r="AP192" s="861"/>
      <c r="AQ192" s="861"/>
      <c r="AR192" s="861"/>
      <c r="AS192" s="861"/>
      <c r="AT192" s="861"/>
      <c r="AU192" s="862"/>
      <c r="AV192" s="862"/>
      <c r="AW192" s="862"/>
      <c r="AX192" s="862"/>
      <c r="AY192" s="862"/>
      <c r="AZ192" s="862"/>
      <c r="BA192" s="862"/>
      <c r="BB192" s="862"/>
      <c r="BC192" s="862"/>
      <c r="BD192" s="862"/>
      <c r="BE192" s="862"/>
      <c r="BF192" s="862"/>
      <c r="BG192" s="862"/>
    </row>
    <row r="193" spans="36:59" ht="15.75" customHeight="1">
      <c r="AJ193" s="862"/>
      <c r="AK193" s="862"/>
      <c r="AL193" s="861"/>
      <c r="AM193" s="861"/>
      <c r="AN193" s="861"/>
      <c r="AO193" s="861"/>
      <c r="AP193" s="861"/>
      <c r="AQ193" s="861"/>
      <c r="AR193" s="861"/>
      <c r="AS193" s="861"/>
      <c r="AT193" s="861"/>
      <c r="AU193" s="862"/>
      <c r="AV193" s="862"/>
      <c r="AW193" s="862"/>
      <c r="AX193" s="862"/>
      <c r="AY193" s="862"/>
      <c r="AZ193" s="862"/>
      <c r="BA193" s="862"/>
      <c r="BB193" s="862"/>
      <c r="BC193" s="862"/>
      <c r="BD193" s="862"/>
      <c r="BE193" s="862"/>
      <c r="BF193" s="862"/>
      <c r="BG193" s="862"/>
    </row>
    <row r="194" spans="36:59" ht="15.75" customHeight="1">
      <c r="AJ194" s="862"/>
      <c r="AK194" s="862"/>
      <c r="AL194" s="861"/>
      <c r="AM194" s="861"/>
      <c r="AN194" s="861"/>
      <c r="AO194" s="861"/>
      <c r="AP194" s="861"/>
      <c r="AQ194" s="861"/>
      <c r="AR194" s="861"/>
      <c r="AS194" s="861"/>
      <c r="AT194" s="861"/>
      <c r="AU194" s="862"/>
      <c r="AV194" s="862"/>
      <c r="AW194" s="862"/>
      <c r="AX194" s="862"/>
      <c r="AY194" s="862"/>
      <c r="AZ194" s="862"/>
      <c r="BA194" s="862"/>
      <c r="BB194" s="862"/>
      <c r="BC194" s="862"/>
      <c r="BD194" s="862"/>
      <c r="BE194" s="862"/>
      <c r="BF194" s="862"/>
      <c r="BG194" s="862"/>
    </row>
    <row r="195" spans="36:59" ht="15.75" customHeight="1">
      <c r="AJ195" s="862"/>
      <c r="AK195" s="862"/>
      <c r="AL195" s="861"/>
      <c r="AM195" s="861"/>
      <c r="AN195" s="861"/>
      <c r="AO195" s="861"/>
      <c r="AP195" s="861"/>
      <c r="AQ195" s="861"/>
      <c r="AR195" s="861"/>
      <c r="AS195" s="861"/>
      <c r="AT195" s="861"/>
      <c r="AU195" s="862"/>
      <c r="AV195" s="862"/>
      <c r="AW195" s="862"/>
      <c r="AX195" s="862"/>
      <c r="AY195" s="862"/>
      <c r="AZ195" s="862"/>
      <c r="BA195" s="862"/>
      <c r="BB195" s="862"/>
      <c r="BC195" s="862"/>
      <c r="BD195" s="862"/>
      <c r="BE195" s="862"/>
      <c r="BF195" s="862"/>
      <c r="BG195" s="862"/>
    </row>
    <row r="196" spans="36:59" ht="15.75" customHeight="1">
      <c r="AJ196" s="862"/>
      <c r="AK196" s="862"/>
      <c r="AL196" s="861"/>
      <c r="AM196" s="861"/>
      <c r="AN196" s="861"/>
      <c r="AO196" s="861"/>
      <c r="AP196" s="861"/>
      <c r="AQ196" s="861"/>
      <c r="AR196" s="861"/>
      <c r="AS196" s="861"/>
      <c r="AT196" s="861"/>
      <c r="AU196" s="862"/>
      <c r="AV196" s="862"/>
      <c r="AW196" s="862"/>
      <c r="AX196" s="862"/>
      <c r="AY196" s="862"/>
      <c r="AZ196" s="862"/>
      <c r="BA196" s="862"/>
      <c r="BB196" s="862"/>
      <c r="BC196" s="862"/>
      <c r="BD196" s="862"/>
      <c r="BE196" s="862"/>
      <c r="BF196" s="862"/>
      <c r="BG196" s="862"/>
    </row>
    <row r="197" spans="36:59" ht="15.75" customHeight="1">
      <c r="AJ197" s="862"/>
      <c r="AK197" s="862"/>
      <c r="AL197" s="861"/>
      <c r="AM197" s="861"/>
      <c r="AN197" s="861"/>
      <c r="AO197" s="861"/>
      <c r="AP197" s="861"/>
      <c r="AQ197" s="861"/>
      <c r="AR197" s="861"/>
      <c r="AS197" s="861"/>
      <c r="AT197" s="861"/>
      <c r="AU197" s="862"/>
      <c r="AV197" s="862"/>
      <c r="AW197" s="862"/>
      <c r="AX197" s="862"/>
      <c r="AY197" s="862"/>
      <c r="AZ197" s="862"/>
      <c r="BA197" s="862"/>
      <c r="BB197" s="862"/>
      <c r="BC197" s="862"/>
      <c r="BD197" s="862"/>
      <c r="BE197" s="862"/>
      <c r="BF197" s="862"/>
      <c r="BG197" s="862"/>
    </row>
    <row r="198" spans="36:59" ht="15.75" customHeight="1">
      <c r="AJ198" s="862"/>
      <c r="AK198" s="862"/>
      <c r="AL198" s="861"/>
      <c r="AM198" s="861"/>
      <c r="AN198" s="861"/>
      <c r="AO198" s="861"/>
      <c r="AP198" s="861"/>
      <c r="AQ198" s="861"/>
      <c r="AR198" s="861"/>
      <c r="AS198" s="861"/>
      <c r="AT198" s="861"/>
      <c r="AU198" s="862"/>
      <c r="AV198" s="862"/>
      <c r="AW198" s="862"/>
      <c r="AX198" s="862"/>
      <c r="AY198" s="862"/>
      <c r="AZ198" s="862"/>
      <c r="BA198" s="862"/>
      <c r="BB198" s="862"/>
      <c r="BC198" s="862"/>
      <c r="BD198" s="862"/>
      <c r="BE198" s="862"/>
      <c r="BF198" s="862"/>
      <c r="BG198" s="862"/>
    </row>
    <row r="199" spans="36:59" ht="15.75" customHeight="1">
      <c r="AJ199" s="862"/>
      <c r="AK199" s="862"/>
      <c r="AL199" s="861"/>
      <c r="AM199" s="861"/>
      <c r="AN199" s="861"/>
      <c r="AO199" s="861"/>
      <c r="AP199" s="861"/>
      <c r="AQ199" s="861"/>
      <c r="AR199" s="861"/>
      <c r="AS199" s="861"/>
      <c r="AT199" s="861"/>
      <c r="AU199" s="862"/>
      <c r="AV199" s="862"/>
      <c r="AW199" s="862"/>
      <c r="AX199" s="862"/>
      <c r="AY199" s="862"/>
      <c r="AZ199" s="862"/>
      <c r="BA199" s="862"/>
      <c r="BB199" s="862"/>
      <c r="BC199" s="862"/>
      <c r="BD199" s="862"/>
      <c r="BE199" s="862"/>
      <c r="BF199" s="862"/>
      <c r="BG199" s="862"/>
    </row>
    <row r="200" spans="36:59" ht="15.75" customHeight="1">
      <c r="AJ200" s="862"/>
      <c r="AK200" s="862"/>
      <c r="AL200" s="861"/>
      <c r="AM200" s="861"/>
      <c r="AN200" s="861"/>
      <c r="AO200" s="861"/>
      <c r="AP200" s="861"/>
      <c r="AQ200" s="861"/>
      <c r="AR200" s="861"/>
      <c r="AS200" s="861"/>
      <c r="AT200" s="861"/>
      <c r="AU200" s="862"/>
      <c r="AV200" s="862"/>
      <c r="AW200" s="862"/>
      <c r="AX200" s="862"/>
      <c r="AY200" s="862"/>
      <c r="AZ200" s="862"/>
      <c r="BA200" s="862"/>
      <c r="BB200" s="862"/>
      <c r="BC200" s="862"/>
      <c r="BD200" s="862"/>
      <c r="BE200" s="862"/>
      <c r="BF200" s="862"/>
      <c r="BG200" s="862"/>
    </row>
    <row r="201" spans="36:59" ht="15.75" customHeight="1">
      <c r="AJ201" s="862"/>
      <c r="AK201" s="862"/>
      <c r="AL201" s="861"/>
      <c r="AM201" s="861"/>
      <c r="AN201" s="861"/>
      <c r="AO201" s="861"/>
      <c r="AP201" s="861"/>
      <c r="AQ201" s="861"/>
      <c r="AR201" s="861"/>
      <c r="AS201" s="861"/>
      <c r="AT201" s="861"/>
      <c r="AU201" s="862"/>
      <c r="AV201" s="862"/>
      <c r="AW201" s="862"/>
      <c r="AX201" s="862"/>
      <c r="AY201" s="862"/>
      <c r="AZ201" s="862"/>
      <c r="BA201" s="862"/>
      <c r="BB201" s="862"/>
      <c r="BC201" s="862"/>
      <c r="BD201" s="862"/>
      <c r="BE201" s="862"/>
      <c r="BF201" s="862"/>
      <c r="BG201" s="862"/>
    </row>
    <row r="202" spans="36:59" ht="15.75" customHeight="1">
      <c r="AJ202" s="862"/>
      <c r="AK202" s="862"/>
      <c r="AL202" s="861"/>
      <c r="AM202" s="861"/>
      <c r="AN202" s="861"/>
      <c r="AO202" s="861"/>
      <c r="AP202" s="861"/>
      <c r="AQ202" s="861"/>
      <c r="AR202" s="861"/>
      <c r="AS202" s="861"/>
      <c r="AT202" s="861"/>
      <c r="AU202" s="862"/>
      <c r="AV202" s="862"/>
      <c r="AW202" s="862"/>
      <c r="AX202" s="862"/>
      <c r="AY202" s="862"/>
      <c r="AZ202" s="862"/>
      <c r="BA202" s="862"/>
      <c r="BB202" s="862"/>
      <c r="BC202" s="862"/>
      <c r="BD202" s="862"/>
      <c r="BE202" s="862"/>
      <c r="BF202" s="862"/>
      <c r="BG202" s="862"/>
    </row>
    <row r="203" spans="36:59" ht="15.75" customHeight="1">
      <c r="AJ203" s="862"/>
      <c r="AK203" s="862"/>
      <c r="AL203" s="861"/>
      <c r="AM203" s="861"/>
      <c r="AN203" s="861"/>
      <c r="AO203" s="861"/>
      <c r="AP203" s="861"/>
      <c r="AQ203" s="861"/>
      <c r="AR203" s="861"/>
      <c r="AS203" s="861"/>
      <c r="AT203" s="861"/>
      <c r="AU203" s="862"/>
      <c r="AV203" s="862"/>
      <c r="AW203" s="862"/>
      <c r="AX203" s="862"/>
      <c r="AY203" s="862"/>
      <c r="AZ203" s="862"/>
      <c r="BA203" s="862"/>
      <c r="BB203" s="862"/>
      <c r="BC203" s="862"/>
      <c r="BD203" s="862"/>
      <c r="BE203" s="862"/>
      <c r="BF203" s="862"/>
      <c r="BG203" s="862"/>
    </row>
    <row r="204" spans="36:59" ht="15.75" customHeight="1">
      <c r="AJ204" s="862"/>
      <c r="AK204" s="862"/>
      <c r="AL204" s="861"/>
      <c r="AM204" s="861"/>
      <c r="AN204" s="861"/>
      <c r="AO204" s="861"/>
      <c r="AP204" s="861"/>
      <c r="AQ204" s="861"/>
      <c r="AR204" s="861"/>
      <c r="AS204" s="861"/>
      <c r="AT204" s="861"/>
      <c r="AU204" s="862"/>
      <c r="AV204" s="862"/>
      <c r="AW204" s="862"/>
      <c r="AX204" s="862"/>
      <c r="AY204" s="862"/>
      <c r="AZ204" s="862"/>
      <c r="BA204" s="862"/>
      <c r="BB204" s="862"/>
      <c r="BC204" s="862"/>
      <c r="BD204" s="862"/>
      <c r="BE204" s="862"/>
      <c r="BF204" s="862"/>
      <c r="BG204" s="862"/>
    </row>
    <row r="205" spans="36:59" ht="15.75" customHeight="1">
      <c r="AJ205" s="862"/>
      <c r="AK205" s="862"/>
      <c r="AL205" s="861"/>
      <c r="AM205" s="861"/>
      <c r="AN205" s="861"/>
      <c r="AO205" s="861"/>
      <c r="AP205" s="861"/>
      <c r="AQ205" s="861"/>
      <c r="AR205" s="861"/>
      <c r="AS205" s="861"/>
      <c r="AT205" s="861"/>
      <c r="AU205" s="862"/>
      <c r="AV205" s="862"/>
      <c r="AW205" s="862"/>
      <c r="AX205" s="862"/>
      <c r="AY205" s="862"/>
      <c r="AZ205" s="862"/>
      <c r="BA205" s="862"/>
      <c r="BB205" s="862"/>
      <c r="BC205" s="862"/>
      <c r="BD205" s="862"/>
      <c r="BE205" s="862"/>
      <c r="BF205" s="862"/>
      <c r="BG205" s="862"/>
    </row>
    <row r="206" spans="36:59" ht="15.75" customHeight="1">
      <c r="AJ206" s="862"/>
      <c r="AK206" s="862"/>
      <c r="AL206" s="861"/>
      <c r="AM206" s="861"/>
      <c r="AN206" s="861"/>
      <c r="AO206" s="861"/>
      <c r="AP206" s="861"/>
      <c r="AQ206" s="861"/>
      <c r="AR206" s="861"/>
      <c r="AS206" s="861"/>
      <c r="AT206" s="861"/>
      <c r="AU206" s="862"/>
      <c r="AV206" s="862"/>
      <c r="AW206" s="862"/>
      <c r="AX206" s="862"/>
      <c r="AY206" s="862"/>
      <c r="AZ206" s="862"/>
      <c r="BA206" s="862"/>
      <c r="BB206" s="862"/>
      <c r="BC206" s="862"/>
      <c r="BD206" s="862"/>
      <c r="BE206" s="862"/>
      <c r="BF206" s="862"/>
      <c r="BG206" s="862"/>
    </row>
    <row r="207" spans="36:59" ht="15.75" customHeight="1">
      <c r="AJ207" s="862"/>
      <c r="AK207" s="862"/>
      <c r="AL207" s="861"/>
      <c r="AM207" s="861"/>
      <c r="AN207" s="861"/>
      <c r="AO207" s="861"/>
      <c r="AP207" s="861"/>
      <c r="AQ207" s="861"/>
      <c r="AR207" s="861"/>
      <c r="AS207" s="861"/>
      <c r="AT207" s="861"/>
      <c r="AU207" s="862"/>
      <c r="AV207" s="862"/>
      <c r="AW207" s="862"/>
      <c r="AX207" s="862"/>
      <c r="AY207" s="862"/>
      <c r="AZ207" s="862"/>
      <c r="BA207" s="862"/>
      <c r="BB207" s="862"/>
      <c r="BC207" s="862"/>
      <c r="BD207" s="862"/>
      <c r="BE207" s="862"/>
      <c r="BF207" s="862"/>
      <c r="BG207" s="862"/>
    </row>
    <row r="208" spans="36:59" ht="15.75" customHeight="1">
      <c r="AJ208" s="862"/>
      <c r="AK208" s="862"/>
      <c r="AL208" s="861"/>
      <c r="AM208" s="861"/>
      <c r="AN208" s="861"/>
      <c r="AO208" s="861"/>
      <c r="AP208" s="861"/>
      <c r="AQ208" s="861"/>
      <c r="AR208" s="861"/>
      <c r="AS208" s="861"/>
      <c r="AT208" s="861"/>
      <c r="AU208" s="862"/>
      <c r="AV208" s="862"/>
      <c r="AW208" s="862"/>
      <c r="AX208" s="862"/>
      <c r="AY208" s="862"/>
      <c r="AZ208" s="862"/>
      <c r="BA208" s="862"/>
      <c r="BB208" s="862"/>
      <c r="BC208" s="862"/>
      <c r="BD208" s="862"/>
      <c r="BE208" s="862"/>
      <c r="BF208" s="862"/>
      <c r="BG208" s="862"/>
    </row>
    <row r="209" spans="36:59" ht="15.75" customHeight="1">
      <c r="AJ209" s="862"/>
      <c r="AK209" s="862"/>
      <c r="AL209" s="861"/>
      <c r="AM209" s="861"/>
      <c r="AN209" s="861"/>
      <c r="AO209" s="861"/>
      <c r="AP209" s="861"/>
      <c r="AQ209" s="861"/>
      <c r="AR209" s="861"/>
      <c r="AS209" s="861"/>
      <c r="AT209" s="861"/>
      <c r="AU209" s="862"/>
      <c r="AV209" s="862"/>
      <c r="AW209" s="862"/>
      <c r="AX209" s="862"/>
      <c r="AY209" s="862"/>
      <c r="AZ209" s="862"/>
      <c r="BA209" s="862"/>
      <c r="BB209" s="862"/>
      <c r="BC209" s="862"/>
      <c r="BD209" s="862"/>
      <c r="BE209" s="862"/>
      <c r="BF209" s="862"/>
      <c r="BG209" s="862"/>
    </row>
    <row r="210" spans="36:59" ht="15.75" customHeight="1">
      <c r="AJ210" s="862"/>
      <c r="AK210" s="862"/>
      <c r="AL210" s="861"/>
      <c r="AM210" s="861"/>
      <c r="AN210" s="861"/>
      <c r="AO210" s="861"/>
      <c r="AP210" s="861"/>
      <c r="AQ210" s="861"/>
      <c r="AR210" s="861"/>
      <c r="AS210" s="861"/>
      <c r="AT210" s="861"/>
      <c r="AU210" s="862"/>
      <c r="AV210" s="862"/>
      <c r="AW210" s="862"/>
      <c r="AX210" s="862"/>
      <c r="AY210" s="862"/>
      <c r="AZ210" s="862"/>
      <c r="BA210" s="862"/>
      <c r="BB210" s="862"/>
      <c r="BC210" s="862"/>
      <c r="BD210" s="862"/>
      <c r="BE210" s="862"/>
      <c r="BF210" s="862"/>
      <c r="BG210" s="862"/>
    </row>
    <row r="211" spans="36:59" ht="15.75" customHeight="1">
      <c r="AJ211" s="862"/>
      <c r="AK211" s="862"/>
      <c r="AL211" s="861"/>
      <c r="AM211" s="861"/>
      <c r="AN211" s="861"/>
      <c r="AO211" s="861"/>
      <c r="AP211" s="861"/>
      <c r="AQ211" s="861"/>
      <c r="AR211" s="861"/>
      <c r="AS211" s="861"/>
      <c r="AT211" s="861"/>
      <c r="AU211" s="862"/>
      <c r="AV211" s="862"/>
      <c r="AW211" s="862"/>
      <c r="AX211" s="862"/>
      <c r="AY211" s="862"/>
      <c r="AZ211" s="862"/>
      <c r="BA211" s="862"/>
      <c r="BB211" s="862"/>
      <c r="BC211" s="862"/>
      <c r="BD211" s="862"/>
      <c r="BE211" s="862"/>
      <c r="BF211" s="862"/>
      <c r="BG211" s="862"/>
    </row>
    <row r="212" spans="36:59" ht="15.75" customHeight="1">
      <c r="AJ212" s="862"/>
      <c r="AK212" s="862"/>
      <c r="AL212" s="861"/>
      <c r="AM212" s="861"/>
      <c r="AN212" s="861"/>
      <c r="AO212" s="861"/>
      <c r="AP212" s="861"/>
      <c r="AQ212" s="861"/>
      <c r="AR212" s="861"/>
      <c r="AS212" s="861"/>
      <c r="AT212" s="861"/>
      <c r="AU212" s="862"/>
      <c r="AV212" s="862"/>
      <c r="AW212" s="862"/>
      <c r="AX212" s="862"/>
      <c r="AY212" s="862"/>
      <c r="AZ212" s="862"/>
      <c r="BA212" s="862"/>
      <c r="BB212" s="862"/>
      <c r="BC212" s="862"/>
      <c r="BD212" s="862"/>
      <c r="BE212" s="862"/>
      <c r="BF212" s="862"/>
      <c r="BG212" s="862"/>
    </row>
    <row r="213" spans="36:59" ht="15.75" customHeight="1">
      <c r="AJ213" s="862"/>
      <c r="AK213" s="862"/>
      <c r="AL213" s="861"/>
      <c r="AM213" s="861"/>
      <c r="AN213" s="861"/>
      <c r="AO213" s="861"/>
      <c r="AP213" s="861"/>
      <c r="AQ213" s="861"/>
      <c r="AR213" s="861"/>
      <c r="AS213" s="861"/>
      <c r="AT213" s="861"/>
      <c r="AU213" s="862"/>
      <c r="AV213" s="862"/>
      <c r="AW213" s="862"/>
      <c r="AX213" s="862"/>
      <c r="AY213" s="862"/>
      <c r="AZ213" s="862"/>
      <c r="BA213" s="862"/>
      <c r="BB213" s="862"/>
      <c r="BC213" s="862"/>
      <c r="BD213" s="862"/>
      <c r="BE213" s="862"/>
      <c r="BF213" s="862"/>
      <c r="BG213" s="862"/>
    </row>
    <row r="214" spans="36:59" ht="15.75" customHeight="1">
      <c r="AJ214" s="862"/>
      <c r="AK214" s="862"/>
      <c r="AL214" s="861"/>
      <c r="AM214" s="861"/>
      <c r="AN214" s="861"/>
      <c r="AO214" s="861"/>
      <c r="AP214" s="861"/>
      <c r="AQ214" s="861"/>
      <c r="AR214" s="861"/>
      <c r="AS214" s="861"/>
      <c r="AT214" s="861"/>
      <c r="AU214" s="862"/>
      <c r="AV214" s="862"/>
      <c r="AW214" s="862"/>
      <c r="AX214" s="862"/>
      <c r="AY214" s="862"/>
      <c r="AZ214" s="862"/>
      <c r="BA214" s="862"/>
      <c r="BB214" s="862"/>
      <c r="BC214" s="862"/>
      <c r="BD214" s="862"/>
      <c r="BE214" s="862"/>
      <c r="BF214" s="862"/>
      <c r="BG214" s="862"/>
    </row>
    <row r="215" spans="36:59" ht="15.75" customHeight="1">
      <c r="AJ215" s="862"/>
      <c r="AK215" s="862"/>
      <c r="AL215" s="861"/>
      <c r="AM215" s="861"/>
      <c r="AN215" s="861"/>
      <c r="AO215" s="861"/>
      <c r="AP215" s="861"/>
      <c r="AQ215" s="861"/>
      <c r="AR215" s="861"/>
      <c r="AS215" s="861"/>
      <c r="AT215" s="861"/>
      <c r="AU215" s="862"/>
      <c r="AV215" s="862"/>
      <c r="AW215" s="862"/>
      <c r="AX215" s="862"/>
      <c r="AY215" s="862"/>
      <c r="AZ215" s="862"/>
      <c r="BA215" s="862"/>
      <c r="BB215" s="862"/>
      <c r="BC215" s="862"/>
      <c r="BD215" s="862"/>
      <c r="BE215" s="862"/>
      <c r="BF215" s="862"/>
      <c r="BG215" s="862"/>
    </row>
    <row r="216" spans="36:59" ht="15.75" customHeight="1">
      <c r="AJ216" s="862"/>
      <c r="AK216" s="862"/>
      <c r="AL216" s="861"/>
      <c r="AM216" s="861"/>
      <c r="AN216" s="861"/>
      <c r="AO216" s="861"/>
      <c r="AP216" s="861"/>
      <c r="AQ216" s="861"/>
      <c r="AR216" s="861"/>
      <c r="AS216" s="861"/>
      <c r="AT216" s="861"/>
      <c r="AU216" s="862"/>
      <c r="AV216" s="862"/>
      <c r="AW216" s="862"/>
      <c r="AX216" s="862"/>
      <c r="AY216" s="862"/>
      <c r="AZ216" s="862"/>
      <c r="BA216" s="862"/>
      <c r="BB216" s="862"/>
      <c r="BC216" s="862"/>
      <c r="BD216" s="862"/>
      <c r="BE216" s="862"/>
      <c r="BF216" s="862"/>
      <c r="BG216" s="862"/>
    </row>
    <row r="217" spans="36:59" ht="15.75" customHeight="1">
      <c r="AJ217" s="862"/>
      <c r="AK217" s="862"/>
      <c r="AL217" s="861"/>
      <c r="AM217" s="861"/>
      <c r="AN217" s="861"/>
      <c r="AO217" s="861"/>
      <c r="AP217" s="861"/>
      <c r="AQ217" s="861"/>
      <c r="AR217" s="861"/>
      <c r="AS217" s="861"/>
      <c r="AT217" s="861"/>
      <c r="AU217" s="862"/>
      <c r="AV217" s="862"/>
      <c r="AW217" s="862"/>
      <c r="AX217" s="862"/>
      <c r="AY217" s="862"/>
      <c r="AZ217" s="862"/>
      <c r="BA217" s="862"/>
      <c r="BB217" s="862"/>
      <c r="BC217" s="862"/>
      <c r="BD217" s="862"/>
      <c r="BE217" s="862"/>
      <c r="BF217" s="862"/>
      <c r="BG217" s="862"/>
    </row>
    <row r="218" spans="36:59" ht="15.75" customHeight="1">
      <c r="AJ218" s="862"/>
      <c r="AK218" s="862"/>
      <c r="AL218" s="861"/>
      <c r="AM218" s="861"/>
      <c r="AN218" s="861"/>
      <c r="AO218" s="861"/>
      <c r="AP218" s="861"/>
      <c r="AQ218" s="861"/>
      <c r="AR218" s="861"/>
      <c r="AS218" s="861"/>
      <c r="AT218" s="861"/>
      <c r="AU218" s="862"/>
      <c r="AV218" s="862"/>
      <c r="AW218" s="862"/>
      <c r="AX218" s="862"/>
      <c r="AY218" s="862"/>
      <c r="AZ218" s="862"/>
      <c r="BA218" s="862"/>
      <c r="BB218" s="862"/>
      <c r="BC218" s="862"/>
      <c r="BD218" s="862"/>
      <c r="BE218" s="862"/>
      <c r="BF218" s="862"/>
      <c r="BG218" s="862"/>
    </row>
    <row r="219" spans="36:59" ht="15.75" customHeight="1">
      <c r="AJ219" s="862"/>
      <c r="AK219" s="862"/>
      <c r="AL219" s="861"/>
      <c r="AM219" s="861"/>
      <c r="AN219" s="861"/>
      <c r="AO219" s="861"/>
      <c r="AP219" s="861"/>
      <c r="AQ219" s="861"/>
      <c r="AR219" s="861"/>
      <c r="AS219" s="861"/>
      <c r="AT219" s="861"/>
      <c r="AU219" s="862"/>
      <c r="AV219" s="862"/>
      <c r="AW219" s="862"/>
      <c r="AX219" s="862"/>
      <c r="AY219" s="862"/>
      <c r="AZ219" s="862"/>
      <c r="BA219" s="862"/>
      <c r="BB219" s="862"/>
      <c r="BC219" s="862"/>
      <c r="BD219" s="862"/>
      <c r="BE219" s="862"/>
      <c r="BF219" s="862"/>
      <c r="BG219" s="862"/>
    </row>
    <row r="220" spans="36:59" ht="15.75" customHeight="1">
      <c r="AJ220" s="862"/>
      <c r="AK220" s="862"/>
      <c r="AL220" s="861"/>
      <c r="AM220" s="861"/>
      <c r="AN220" s="861"/>
      <c r="AO220" s="861"/>
      <c r="AP220" s="861"/>
      <c r="AQ220" s="861"/>
      <c r="AR220" s="861"/>
      <c r="AS220" s="861"/>
      <c r="AT220" s="861"/>
      <c r="AU220" s="862"/>
      <c r="AV220" s="862"/>
      <c r="AW220" s="862"/>
      <c r="AX220" s="862"/>
      <c r="AY220" s="862"/>
      <c r="AZ220" s="862"/>
      <c r="BA220" s="862"/>
      <c r="BB220" s="862"/>
      <c r="BC220" s="862"/>
      <c r="BD220" s="862"/>
      <c r="BE220" s="862"/>
      <c r="BF220" s="862"/>
      <c r="BG220" s="862"/>
    </row>
    <row r="221" spans="36:59" ht="15.75" customHeight="1">
      <c r="AJ221" s="862"/>
      <c r="AK221" s="862"/>
      <c r="AL221" s="861"/>
      <c r="AM221" s="861"/>
      <c r="AN221" s="861"/>
      <c r="AO221" s="861"/>
      <c r="AP221" s="861"/>
      <c r="AQ221" s="861"/>
      <c r="AR221" s="861"/>
      <c r="AS221" s="861"/>
      <c r="AT221" s="861"/>
      <c r="AU221" s="862"/>
      <c r="AV221" s="862"/>
      <c r="AW221" s="862"/>
      <c r="AX221" s="862"/>
      <c r="AY221" s="862"/>
      <c r="AZ221" s="862"/>
      <c r="BA221" s="862"/>
      <c r="BB221" s="862"/>
      <c r="BC221" s="862"/>
      <c r="BD221" s="862"/>
      <c r="BE221" s="862"/>
      <c r="BF221" s="862"/>
      <c r="BG221" s="862"/>
    </row>
    <row r="222" spans="36:59" ht="15.75" customHeight="1">
      <c r="AJ222" s="862"/>
      <c r="AK222" s="862"/>
      <c r="AL222" s="861"/>
      <c r="AM222" s="861"/>
      <c r="AN222" s="861"/>
      <c r="AO222" s="861"/>
      <c r="AP222" s="861"/>
      <c r="AQ222" s="861"/>
      <c r="AR222" s="861"/>
      <c r="AS222" s="861"/>
      <c r="AT222" s="861"/>
      <c r="AU222" s="862"/>
      <c r="AV222" s="862"/>
      <c r="AW222" s="862"/>
      <c r="AX222" s="862"/>
      <c r="AY222" s="862"/>
      <c r="AZ222" s="862"/>
      <c r="BA222" s="862"/>
      <c r="BB222" s="862"/>
      <c r="BC222" s="862"/>
      <c r="BD222" s="862"/>
      <c r="BE222" s="862"/>
      <c r="BF222" s="862"/>
      <c r="BG222" s="862"/>
    </row>
    <row r="223" spans="36:59" ht="15.75" customHeight="1">
      <c r="AJ223" s="862"/>
      <c r="AK223" s="862"/>
      <c r="AL223" s="861"/>
      <c r="AM223" s="861"/>
      <c r="AN223" s="861"/>
      <c r="AO223" s="861"/>
      <c r="AP223" s="861"/>
      <c r="AQ223" s="861"/>
      <c r="AR223" s="861"/>
      <c r="AS223" s="861"/>
      <c r="AT223" s="861"/>
      <c r="AU223" s="862"/>
      <c r="AV223" s="862"/>
      <c r="AW223" s="862"/>
      <c r="AX223" s="862"/>
      <c r="AY223" s="862"/>
      <c r="AZ223" s="862"/>
      <c r="BA223" s="862"/>
      <c r="BB223" s="862"/>
      <c r="BC223" s="862"/>
      <c r="BD223" s="862"/>
      <c r="BE223" s="862"/>
      <c r="BF223" s="862"/>
      <c r="BG223" s="862"/>
    </row>
    <row r="224" spans="36:59" ht="15.75" customHeight="1">
      <c r="AJ224" s="862"/>
      <c r="AK224" s="862"/>
      <c r="AL224" s="861"/>
      <c r="AM224" s="861"/>
      <c r="AN224" s="861"/>
      <c r="AO224" s="861"/>
      <c r="AP224" s="861"/>
      <c r="AQ224" s="861"/>
      <c r="AR224" s="861"/>
      <c r="AS224" s="861"/>
      <c r="AT224" s="861"/>
      <c r="AU224" s="862"/>
      <c r="AV224" s="862"/>
      <c r="AW224" s="862"/>
      <c r="AX224" s="862"/>
      <c r="AY224" s="862"/>
      <c r="AZ224" s="862"/>
      <c r="BA224" s="862"/>
      <c r="BB224" s="862"/>
      <c r="BC224" s="862"/>
      <c r="BD224" s="862"/>
      <c r="BE224" s="862"/>
      <c r="BF224" s="862"/>
      <c r="BG224" s="862"/>
    </row>
    <row r="225" spans="36:59" ht="15.75" customHeight="1">
      <c r="AJ225" s="862"/>
      <c r="AK225" s="862"/>
      <c r="AL225" s="861"/>
      <c r="AM225" s="861"/>
      <c r="AN225" s="861"/>
      <c r="AO225" s="861"/>
      <c r="AP225" s="861"/>
      <c r="AQ225" s="861"/>
      <c r="AR225" s="861"/>
      <c r="AS225" s="861"/>
      <c r="AT225" s="861"/>
      <c r="AU225" s="862"/>
      <c r="AV225" s="862"/>
      <c r="AW225" s="862"/>
      <c r="AX225" s="862"/>
      <c r="AY225" s="862"/>
      <c r="AZ225" s="862"/>
      <c r="BA225" s="862"/>
      <c r="BB225" s="862"/>
      <c r="BC225" s="862"/>
      <c r="BD225" s="862"/>
      <c r="BE225" s="862"/>
      <c r="BF225" s="862"/>
      <c r="BG225" s="862"/>
    </row>
    <row r="226" spans="36:59" ht="15.75" customHeight="1">
      <c r="AJ226" s="862"/>
      <c r="AK226" s="862"/>
      <c r="AL226" s="861"/>
      <c r="AM226" s="861"/>
      <c r="AN226" s="861"/>
      <c r="AO226" s="861"/>
      <c r="AP226" s="861"/>
      <c r="AQ226" s="861"/>
      <c r="AR226" s="861"/>
      <c r="AS226" s="861"/>
      <c r="AT226" s="861"/>
      <c r="AU226" s="862"/>
      <c r="AV226" s="862"/>
      <c r="AW226" s="862"/>
      <c r="AX226" s="862"/>
      <c r="AY226" s="862"/>
      <c r="AZ226" s="862"/>
      <c r="BA226" s="862"/>
      <c r="BB226" s="862"/>
      <c r="BC226" s="862"/>
      <c r="BD226" s="862"/>
      <c r="BE226" s="862"/>
      <c r="BF226" s="862"/>
      <c r="BG226" s="862"/>
    </row>
    <row r="227" spans="36:59" ht="15.75" customHeight="1">
      <c r="AJ227" s="862"/>
      <c r="AK227" s="862"/>
      <c r="AL227" s="861"/>
      <c r="AM227" s="861"/>
      <c r="AN227" s="861"/>
      <c r="AO227" s="861"/>
      <c r="AP227" s="861"/>
      <c r="AQ227" s="861"/>
      <c r="AR227" s="861"/>
      <c r="AS227" s="861"/>
      <c r="AT227" s="861"/>
      <c r="AU227" s="862"/>
      <c r="AV227" s="862"/>
      <c r="AW227" s="862"/>
      <c r="AX227" s="862"/>
      <c r="AY227" s="862"/>
      <c r="AZ227" s="862"/>
      <c r="BA227" s="862"/>
      <c r="BB227" s="862"/>
      <c r="BC227" s="862"/>
      <c r="BD227" s="862"/>
      <c r="BE227" s="862"/>
      <c r="BF227" s="862"/>
      <c r="BG227" s="862"/>
    </row>
    <row r="228" spans="36:59" ht="15.75" customHeight="1">
      <c r="AJ228" s="862"/>
      <c r="AK228" s="862"/>
      <c r="AL228" s="861"/>
      <c r="AM228" s="861"/>
      <c r="AN228" s="861"/>
      <c r="AO228" s="861"/>
      <c r="AP228" s="861"/>
      <c r="AQ228" s="861"/>
      <c r="AR228" s="861"/>
      <c r="AS228" s="861"/>
      <c r="AT228" s="861"/>
      <c r="AU228" s="862"/>
      <c r="AV228" s="862"/>
      <c r="AW228" s="862"/>
      <c r="AX228" s="862"/>
      <c r="AY228" s="862"/>
      <c r="AZ228" s="862"/>
      <c r="BA228" s="862"/>
      <c r="BB228" s="862"/>
      <c r="BC228" s="862"/>
      <c r="BD228" s="862"/>
      <c r="BE228" s="862"/>
      <c r="BF228" s="862"/>
      <c r="BG228" s="862"/>
    </row>
    <row r="229" spans="36:59" ht="15.75" customHeight="1">
      <c r="AJ229" s="862"/>
      <c r="AK229" s="862"/>
      <c r="AL229" s="861"/>
      <c r="AM229" s="861"/>
      <c r="AN229" s="861"/>
      <c r="AO229" s="861"/>
      <c r="AP229" s="861"/>
      <c r="AQ229" s="861"/>
      <c r="AR229" s="861"/>
      <c r="AS229" s="861"/>
      <c r="AT229" s="861"/>
      <c r="AU229" s="862"/>
      <c r="AV229" s="862"/>
      <c r="AW229" s="862"/>
      <c r="AX229" s="862"/>
      <c r="AY229" s="862"/>
      <c r="AZ229" s="862"/>
      <c r="BA229" s="862"/>
      <c r="BB229" s="862"/>
      <c r="BC229" s="862"/>
      <c r="BD229" s="862"/>
      <c r="BE229" s="862"/>
      <c r="BF229" s="862"/>
      <c r="BG229" s="862"/>
    </row>
    <row r="230" spans="36:59" ht="15.75" customHeight="1">
      <c r="AJ230" s="862"/>
      <c r="AK230" s="862"/>
      <c r="AL230" s="861"/>
      <c r="AM230" s="861"/>
      <c r="AN230" s="861"/>
      <c r="AO230" s="861"/>
      <c r="AP230" s="861"/>
      <c r="AQ230" s="861"/>
      <c r="AR230" s="861"/>
      <c r="AS230" s="861"/>
      <c r="AT230" s="861"/>
      <c r="AU230" s="862"/>
      <c r="AV230" s="862"/>
      <c r="AW230" s="862"/>
      <c r="AX230" s="862"/>
      <c r="AY230" s="862"/>
      <c r="AZ230" s="862"/>
      <c r="BA230" s="862"/>
      <c r="BB230" s="862"/>
      <c r="BC230" s="862"/>
      <c r="BD230" s="862"/>
      <c r="BE230" s="862"/>
      <c r="BF230" s="862"/>
      <c r="BG230" s="862"/>
    </row>
    <row r="231" spans="36:59" ht="15.75" customHeight="1">
      <c r="AJ231" s="862"/>
      <c r="AK231" s="862"/>
      <c r="AL231" s="861"/>
      <c r="AM231" s="861"/>
      <c r="AN231" s="861"/>
      <c r="AO231" s="861"/>
      <c r="AP231" s="861"/>
      <c r="AQ231" s="861"/>
      <c r="AR231" s="861"/>
      <c r="AS231" s="861"/>
      <c r="AT231" s="861"/>
      <c r="AU231" s="862"/>
      <c r="AV231" s="862"/>
      <c r="AW231" s="862"/>
      <c r="AX231" s="862"/>
      <c r="AY231" s="862"/>
      <c r="AZ231" s="862"/>
      <c r="BA231" s="862"/>
      <c r="BB231" s="862"/>
      <c r="BC231" s="862"/>
      <c r="BD231" s="862"/>
      <c r="BE231" s="862"/>
      <c r="BF231" s="862"/>
      <c r="BG231" s="862"/>
    </row>
    <row r="232" spans="36:59" ht="15.75" customHeight="1">
      <c r="AJ232" s="862"/>
      <c r="AK232" s="862"/>
      <c r="AL232" s="861"/>
      <c r="AM232" s="861"/>
      <c r="AN232" s="861"/>
      <c r="AO232" s="861"/>
      <c r="AP232" s="861"/>
      <c r="AQ232" s="861"/>
      <c r="AR232" s="861"/>
      <c r="AS232" s="861"/>
      <c r="AT232" s="861"/>
      <c r="AU232" s="862"/>
      <c r="AV232" s="862"/>
      <c r="AW232" s="862"/>
      <c r="AX232" s="862"/>
      <c r="AY232" s="862"/>
      <c r="AZ232" s="862"/>
      <c r="BA232" s="862"/>
      <c r="BB232" s="862"/>
      <c r="BC232" s="862"/>
      <c r="BD232" s="862"/>
      <c r="BE232" s="862"/>
      <c r="BF232" s="862"/>
      <c r="BG232" s="862"/>
    </row>
    <row r="233" spans="36:59" ht="15.75" customHeight="1">
      <c r="AJ233" s="862"/>
      <c r="AK233" s="862"/>
      <c r="AL233" s="861"/>
      <c r="AM233" s="861"/>
      <c r="AN233" s="861"/>
      <c r="AO233" s="861"/>
      <c r="AP233" s="861"/>
      <c r="AQ233" s="861"/>
      <c r="AR233" s="861"/>
      <c r="AS233" s="861"/>
      <c r="AT233" s="861"/>
      <c r="AU233" s="862"/>
      <c r="AV233" s="862"/>
      <c r="AW233" s="862"/>
      <c r="AX233" s="862"/>
      <c r="AY233" s="862"/>
      <c r="AZ233" s="862"/>
      <c r="BA233" s="862"/>
      <c r="BB233" s="862"/>
      <c r="BC233" s="862"/>
      <c r="BD233" s="862"/>
      <c r="BE233" s="862"/>
      <c r="BF233" s="862"/>
      <c r="BG233" s="862"/>
    </row>
    <row r="234" spans="36:59" ht="15.75" customHeight="1">
      <c r="AJ234" s="862"/>
      <c r="AK234" s="862"/>
      <c r="AL234" s="861"/>
      <c r="AM234" s="861"/>
      <c r="AN234" s="861"/>
      <c r="AO234" s="861"/>
      <c r="AP234" s="861"/>
      <c r="AQ234" s="861"/>
      <c r="AR234" s="861"/>
      <c r="AS234" s="861"/>
      <c r="AT234" s="861"/>
      <c r="AU234" s="862"/>
      <c r="AV234" s="862"/>
      <c r="AW234" s="862"/>
      <c r="AX234" s="862"/>
      <c r="AY234" s="862"/>
      <c r="AZ234" s="862"/>
      <c r="BA234" s="862"/>
      <c r="BB234" s="862"/>
      <c r="BC234" s="862"/>
      <c r="BD234" s="862"/>
      <c r="BE234" s="862"/>
      <c r="BF234" s="862"/>
      <c r="BG234" s="862"/>
    </row>
    <row r="235" spans="36:59" ht="15.75" customHeight="1">
      <c r="AJ235" s="862"/>
      <c r="AK235" s="862"/>
      <c r="AL235" s="861"/>
      <c r="AM235" s="861"/>
      <c r="AN235" s="861"/>
      <c r="AO235" s="861"/>
      <c r="AP235" s="861"/>
      <c r="AQ235" s="861"/>
      <c r="AR235" s="861"/>
      <c r="AS235" s="861"/>
      <c r="AT235" s="861"/>
      <c r="AU235" s="862"/>
      <c r="AV235" s="862"/>
      <c r="AW235" s="862"/>
      <c r="AX235" s="862"/>
      <c r="AY235" s="862"/>
      <c r="AZ235" s="862"/>
      <c r="BA235" s="862"/>
      <c r="BB235" s="862"/>
      <c r="BC235" s="862"/>
      <c r="BD235" s="862"/>
      <c r="BE235" s="862"/>
      <c r="BF235" s="862"/>
      <c r="BG235" s="862"/>
    </row>
    <row r="236" spans="36:59" ht="15.75" customHeight="1">
      <c r="AJ236" s="862"/>
      <c r="AK236" s="862"/>
      <c r="AL236" s="861"/>
      <c r="AM236" s="861"/>
      <c r="AN236" s="861"/>
      <c r="AO236" s="861"/>
      <c r="AP236" s="861"/>
      <c r="AQ236" s="861"/>
      <c r="AR236" s="861"/>
      <c r="AS236" s="861"/>
      <c r="AT236" s="861"/>
      <c r="AU236" s="862"/>
      <c r="AV236" s="862"/>
      <c r="AW236" s="862"/>
      <c r="AX236" s="862"/>
      <c r="AY236" s="862"/>
      <c r="AZ236" s="862"/>
      <c r="BA236" s="862"/>
      <c r="BB236" s="862"/>
      <c r="BC236" s="862"/>
      <c r="BD236" s="862"/>
      <c r="BE236" s="862"/>
      <c r="BF236" s="862"/>
      <c r="BG236" s="862"/>
    </row>
    <row r="237" spans="36:59" ht="15.75" customHeight="1">
      <c r="AJ237" s="862"/>
      <c r="AK237" s="862"/>
      <c r="AL237" s="861"/>
      <c r="AM237" s="861"/>
      <c r="AN237" s="861"/>
      <c r="AO237" s="861"/>
      <c r="AP237" s="861"/>
      <c r="AQ237" s="861"/>
      <c r="AR237" s="861"/>
      <c r="AS237" s="861"/>
      <c r="AT237" s="861"/>
      <c r="AU237" s="862"/>
      <c r="AV237" s="862"/>
      <c r="AW237" s="862"/>
      <c r="AX237" s="862"/>
      <c r="AY237" s="862"/>
      <c r="AZ237" s="862"/>
      <c r="BA237" s="862"/>
      <c r="BB237" s="862"/>
      <c r="BC237" s="862"/>
      <c r="BD237" s="862"/>
      <c r="BE237" s="862"/>
      <c r="BF237" s="862"/>
      <c r="BG237" s="862"/>
    </row>
    <row r="238" spans="36:59" ht="15.75" customHeight="1">
      <c r="AJ238" s="862"/>
      <c r="AK238" s="862"/>
      <c r="AL238" s="861"/>
      <c r="AM238" s="861"/>
      <c r="AN238" s="861"/>
      <c r="AO238" s="861"/>
      <c r="AP238" s="861"/>
      <c r="AQ238" s="861"/>
      <c r="AR238" s="861"/>
      <c r="AS238" s="861"/>
      <c r="AT238" s="861"/>
      <c r="AU238" s="862"/>
      <c r="AV238" s="862"/>
      <c r="AW238" s="862"/>
      <c r="AX238" s="862"/>
      <c r="AY238" s="862"/>
      <c r="AZ238" s="862"/>
      <c r="BA238" s="862"/>
      <c r="BB238" s="862"/>
      <c r="BC238" s="862"/>
      <c r="BD238" s="862"/>
      <c r="BE238" s="862"/>
      <c r="BF238" s="862"/>
      <c r="BG238" s="862"/>
    </row>
    <row r="239" spans="36:59" ht="15.75" customHeight="1">
      <c r="AJ239" s="862"/>
      <c r="AK239" s="862"/>
      <c r="AL239" s="861"/>
      <c r="AM239" s="861"/>
      <c r="AN239" s="861"/>
      <c r="AO239" s="861"/>
      <c r="AP239" s="861"/>
      <c r="AQ239" s="861"/>
      <c r="AR239" s="861"/>
      <c r="AS239" s="861"/>
      <c r="AT239" s="861"/>
      <c r="AU239" s="862"/>
      <c r="AV239" s="862"/>
      <c r="AW239" s="862"/>
      <c r="AX239" s="862"/>
      <c r="AY239" s="862"/>
      <c r="AZ239" s="862"/>
      <c r="BA239" s="862"/>
      <c r="BB239" s="862"/>
      <c r="BC239" s="862"/>
      <c r="BD239" s="862"/>
      <c r="BE239" s="862"/>
      <c r="BF239" s="862"/>
      <c r="BG239" s="862"/>
    </row>
    <row r="240" spans="36:59" ht="15.75" customHeight="1">
      <c r="AJ240" s="862"/>
      <c r="AK240" s="862"/>
      <c r="AL240" s="861"/>
      <c r="AM240" s="861"/>
      <c r="AN240" s="861"/>
      <c r="AO240" s="861"/>
      <c r="AP240" s="861"/>
      <c r="AQ240" s="861"/>
      <c r="AR240" s="861"/>
      <c r="AS240" s="861"/>
      <c r="AT240" s="861"/>
      <c r="AU240" s="862"/>
      <c r="AV240" s="862"/>
      <c r="AW240" s="862"/>
      <c r="AX240" s="862"/>
      <c r="AY240" s="862"/>
      <c r="AZ240" s="862"/>
      <c r="BA240" s="862"/>
      <c r="BB240" s="862"/>
      <c r="BC240" s="862"/>
      <c r="BD240" s="862"/>
      <c r="BE240" s="862"/>
      <c r="BF240" s="862"/>
      <c r="BG240" s="862"/>
    </row>
    <row r="241" spans="36:59" ht="15.75" customHeight="1">
      <c r="AJ241" s="862"/>
      <c r="AK241" s="862"/>
      <c r="AL241" s="861"/>
      <c r="AM241" s="861"/>
      <c r="AN241" s="861"/>
      <c r="AO241" s="861"/>
      <c r="AP241" s="861"/>
      <c r="AQ241" s="861"/>
      <c r="AR241" s="861"/>
      <c r="AS241" s="861"/>
      <c r="AT241" s="861"/>
      <c r="AU241" s="862"/>
      <c r="AV241" s="862"/>
      <c r="AW241" s="862"/>
      <c r="AX241" s="862"/>
      <c r="AY241" s="862"/>
      <c r="AZ241" s="862"/>
      <c r="BA241" s="862"/>
      <c r="BB241" s="862"/>
      <c r="BC241" s="862"/>
      <c r="BD241" s="862"/>
      <c r="BE241" s="862"/>
      <c r="BF241" s="862"/>
      <c r="BG241" s="862"/>
    </row>
    <row r="242" spans="36:59" ht="15.75" customHeight="1">
      <c r="AJ242" s="862"/>
      <c r="AK242" s="862"/>
      <c r="AL242" s="861"/>
      <c r="AM242" s="861"/>
      <c r="AN242" s="861"/>
      <c r="AO242" s="861"/>
      <c r="AP242" s="861"/>
      <c r="AQ242" s="861"/>
      <c r="AR242" s="861"/>
      <c r="AS242" s="861"/>
      <c r="AT242" s="861"/>
      <c r="AU242" s="862"/>
      <c r="AV242" s="862"/>
      <c r="AW242" s="862"/>
      <c r="AX242" s="862"/>
      <c r="AY242" s="862"/>
      <c r="AZ242" s="862"/>
      <c r="BA242" s="862"/>
      <c r="BB242" s="862"/>
      <c r="BC242" s="862"/>
      <c r="BD242" s="862"/>
      <c r="BE242" s="862"/>
      <c r="BF242" s="862"/>
      <c r="BG242" s="862"/>
    </row>
    <row r="243" spans="36:59" ht="15.75" customHeight="1">
      <c r="AJ243" s="862"/>
      <c r="AK243" s="862"/>
      <c r="AL243" s="861"/>
      <c r="AM243" s="861"/>
      <c r="AN243" s="861"/>
      <c r="AO243" s="861"/>
      <c r="AP243" s="861"/>
      <c r="AQ243" s="861"/>
      <c r="AR243" s="861"/>
      <c r="AS243" s="861"/>
      <c r="AT243" s="861"/>
      <c r="AU243" s="862"/>
      <c r="AV243" s="862"/>
      <c r="AW243" s="862"/>
      <c r="AX243" s="862"/>
      <c r="AY243" s="862"/>
      <c r="AZ243" s="862"/>
      <c r="BA243" s="862"/>
      <c r="BB243" s="862"/>
      <c r="BC243" s="862"/>
      <c r="BD243" s="862"/>
      <c r="BE243" s="862"/>
      <c r="BF243" s="862"/>
      <c r="BG243" s="862"/>
    </row>
    <row r="244" spans="36:59" ht="15.75" customHeight="1">
      <c r="AJ244" s="862"/>
      <c r="AK244" s="862"/>
      <c r="AL244" s="861"/>
      <c r="AM244" s="861"/>
      <c r="AN244" s="861"/>
      <c r="AO244" s="861"/>
      <c r="AP244" s="861"/>
      <c r="AQ244" s="861"/>
      <c r="AR244" s="861"/>
      <c r="AS244" s="861"/>
      <c r="AT244" s="861"/>
      <c r="AU244" s="862"/>
      <c r="AV244" s="862"/>
      <c r="AW244" s="862"/>
      <c r="AX244" s="862"/>
      <c r="AY244" s="862"/>
      <c r="AZ244" s="862"/>
      <c r="BA244" s="862"/>
      <c r="BB244" s="862"/>
      <c r="BC244" s="862"/>
      <c r="BD244" s="862"/>
      <c r="BE244" s="862"/>
      <c r="BF244" s="862"/>
      <c r="BG244" s="862"/>
    </row>
    <row r="245" spans="36:59" ht="15.75" customHeight="1">
      <c r="AJ245" s="862"/>
      <c r="AK245" s="862"/>
      <c r="AL245" s="861"/>
      <c r="AM245" s="861"/>
      <c r="AN245" s="861"/>
      <c r="AO245" s="861"/>
      <c r="AP245" s="861"/>
      <c r="AQ245" s="861"/>
      <c r="AR245" s="861"/>
      <c r="AS245" s="861"/>
      <c r="AT245" s="861"/>
      <c r="AU245" s="862"/>
      <c r="AV245" s="862"/>
      <c r="AW245" s="862"/>
      <c r="AX245" s="862"/>
      <c r="AY245" s="862"/>
      <c r="AZ245" s="862"/>
      <c r="BA245" s="862"/>
      <c r="BB245" s="862"/>
      <c r="BC245" s="862"/>
      <c r="BD245" s="862"/>
      <c r="BE245" s="862"/>
      <c r="BF245" s="862"/>
      <c r="BG245" s="862"/>
    </row>
    <row r="246" spans="36:59" ht="15.75" customHeight="1">
      <c r="AJ246" s="862"/>
      <c r="AK246" s="862"/>
      <c r="AL246" s="861"/>
      <c r="AM246" s="861"/>
      <c r="AN246" s="861"/>
      <c r="AO246" s="861"/>
      <c r="AP246" s="861"/>
      <c r="AQ246" s="861"/>
      <c r="AR246" s="861"/>
      <c r="AS246" s="861"/>
      <c r="AT246" s="861"/>
      <c r="AU246" s="862"/>
      <c r="AV246" s="862"/>
      <c r="AW246" s="862"/>
      <c r="AX246" s="862"/>
      <c r="AY246" s="862"/>
      <c r="AZ246" s="862"/>
      <c r="BA246" s="862"/>
      <c r="BB246" s="862"/>
      <c r="BC246" s="862"/>
      <c r="BD246" s="862"/>
      <c r="BE246" s="862"/>
      <c r="BF246" s="862"/>
      <c r="BG246" s="862"/>
    </row>
    <row r="247" spans="36:59" ht="15.75" customHeight="1">
      <c r="AJ247" s="862"/>
      <c r="AK247" s="862"/>
      <c r="AL247" s="861"/>
      <c r="AM247" s="861"/>
      <c r="AN247" s="861"/>
      <c r="AO247" s="861"/>
      <c r="AP247" s="861"/>
      <c r="AQ247" s="861"/>
      <c r="AR247" s="861"/>
      <c r="AS247" s="861"/>
      <c r="AT247" s="861"/>
      <c r="AU247" s="862"/>
      <c r="AV247" s="862"/>
      <c r="AW247" s="862"/>
      <c r="AX247" s="862"/>
      <c r="AY247" s="862"/>
      <c r="AZ247" s="862"/>
      <c r="BA247" s="862"/>
      <c r="BB247" s="862"/>
      <c r="BC247" s="862"/>
      <c r="BD247" s="862"/>
      <c r="BE247" s="862"/>
      <c r="BF247" s="862"/>
      <c r="BG247" s="862"/>
    </row>
    <row r="248" spans="36:59" ht="15.75" customHeight="1">
      <c r="AJ248" s="862"/>
      <c r="AK248" s="862"/>
      <c r="AL248" s="861"/>
      <c r="AM248" s="861"/>
      <c r="AN248" s="861"/>
      <c r="AO248" s="861"/>
      <c r="AP248" s="861"/>
      <c r="AQ248" s="861"/>
      <c r="AR248" s="861"/>
      <c r="AS248" s="861"/>
      <c r="AT248" s="861"/>
      <c r="AU248" s="862"/>
      <c r="AV248" s="862"/>
      <c r="AW248" s="862"/>
      <c r="AX248" s="862"/>
      <c r="AY248" s="862"/>
      <c r="AZ248" s="862"/>
      <c r="BA248" s="862"/>
      <c r="BB248" s="862"/>
      <c r="BC248" s="862"/>
      <c r="BD248" s="862"/>
      <c r="BE248" s="862"/>
      <c r="BF248" s="862"/>
      <c r="BG248" s="862"/>
    </row>
    <row r="249" spans="36:59" ht="15.75" customHeight="1">
      <c r="AJ249" s="862"/>
      <c r="AK249" s="862"/>
      <c r="AL249" s="861"/>
      <c r="AM249" s="861"/>
      <c r="AN249" s="861"/>
      <c r="AO249" s="861"/>
      <c r="AP249" s="861"/>
      <c r="AQ249" s="861"/>
      <c r="AR249" s="861"/>
      <c r="AS249" s="861"/>
      <c r="AT249" s="861"/>
      <c r="AU249" s="862"/>
      <c r="AV249" s="862"/>
      <c r="AW249" s="862"/>
      <c r="AX249" s="862"/>
      <c r="AY249" s="862"/>
      <c r="AZ249" s="862"/>
      <c r="BA249" s="862"/>
      <c r="BB249" s="862"/>
      <c r="BC249" s="862"/>
      <c r="BD249" s="862"/>
      <c r="BE249" s="862"/>
      <c r="BF249" s="862"/>
      <c r="BG249" s="862"/>
    </row>
    <row r="250" spans="36:59" ht="15.75" customHeight="1">
      <c r="AJ250" s="862"/>
      <c r="AK250" s="862"/>
      <c r="AL250" s="861"/>
      <c r="AM250" s="861"/>
      <c r="AN250" s="861"/>
      <c r="AO250" s="861"/>
      <c r="AP250" s="861"/>
      <c r="AQ250" s="861"/>
      <c r="AR250" s="861"/>
      <c r="AS250" s="861"/>
      <c r="AT250" s="861"/>
      <c r="AU250" s="862"/>
      <c r="AV250" s="862"/>
      <c r="AW250" s="862"/>
      <c r="AX250" s="862"/>
      <c r="AY250" s="862"/>
      <c r="AZ250" s="862"/>
      <c r="BA250" s="862"/>
      <c r="BB250" s="862"/>
      <c r="BC250" s="862"/>
      <c r="BD250" s="862"/>
      <c r="BE250" s="862"/>
      <c r="BF250" s="862"/>
      <c r="BG250" s="862"/>
    </row>
    <row r="251" spans="36:59" ht="15.75" customHeight="1">
      <c r="AJ251" s="862"/>
      <c r="AK251" s="862"/>
      <c r="AL251" s="861"/>
      <c r="AM251" s="861"/>
      <c r="AN251" s="861"/>
      <c r="AO251" s="861"/>
      <c r="AP251" s="861"/>
      <c r="AQ251" s="861"/>
      <c r="AR251" s="861"/>
      <c r="AS251" s="861"/>
      <c r="AT251" s="861"/>
      <c r="AU251" s="862"/>
      <c r="AV251" s="862"/>
      <c r="AW251" s="862"/>
      <c r="AX251" s="862"/>
      <c r="AY251" s="862"/>
      <c r="AZ251" s="862"/>
      <c r="BA251" s="862"/>
      <c r="BB251" s="862"/>
      <c r="BC251" s="862"/>
      <c r="BD251" s="862"/>
      <c r="BE251" s="862"/>
      <c r="BF251" s="862"/>
      <c r="BG251" s="862"/>
    </row>
    <row r="252" spans="36:59" ht="15.75" customHeight="1">
      <c r="AJ252" s="862"/>
      <c r="AK252" s="862"/>
      <c r="AL252" s="861"/>
      <c r="AM252" s="861"/>
      <c r="AN252" s="861"/>
      <c r="AO252" s="861"/>
      <c r="AP252" s="861"/>
      <c r="AQ252" s="861"/>
      <c r="AR252" s="861"/>
      <c r="AS252" s="861"/>
      <c r="AT252" s="861"/>
      <c r="AU252" s="862"/>
      <c r="AV252" s="862"/>
      <c r="AW252" s="862"/>
      <c r="AX252" s="862"/>
      <c r="AY252" s="862"/>
      <c r="AZ252" s="862"/>
      <c r="BA252" s="862"/>
      <c r="BB252" s="862"/>
      <c r="BC252" s="862"/>
      <c r="BD252" s="862"/>
      <c r="BE252" s="862"/>
      <c r="BF252" s="862"/>
      <c r="BG252" s="862"/>
    </row>
    <row r="253" spans="36:59" ht="15.75" customHeight="1">
      <c r="AJ253" s="862"/>
      <c r="AK253" s="862"/>
      <c r="AL253" s="861"/>
      <c r="AM253" s="861"/>
      <c r="AN253" s="861"/>
      <c r="AO253" s="861"/>
      <c r="AP253" s="861"/>
      <c r="AQ253" s="861"/>
      <c r="AR253" s="861"/>
      <c r="AS253" s="861"/>
      <c r="AT253" s="861"/>
      <c r="AU253" s="862"/>
      <c r="AV253" s="862"/>
      <c r="AW253" s="862"/>
      <c r="AX253" s="862"/>
      <c r="AY253" s="862"/>
      <c r="AZ253" s="862"/>
      <c r="BA253" s="862"/>
      <c r="BB253" s="862"/>
      <c r="BC253" s="862"/>
      <c r="BD253" s="862"/>
      <c r="BE253" s="862"/>
      <c r="BF253" s="862"/>
      <c r="BG253" s="862"/>
    </row>
    <row r="254" spans="36:59" ht="15.75" customHeight="1">
      <c r="AJ254" s="862"/>
      <c r="AK254" s="862"/>
      <c r="AL254" s="861"/>
      <c r="AM254" s="861"/>
      <c r="AN254" s="861"/>
      <c r="AO254" s="861"/>
      <c r="AP254" s="861"/>
      <c r="AQ254" s="861"/>
      <c r="AR254" s="861"/>
      <c r="AS254" s="861"/>
      <c r="AT254" s="861"/>
      <c r="AU254" s="862"/>
      <c r="AV254" s="862"/>
      <c r="AW254" s="862"/>
      <c r="AX254" s="862"/>
      <c r="AY254" s="862"/>
      <c r="AZ254" s="862"/>
      <c r="BA254" s="862"/>
      <c r="BB254" s="862"/>
      <c r="BC254" s="862"/>
      <c r="BD254" s="862"/>
      <c r="BE254" s="862"/>
      <c r="BF254" s="862"/>
      <c r="BG254" s="862"/>
    </row>
    <row r="255" spans="36:59" ht="15.75" customHeight="1">
      <c r="AJ255" s="862"/>
      <c r="AK255" s="862"/>
      <c r="AL255" s="861"/>
      <c r="AM255" s="861"/>
      <c r="AN255" s="861"/>
      <c r="AO255" s="861"/>
      <c r="AP255" s="861"/>
      <c r="AQ255" s="861"/>
      <c r="AR255" s="861"/>
      <c r="AS255" s="861"/>
      <c r="AT255" s="861"/>
      <c r="AU255" s="862"/>
      <c r="AV255" s="862"/>
      <c r="AW255" s="862"/>
      <c r="AX255" s="862"/>
      <c r="AY255" s="862"/>
      <c r="AZ255" s="862"/>
      <c r="BA255" s="862"/>
      <c r="BB255" s="862"/>
      <c r="BC255" s="862"/>
      <c r="BD255" s="862"/>
      <c r="BE255" s="862"/>
      <c r="BF255" s="862"/>
      <c r="BG255" s="862"/>
    </row>
    <row r="256" spans="36:59" ht="15.75" customHeight="1">
      <c r="AJ256" s="862"/>
      <c r="AK256" s="862"/>
      <c r="AL256" s="861"/>
      <c r="AM256" s="861"/>
      <c r="AN256" s="861"/>
      <c r="AO256" s="861"/>
      <c r="AP256" s="861"/>
      <c r="AQ256" s="861"/>
      <c r="AR256" s="861"/>
      <c r="AS256" s="861"/>
      <c r="AT256" s="861"/>
      <c r="AU256" s="862"/>
      <c r="AV256" s="862"/>
      <c r="AW256" s="862"/>
      <c r="AX256" s="862"/>
      <c r="AY256" s="862"/>
      <c r="AZ256" s="862"/>
      <c r="BA256" s="862"/>
      <c r="BB256" s="862"/>
      <c r="BC256" s="862"/>
      <c r="BD256" s="862"/>
      <c r="BE256" s="862"/>
      <c r="BF256" s="862"/>
      <c r="BG256" s="862"/>
    </row>
    <row r="257" spans="36:59" ht="15.75" customHeight="1">
      <c r="AJ257" s="862"/>
      <c r="AK257" s="862"/>
      <c r="AL257" s="861"/>
      <c r="AM257" s="861"/>
      <c r="AN257" s="861"/>
      <c r="AO257" s="861"/>
      <c r="AP257" s="861"/>
      <c r="AQ257" s="861"/>
      <c r="AR257" s="861"/>
      <c r="AS257" s="861"/>
      <c r="AT257" s="861"/>
      <c r="AU257" s="862"/>
      <c r="AV257" s="862"/>
      <c r="AW257" s="862"/>
      <c r="AX257" s="862"/>
      <c r="AY257" s="862"/>
      <c r="AZ257" s="862"/>
      <c r="BA257" s="862"/>
      <c r="BB257" s="862"/>
      <c r="BC257" s="862"/>
      <c r="BD257" s="862"/>
      <c r="BE257" s="862"/>
      <c r="BF257" s="862"/>
      <c r="BG257" s="862"/>
    </row>
    <row r="258" spans="36:59" ht="15.75" customHeight="1">
      <c r="AJ258" s="862"/>
      <c r="AK258" s="862"/>
      <c r="AL258" s="861"/>
      <c r="AM258" s="861"/>
      <c r="AN258" s="861"/>
      <c r="AO258" s="861"/>
      <c r="AP258" s="861"/>
      <c r="AQ258" s="861"/>
      <c r="AR258" s="861"/>
      <c r="AS258" s="861"/>
      <c r="AT258" s="861"/>
      <c r="AU258" s="862"/>
      <c r="AV258" s="862"/>
      <c r="AW258" s="862"/>
      <c r="AX258" s="862"/>
      <c r="AY258" s="862"/>
      <c r="AZ258" s="862"/>
      <c r="BA258" s="862"/>
      <c r="BB258" s="862"/>
      <c r="BC258" s="862"/>
      <c r="BD258" s="862"/>
      <c r="BE258" s="862"/>
      <c r="BF258" s="862"/>
      <c r="BG258" s="862"/>
    </row>
    <row r="259" spans="36:59" ht="15.75" customHeight="1">
      <c r="AJ259" s="862"/>
      <c r="AK259" s="862"/>
      <c r="AL259" s="861"/>
      <c r="AM259" s="861"/>
      <c r="AN259" s="861"/>
      <c r="AO259" s="861"/>
      <c r="AP259" s="861"/>
      <c r="AQ259" s="861"/>
      <c r="AR259" s="861"/>
      <c r="AS259" s="861"/>
      <c r="AT259" s="861"/>
      <c r="AU259" s="862"/>
      <c r="AV259" s="862"/>
      <c r="AW259" s="862"/>
      <c r="AX259" s="862"/>
      <c r="AY259" s="862"/>
      <c r="AZ259" s="862"/>
      <c r="BA259" s="862"/>
      <c r="BB259" s="862"/>
      <c r="BC259" s="862"/>
      <c r="BD259" s="862"/>
      <c r="BE259" s="862"/>
      <c r="BF259" s="862"/>
      <c r="BG259" s="862"/>
    </row>
    <row r="260" spans="36:59" ht="15.75" customHeight="1">
      <c r="AJ260" s="862"/>
      <c r="AK260" s="862"/>
      <c r="AL260" s="861"/>
      <c r="AM260" s="861"/>
      <c r="AN260" s="861"/>
      <c r="AO260" s="861"/>
      <c r="AP260" s="861"/>
      <c r="AQ260" s="861"/>
      <c r="AR260" s="861"/>
      <c r="AS260" s="861"/>
      <c r="AT260" s="861"/>
      <c r="AU260" s="862"/>
      <c r="AV260" s="862"/>
      <c r="AW260" s="862"/>
      <c r="AX260" s="862"/>
      <c r="AY260" s="862"/>
      <c r="AZ260" s="862"/>
      <c r="BA260" s="862"/>
      <c r="BB260" s="862"/>
      <c r="BC260" s="862"/>
      <c r="BD260" s="862"/>
      <c r="BE260" s="862"/>
      <c r="BF260" s="862"/>
      <c r="BG260" s="862"/>
    </row>
    <row r="261" spans="36:59" ht="15.75" customHeight="1">
      <c r="AJ261" s="862"/>
      <c r="AK261" s="862"/>
      <c r="AL261" s="861"/>
      <c r="AM261" s="861"/>
      <c r="AN261" s="861"/>
      <c r="AO261" s="861"/>
      <c r="AP261" s="861"/>
      <c r="AQ261" s="861"/>
      <c r="AR261" s="861"/>
      <c r="AS261" s="861"/>
      <c r="AT261" s="861"/>
      <c r="AU261" s="862"/>
      <c r="AV261" s="862"/>
      <c r="AW261" s="862"/>
      <c r="AX261" s="862"/>
      <c r="AY261" s="862"/>
      <c r="AZ261" s="862"/>
      <c r="BA261" s="862"/>
      <c r="BB261" s="862"/>
      <c r="BC261" s="862"/>
      <c r="BD261" s="862"/>
      <c r="BE261" s="862"/>
      <c r="BF261" s="862"/>
      <c r="BG261" s="862"/>
    </row>
    <row r="262" spans="36:59" ht="15.75" customHeight="1">
      <c r="AJ262" s="862"/>
      <c r="AK262" s="862"/>
      <c r="AL262" s="861"/>
      <c r="AM262" s="861"/>
      <c r="AN262" s="861"/>
      <c r="AO262" s="861"/>
      <c r="AP262" s="861"/>
      <c r="AQ262" s="861"/>
      <c r="AR262" s="861"/>
      <c r="AS262" s="861"/>
      <c r="AT262" s="861"/>
      <c r="AU262" s="862"/>
      <c r="AV262" s="862"/>
      <c r="AW262" s="862"/>
      <c r="AX262" s="862"/>
      <c r="AY262" s="862"/>
      <c r="AZ262" s="862"/>
      <c r="BA262" s="862"/>
      <c r="BB262" s="862"/>
      <c r="BC262" s="862"/>
      <c r="BD262" s="862"/>
      <c r="BE262" s="862"/>
      <c r="BF262" s="862"/>
      <c r="BG262" s="862"/>
    </row>
    <row r="263" spans="36:59" ht="15.75" customHeight="1">
      <c r="AJ263" s="862"/>
      <c r="AK263" s="862"/>
      <c r="AL263" s="861"/>
      <c r="AM263" s="861"/>
      <c r="AN263" s="861"/>
      <c r="AO263" s="861"/>
      <c r="AP263" s="861"/>
      <c r="AQ263" s="861"/>
      <c r="AR263" s="861"/>
      <c r="AS263" s="861"/>
      <c r="AT263" s="861"/>
      <c r="AU263" s="862"/>
      <c r="AV263" s="862"/>
      <c r="AW263" s="862"/>
      <c r="AX263" s="862"/>
      <c r="AY263" s="862"/>
      <c r="AZ263" s="862"/>
      <c r="BA263" s="862"/>
      <c r="BB263" s="862"/>
      <c r="BC263" s="862"/>
      <c r="BD263" s="862"/>
      <c r="BE263" s="862"/>
      <c r="BF263" s="862"/>
      <c r="BG263" s="862"/>
    </row>
    <row r="264" spans="36:59" ht="15.75" customHeight="1">
      <c r="AJ264" s="862"/>
      <c r="AK264" s="862"/>
      <c r="AL264" s="861"/>
      <c r="AM264" s="861"/>
      <c r="AN264" s="861"/>
      <c r="AO264" s="861"/>
      <c r="AP264" s="861"/>
      <c r="AQ264" s="861"/>
      <c r="AR264" s="861"/>
      <c r="AS264" s="861"/>
      <c r="AT264" s="861"/>
      <c r="AU264" s="862"/>
      <c r="AV264" s="862"/>
      <c r="AW264" s="862"/>
      <c r="AX264" s="862"/>
      <c r="AY264" s="862"/>
      <c r="AZ264" s="862"/>
      <c r="BA264" s="862"/>
      <c r="BB264" s="862"/>
      <c r="BC264" s="862"/>
      <c r="BD264" s="862"/>
      <c r="BE264" s="862"/>
      <c r="BF264" s="862"/>
      <c r="BG264" s="862"/>
    </row>
    <row r="265" spans="36:59" ht="15.75" customHeight="1">
      <c r="AJ265" s="862"/>
      <c r="AK265" s="862"/>
      <c r="AL265" s="861"/>
      <c r="AM265" s="861"/>
      <c r="AN265" s="861"/>
      <c r="AO265" s="861"/>
      <c r="AP265" s="861"/>
      <c r="AQ265" s="861"/>
      <c r="AR265" s="861"/>
      <c r="AS265" s="861"/>
      <c r="AT265" s="861"/>
      <c r="AU265" s="862"/>
      <c r="AV265" s="862"/>
      <c r="AW265" s="862"/>
      <c r="AX265" s="862"/>
      <c r="AY265" s="862"/>
      <c r="AZ265" s="862"/>
      <c r="BA265" s="862"/>
      <c r="BB265" s="862"/>
      <c r="BC265" s="862"/>
      <c r="BD265" s="862"/>
      <c r="BE265" s="862"/>
      <c r="BF265" s="862"/>
      <c r="BG265" s="862"/>
    </row>
    <row r="266" spans="36:59" ht="15.75" customHeight="1">
      <c r="AJ266" s="862"/>
      <c r="AK266" s="862"/>
      <c r="AL266" s="861"/>
      <c r="AM266" s="861"/>
      <c r="AN266" s="861"/>
      <c r="AO266" s="861"/>
      <c r="AP266" s="861"/>
      <c r="AQ266" s="861"/>
      <c r="AR266" s="861"/>
      <c r="AS266" s="861"/>
      <c r="AT266" s="861"/>
      <c r="AU266" s="862"/>
      <c r="AV266" s="862"/>
      <c r="AW266" s="862"/>
      <c r="AX266" s="862"/>
      <c r="AY266" s="862"/>
      <c r="AZ266" s="862"/>
      <c r="BA266" s="862"/>
      <c r="BB266" s="862"/>
      <c r="BC266" s="862"/>
      <c r="BD266" s="862"/>
      <c r="BE266" s="862"/>
      <c r="BF266" s="862"/>
      <c r="BG266" s="862"/>
    </row>
    <row r="267" spans="36:59" ht="15.75" customHeight="1">
      <c r="AJ267" s="862"/>
      <c r="AK267" s="862"/>
      <c r="AL267" s="861"/>
      <c r="AM267" s="861"/>
      <c r="AN267" s="861"/>
      <c r="AO267" s="861"/>
      <c r="AP267" s="861"/>
      <c r="AQ267" s="861"/>
      <c r="AR267" s="861"/>
      <c r="AS267" s="861"/>
      <c r="AT267" s="861"/>
      <c r="AU267" s="862"/>
      <c r="AV267" s="862"/>
      <c r="AW267" s="862"/>
      <c r="AX267" s="862"/>
      <c r="AY267" s="862"/>
      <c r="AZ267" s="862"/>
      <c r="BA267" s="862"/>
      <c r="BB267" s="862"/>
      <c r="BC267" s="862"/>
      <c r="BD267" s="862"/>
      <c r="BE267" s="862"/>
      <c r="BF267" s="862"/>
      <c r="BG267" s="862"/>
    </row>
    <row r="268" spans="36:59" ht="15.75" customHeight="1">
      <c r="AJ268" s="862"/>
      <c r="AK268" s="862"/>
      <c r="AL268" s="861"/>
      <c r="AM268" s="861"/>
      <c r="AN268" s="861"/>
      <c r="AO268" s="861"/>
      <c r="AP268" s="861"/>
      <c r="AQ268" s="861"/>
      <c r="AR268" s="861"/>
      <c r="AS268" s="861"/>
      <c r="AT268" s="861"/>
      <c r="AU268" s="862"/>
      <c r="AV268" s="862"/>
      <c r="AW268" s="862"/>
      <c r="AX268" s="862"/>
      <c r="AY268" s="862"/>
      <c r="AZ268" s="862"/>
      <c r="BA268" s="862"/>
      <c r="BB268" s="862"/>
      <c r="BC268" s="862"/>
      <c r="BD268" s="862"/>
      <c r="BE268" s="862"/>
      <c r="BF268" s="862"/>
      <c r="BG268" s="862"/>
    </row>
    <row r="269" spans="36:59" ht="15.75" customHeight="1">
      <c r="AJ269" s="862"/>
      <c r="AK269" s="862"/>
      <c r="AL269" s="861"/>
      <c r="AM269" s="861"/>
      <c r="AN269" s="861"/>
      <c r="AO269" s="861"/>
      <c r="AP269" s="861"/>
      <c r="AQ269" s="861"/>
      <c r="AR269" s="861"/>
      <c r="AS269" s="861"/>
      <c r="AT269" s="861"/>
      <c r="AU269" s="862"/>
      <c r="AV269" s="862"/>
      <c r="AW269" s="862"/>
      <c r="AX269" s="862"/>
      <c r="AY269" s="862"/>
      <c r="AZ269" s="862"/>
      <c r="BA269" s="862"/>
      <c r="BB269" s="862"/>
      <c r="BC269" s="862"/>
      <c r="BD269" s="862"/>
      <c r="BE269" s="862"/>
      <c r="BF269" s="862"/>
      <c r="BG269" s="862"/>
    </row>
    <row r="270" spans="36:59" ht="15.75" customHeight="1">
      <c r="AJ270" s="862"/>
      <c r="AK270" s="862"/>
      <c r="AL270" s="861"/>
      <c r="AM270" s="861"/>
      <c r="AN270" s="861"/>
      <c r="AO270" s="861"/>
      <c r="AP270" s="861"/>
      <c r="AQ270" s="861"/>
      <c r="AR270" s="861"/>
      <c r="AS270" s="861"/>
      <c r="AT270" s="861"/>
      <c r="AU270" s="862"/>
      <c r="AV270" s="862"/>
      <c r="AW270" s="862"/>
      <c r="AX270" s="862"/>
      <c r="AY270" s="862"/>
      <c r="AZ270" s="862"/>
      <c r="BA270" s="862"/>
      <c r="BB270" s="862"/>
      <c r="BC270" s="862"/>
      <c r="BD270" s="862"/>
      <c r="BE270" s="862"/>
      <c r="BF270" s="862"/>
      <c r="BG270" s="862"/>
    </row>
    <row r="271" spans="36:59" ht="15.75" customHeight="1">
      <c r="AJ271" s="862"/>
      <c r="AK271" s="862"/>
      <c r="AL271" s="861"/>
      <c r="AM271" s="861"/>
      <c r="AN271" s="861"/>
      <c r="AO271" s="861"/>
      <c r="AP271" s="861"/>
      <c r="AQ271" s="861"/>
      <c r="AR271" s="861"/>
      <c r="AS271" s="861"/>
      <c r="AT271" s="861"/>
      <c r="AU271" s="862"/>
      <c r="AV271" s="862"/>
      <c r="AW271" s="862"/>
      <c r="AX271" s="862"/>
      <c r="AY271" s="862"/>
      <c r="AZ271" s="862"/>
      <c r="BA271" s="862"/>
      <c r="BB271" s="862"/>
      <c r="BC271" s="862"/>
      <c r="BD271" s="862"/>
      <c r="BE271" s="862"/>
      <c r="BF271" s="862"/>
      <c r="BG271" s="862"/>
    </row>
    <row r="272" spans="36:59" ht="15.75" customHeight="1">
      <c r="AJ272" s="862"/>
      <c r="AK272" s="862"/>
      <c r="AL272" s="861"/>
      <c r="AM272" s="861"/>
      <c r="AN272" s="861"/>
      <c r="AO272" s="861"/>
      <c r="AP272" s="861"/>
      <c r="AQ272" s="861"/>
      <c r="AR272" s="861"/>
      <c r="AS272" s="861"/>
      <c r="AT272" s="861"/>
      <c r="AU272" s="862"/>
      <c r="AV272" s="862"/>
      <c r="AW272" s="862"/>
      <c r="AX272" s="862"/>
      <c r="AY272" s="862"/>
      <c r="AZ272" s="862"/>
      <c r="BA272" s="862"/>
      <c r="BB272" s="862"/>
      <c r="BC272" s="862"/>
      <c r="BD272" s="862"/>
      <c r="BE272" s="862"/>
      <c r="BF272" s="862"/>
      <c r="BG272" s="862"/>
    </row>
    <row r="273" spans="36:59" ht="15.75" customHeight="1">
      <c r="AJ273" s="862"/>
      <c r="AK273" s="862"/>
      <c r="AL273" s="861"/>
      <c r="AM273" s="861"/>
      <c r="AN273" s="861"/>
      <c r="AO273" s="861"/>
      <c r="AP273" s="861"/>
      <c r="AQ273" s="861"/>
      <c r="AR273" s="861"/>
      <c r="AS273" s="861"/>
      <c r="AT273" s="861"/>
      <c r="AU273" s="862"/>
      <c r="AV273" s="862"/>
      <c r="AW273" s="862"/>
      <c r="AX273" s="862"/>
      <c r="AY273" s="862"/>
      <c r="AZ273" s="862"/>
      <c r="BA273" s="862"/>
      <c r="BB273" s="862"/>
      <c r="BC273" s="862"/>
      <c r="BD273" s="862"/>
      <c r="BE273" s="862"/>
      <c r="BF273" s="862"/>
      <c r="BG273" s="862"/>
    </row>
    <row r="274" spans="36:59" ht="15.75" customHeight="1">
      <c r="AJ274" s="862"/>
      <c r="AK274" s="862"/>
      <c r="AL274" s="861"/>
      <c r="AM274" s="861"/>
      <c r="AN274" s="861"/>
      <c r="AO274" s="861"/>
      <c r="AP274" s="861"/>
      <c r="AQ274" s="861"/>
      <c r="AR274" s="861"/>
      <c r="AS274" s="861"/>
      <c r="AT274" s="861"/>
      <c r="AU274" s="862"/>
      <c r="AV274" s="862"/>
      <c r="AW274" s="862"/>
      <c r="AX274" s="862"/>
      <c r="AY274" s="862"/>
      <c r="AZ274" s="862"/>
      <c r="BA274" s="862"/>
      <c r="BB274" s="862"/>
      <c r="BC274" s="862"/>
      <c r="BD274" s="862"/>
      <c r="BE274" s="862"/>
      <c r="BF274" s="862"/>
      <c r="BG274" s="862"/>
    </row>
    <row r="275" spans="36:59" ht="15.75" customHeight="1">
      <c r="AJ275" s="862"/>
      <c r="AK275" s="862"/>
      <c r="AL275" s="861"/>
      <c r="AM275" s="861"/>
      <c r="AN275" s="861"/>
      <c r="AO275" s="861"/>
      <c r="AP275" s="861"/>
      <c r="AQ275" s="861"/>
      <c r="AR275" s="861"/>
      <c r="AS275" s="861"/>
      <c r="AT275" s="861"/>
      <c r="AU275" s="862"/>
      <c r="AV275" s="862"/>
      <c r="AW275" s="862"/>
      <c r="AX275" s="862"/>
      <c r="AY275" s="862"/>
      <c r="AZ275" s="862"/>
      <c r="BA275" s="862"/>
      <c r="BB275" s="862"/>
      <c r="BC275" s="862"/>
      <c r="BD275" s="862"/>
      <c r="BE275" s="862"/>
      <c r="BF275" s="862"/>
      <c r="BG275" s="862"/>
    </row>
    <row r="276" spans="36:59" ht="15.75" customHeight="1">
      <c r="AJ276" s="862"/>
      <c r="AK276" s="862"/>
      <c r="AL276" s="861"/>
      <c r="AM276" s="861"/>
      <c r="AN276" s="861"/>
      <c r="AO276" s="861"/>
      <c r="AP276" s="861"/>
      <c r="AQ276" s="861"/>
      <c r="AR276" s="861"/>
      <c r="AS276" s="861"/>
      <c r="AT276" s="861"/>
      <c r="AU276" s="862"/>
      <c r="AV276" s="862"/>
      <c r="AW276" s="862"/>
      <c r="AX276" s="862"/>
      <c r="AY276" s="862"/>
      <c r="AZ276" s="862"/>
      <c r="BA276" s="862"/>
      <c r="BB276" s="862"/>
      <c r="BC276" s="862"/>
      <c r="BD276" s="862"/>
      <c r="BE276" s="862"/>
      <c r="BF276" s="862"/>
      <c r="BG276" s="862"/>
    </row>
    <row r="277" spans="36:59" ht="15.75" customHeight="1">
      <c r="AJ277" s="862"/>
      <c r="AK277" s="862"/>
      <c r="AL277" s="861"/>
      <c r="AM277" s="861"/>
      <c r="AN277" s="861"/>
      <c r="AO277" s="861"/>
      <c r="AP277" s="861"/>
      <c r="AQ277" s="861"/>
      <c r="AR277" s="861"/>
      <c r="AS277" s="861"/>
      <c r="AT277" s="861"/>
      <c r="AU277" s="862"/>
      <c r="AV277" s="862"/>
      <c r="AW277" s="862"/>
      <c r="AX277" s="862"/>
      <c r="AY277" s="862"/>
      <c r="AZ277" s="862"/>
      <c r="BA277" s="862"/>
      <c r="BB277" s="862"/>
      <c r="BC277" s="862"/>
      <c r="BD277" s="862"/>
      <c r="BE277" s="862"/>
      <c r="BF277" s="862"/>
      <c r="BG277" s="862"/>
    </row>
    <row r="278" spans="36:59" ht="15.75" customHeight="1">
      <c r="AJ278" s="862"/>
      <c r="AK278" s="862"/>
      <c r="AL278" s="861"/>
      <c r="AM278" s="861"/>
      <c r="AN278" s="861"/>
      <c r="AO278" s="861"/>
      <c r="AP278" s="861"/>
      <c r="AQ278" s="861"/>
      <c r="AR278" s="861"/>
      <c r="AS278" s="861"/>
      <c r="AT278" s="861"/>
      <c r="AU278" s="862"/>
      <c r="AV278" s="862"/>
      <c r="AW278" s="862"/>
      <c r="AX278" s="862"/>
      <c r="AY278" s="862"/>
      <c r="AZ278" s="862"/>
      <c r="BA278" s="862"/>
      <c r="BB278" s="862"/>
      <c r="BC278" s="862"/>
      <c r="BD278" s="862"/>
      <c r="BE278" s="862"/>
      <c r="BF278" s="862"/>
      <c r="BG278" s="862"/>
    </row>
    <row r="279" spans="36:59" ht="15.75" customHeight="1">
      <c r="AJ279" s="862"/>
      <c r="AK279" s="862"/>
      <c r="AL279" s="861"/>
      <c r="AM279" s="861"/>
      <c r="AN279" s="861"/>
      <c r="AO279" s="861"/>
      <c r="AP279" s="861"/>
      <c r="AQ279" s="861"/>
      <c r="AR279" s="861"/>
      <c r="AS279" s="861"/>
      <c r="AT279" s="861"/>
      <c r="AU279" s="862"/>
      <c r="AV279" s="862"/>
      <c r="AW279" s="862"/>
      <c r="AX279" s="862"/>
      <c r="AY279" s="862"/>
      <c r="AZ279" s="862"/>
      <c r="BA279" s="862"/>
      <c r="BB279" s="862"/>
      <c r="BC279" s="862"/>
      <c r="BD279" s="862"/>
      <c r="BE279" s="862"/>
      <c r="BF279" s="862"/>
      <c r="BG279" s="862"/>
    </row>
    <row r="280" spans="36:59" ht="15.75" customHeight="1">
      <c r="AJ280" s="862"/>
      <c r="AK280" s="862"/>
      <c r="AL280" s="861"/>
      <c r="AM280" s="861"/>
      <c r="AN280" s="861"/>
      <c r="AO280" s="861"/>
      <c r="AP280" s="861"/>
      <c r="AQ280" s="861"/>
      <c r="AR280" s="861"/>
      <c r="AS280" s="861"/>
      <c r="AT280" s="861"/>
      <c r="AU280" s="862"/>
      <c r="AV280" s="862"/>
      <c r="AW280" s="862"/>
      <c r="AX280" s="862"/>
      <c r="AY280" s="862"/>
      <c r="AZ280" s="862"/>
      <c r="BA280" s="862"/>
      <c r="BB280" s="862"/>
      <c r="BC280" s="862"/>
      <c r="BD280" s="862"/>
      <c r="BE280" s="862"/>
      <c r="BF280" s="862"/>
      <c r="BG280" s="862"/>
    </row>
    <row r="281" spans="36:59" ht="15.75" customHeight="1">
      <c r="AJ281" s="862"/>
      <c r="AK281" s="862"/>
      <c r="AL281" s="861"/>
      <c r="AM281" s="861"/>
      <c r="AN281" s="861"/>
      <c r="AO281" s="861"/>
      <c r="AP281" s="861"/>
      <c r="AQ281" s="861"/>
      <c r="AR281" s="861"/>
      <c r="AS281" s="861"/>
      <c r="AT281" s="861"/>
      <c r="AU281" s="862"/>
      <c r="AV281" s="862"/>
      <c r="AW281" s="862"/>
      <c r="AX281" s="862"/>
      <c r="AY281" s="862"/>
      <c r="AZ281" s="862"/>
      <c r="BA281" s="862"/>
      <c r="BB281" s="862"/>
      <c r="BC281" s="862"/>
      <c r="BD281" s="862"/>
      <c r="BE281" s="862"/>
      <c r="BF281" s="862"/>
      <c r="BG281" s="862"/>
    </row>
    <row r="282" spans="36:59" ht="15.75" customHeight="1">
      <c r="AJ282" s="862"/>
      <c r="AK282" s="862"/>
      <c r="AL282" s="861"/>
      <c r="AM282" s="861"/>
      <c r="AN282" s="861"/>
      <c r="AO282" s="861"/>
      <c r="AP282" s="861"/>
      <c r="AQ282" s="861"/>
      <c r="AR282" s="861"/>
      <c r="AS282" s="861"/>
      <c r="AT282" s="861"/>
      <c r="AU282" s="862"/>
      <c r="AV282" s="862"/>
      <c r="AW282" s="862"/>
      <c r="AX282" s="862"/>
      <c r="AY282" s="862"/>
      <c r="AZ282" s="862"/>
      <c r="BA282" s="862"/>
      <c r="BB282" s="862"/>
      <c r="BC282" s="862"/>
      <c r="BD282" s="862"/>
      <c r="BE282" s="862"/>
      <c r="BF282" s="862"/>
      <c r="BG282" s="862"/>
    </row>
    <row r="283" spans="36:59" ht="15.75" customHeight="1">
      <c r="AJ283" s="862"/>
      <c r="AK283" s="862"/>
      <c r="AL283" s="861"/>
      <c r="AM283" s="861"/>
      <c r="AN283" s="861"/>
      <c r="AO283" s="861"/>
      <c r="AP283" s="861"/>
      <c r="AQ283" s="861"/>
      <c r="AR283" s="861"/>
      <c r="AS283" s="861"/>
      <c r="AT283" s="861"/>
      <c r="AU283" s="862"/>
      <c r="AV283" s="862"/>
      <c r="AW283" s="862"/>
      <c r="AX283" s="862"/>
      <c r="AY283" s="862"/>
      <c r="AZ283" s="862"/>
      <c r="BA283" s="862"/>
      <c r="BB283" s="862"/>
      <c r="BC283" s="862"/>
      <c r="BD283" s="862"/>
      <c r="BE283" s="862"/>
      <c r="BF283" s="862"/>
      <c r="BG283" s="862"/>
    </row>
    <row r="284" spans="36:59" ht="15.75" customHeight="1">
      <c r="AJ284" s="862"/>
      <c r="AK284" s="862"/>
      <c r="AL284" s="861"/>
      <c r="AM284" s="861"/>
      <c r="AN284" s="861"/>
      <c r="AO284" s="861"/>
      <c r="AP284" s="861"/>
      <c r="AQ284" s="861"/>
      <c r="AR284" s="861"/>
      <c r="AS284" s="861"/>
      <c r="AT284" s="861"/>
      <c r="AU284" s="862"/>
      <c r="AV284" s="862"/>
      <c r="AW284" s="862"/>
      <c r="AX284" s="862"/>
      <c r="AY284" s="862"/>
      <c r="AZ284" s="862"/>
      <c r="BA284" s="862"/>
      <c r="BB284" s="862"/>
      <c r="BC284" s="862"/>
      <c r="BD284" s="862"/>
      <c r="BE284" s="862"/>
      <c r="BF284" s="862"/>
      <c r="BG284" s="862"/>
    </row>
    <row r="285" spans="36:59" ht="15.75" customHeight="1">
      <c r="AJ285" s="862"/>
      <c r="AK285" s="862"/>
      <c r="AL285" s="861"/>
      <c r="AM285" s="861"/>
      <c r="AN285" s="861"/>
      <c r="AO285" s="861"/>
      <c r="AP285" s="861"/>
      <c r="AQ285" s="861"/>
      <c r="AR285" s="861"/>
      <c r="AS285" s="861"/>
      <c r="AT285" s="861"/>
      <c r="AU285" s="862"/>
      <c r="AV285" s="862"/>
      <c r="AW285" s="862"/>
      <c r="AX285" s="862"/>
      <c r="AY285" s="862"/>
      <c r="AZ285" s="862"/>
      <c r="BA285" s="862"/>
      <c r="BB285" s="862"/>
      <c r="BC285" s="862"/>
      <c r="BD285" s="862"/>
      <c r="BE285" s="862"/>
      <c r="BF285" s="862"/>
      <c r="BG285" s="862"/>
    </row>
    <row r="286" spans="36:59" ht="15.75" customHeight="1">
      <c r="AJ286" s="862"/>
      <c r="AK286" s="862"/>
      <c r="AL286" s="861"/>
      <c r="AM286" s="861"/>
      <c r="AN286" s="861"/>
      <c r="AO286" s="861"/>
      <c r="AP286" s="861"/>
      <c r="AQ286" s="861"/>
      <c r="AR286" s="861"/>
      <c r="AS286" s="861"/>
      <c r="AT286" s="861"/>
      <c r="AU286" s="862"/>
      <c r="AV286" s="862"/>
      <c r="AW286" s="862"/>
      <c r="AX286" s="862"/>
      <c r="AY286" s="862"/>
      <c r="AZ286" s="862"/>
      <c r="BA286" s="862"/>
      <c r="BB286" s="862"/>
      <c r="BC286" s="862"/>
      <c r="BD286" s="862"/>
      <c r="BE286" s="862"/>
      <c r="BF286" s="862"/>
      <c r="BG286" s="862"/>
    </row>
    <row r="287" spans="36:59" ht="15.75" customHeight="1">
      <c r="AJ287" s="862"/>
      <c r="AK287" s="862"/>
      <c r="AL287" s="861"/>
      <c r="AM287" s="861"/>
      <c r="AN287" s="861"/>
      <c r="AO287" s="861"/>
      <c r="AP287" s="861"/>
      <c r="AQ287" s="861"/>
      <c r="AR287" s="861"/>
      <c r="AS287" s="861"/>
      <c r="AT287" s="861"/>
      <c r="AU287" s="862"/>
      <c r="AV287" s="862"/>
      <c r="AW287" s="862"/>
      <c r="AX287" s="862"/>
      <c r="AY287" s="862"/>
      <c r="AZ287" s="862"/>
      <c r="BA287" s="862"/>
      <c r="BB287" s="862"/>
      <c r="BC287" s="862"/>
      <c r="BD287" s="862"/>
      <c r="BE287" s="862"/>
      <c r="BF287" s="862"/>
      <c r="BG287" s="862"/>
    </row>
    <row r="288" spans="36:59" ht="15.75" customHeight="1">
      <c r="AJ288" s="862"/>
      <c r="AK288" s="862"/>
      <c r="AL288" s="861"/>
      <c r="AM288" s="861"/>
      <c r="AN288" s="861"/>
      <c r="AO288" s="861"/>
      <c r="AP288" s="861"/>
      <c r="AQ288" s="861"/>
      <c r="AR288" s="861"/>
      <c r="AS288" s="861"/>
      <c r="AT288" s="861"/>
      <c r="AU288" s="862"/>
      <c r="AV288" s="862"/>
      <c r="AW288" s="862"/>
      <c r="AX288" s="862"/>
      <c r="AY288" s="862"/>
      <c r="AZ288" s="862"/>
      <c r="BA288" s="862"/>
      <c r="BB288" s="862"/>
      <c r="BC288" s="862"/>
      <c r="BD288" s="862"/>
      <c r="BE288" s="862"/>
      <c r="BF288" s="862"/>
      <c r="BG288" s="862"/>
    </row>
    <row r="289" spans="36:59" ht="15.75" customHeight="1">
      <c r="AJ289" s="862"/>
      <c r="AK289" s="862"/>
      <c r="AL289" s="861"/>
      <c r="AM289" s="861"/>
      <c r="AN289" s="861"/>
      <c r="AO289" s="861"/>
      <c r="AP289" s="861"/>
      <c r="AQ289" s="861"/>
      <c r="AR289" s="861"/>
      <c r="AS289" s="861"/>
      <c r="AT289" s="861"/>
      <c r="AU289" s="862"/>
      <c r="AV289" s="862"/>
      <c r="AW289" s="862"/>
      <c r="AX289" s="862"/>
      <c r="AY289" s="862"/>
      <c r="AZ289" s="862"/>
      <c r="BA289" s="862"/>
      <c r="BB289" s="862"/>
      <c r="BC289" s="862"/>
      <c r="BD289" s="862"/>
      <c r="BE289" s="862"/>
      <c r="BF289" s="862"/>
      <c r="BG289" s="862"/>
    </row>
    <row r="290" spans="36:59" ht="15.75" customHeight="1">
      <c r="AJ290" s="862"/>
      <c r="AK290" s="862"/>
      <c r="AL290" s="861"/>
      <c r="AM290" s="861"/>
      <c r="AN290" s="861"/>
      <c r="AO290" s="861"/>
      <c r="AP290" s="861"/>
      <c r="AQ290" s="861"/>
      <c r="AR290" s="861"/>
      <c r="AS290" s="861"/>
      <c r="AT290" s="861"/>
      <c r="AU290" s="862"/>
      <c r="AV290" s="862"/>
      <c r="AW290" s="862"/>
      <c r="AX290" s="862"/>
      <c r="AY290" s="862"/>
      <c r="AZ290" s="862"/>
      <c r="BA290" s="862"/>
      <c r="BB290" s="862"/>
      <c r="BC290" s="862"/>
      <c r="BD290" s="862"/>
      <c r="BE290" s="862"/>
      <c r="BF290" s="862"/>
      <c r="BG290" s="862"/>
    </row>
    <row r="291" spans="36:59" ht="15.75" customHeight="1">
      <c r="AJ291" s="862"/>
      <c r="AK291" s="862"/>
      <c r="AL291" s="861"/>
      <c r="AM291" s="861"/>
      <c r="AN291" s="861"/>
      <c r="AO291" s="861"/>
      <c r="AP291" s="861"/>
      <c r="AQ291" s="861"/>
      <c r="AR291" s="861"/>
      <c r="AS291" s="861"/>
      <c r="AT291" s="861"/>
      <c r="AU291" s="862"/>
      <c r="AV291" s="862"/>
      <c r="AW291" s="862"/>
      <c r="AX291" s="862"/>
      <c r="AY291" s="862"/>
      <c r="AZ291" s="862"/>
      <c r="BA291" s="862"/>
      <c r="BB291" s="862"/>
      <c r="BC291" s="862"/>
      <c r="BD291" s="862"/>
      <c r="BE291" s="862"/>
      <c r="BF291" s="862"/>
      <c r="BG291" s="862"/>
    </row>
    <row r="292" spans="36:59" ht="15.75" customHeight="1">
      <c r="AJ292" s="862"/>
      <c r="AK292" s="862"/>
      <c r="AL292" s="861"/>
      <c r="AM292" s="861"/>
      <c r="AN292" s="861"/>
      <c r="AO292" s="861"/>
      <c r="AP292" s="861"/>
      <c r="AQ292" s="861"/>
      <c r="AR292" s="861"/>
      <c r="AS292" s="861"/>
      <c r="AT292" s="861"/>
      <c r="AU292" s="862"/>
      <c r="AV292" s="862"/>
      <c r="AW292" s="862"/>
      <c r="AX292" s="862"/>
      <c r="AY292" s="862"/>
      <c r="AZ292" s="862"/>
      <c r="BA292" s="862"/>
      <c r="BB292" s="862"/>
      <c r="BC292" s="862"/>
      <c r="BD292" s="862"/>
      <c r="BE292" s="862"/>
      <c r="BF292" s="862"/>
      <c r="BG292" s="862"/>
    </row>
    <row r="293" spans="36:59" ht="15.75" customHeight="1">
      <c r="AJ293" s="862"/>
      <c r="AK293" s="862"/>
      <c r="AL293" s="861"/>
      <c r="AM293" s="861"/>
      <c r="AN293" s="861"/>
      <c r="AO293" s="861"/>
      <c r="AP293" s="861"/>
      <c r="AQ293" s="861"/>
      <c r="AR293" s="861"/>
      <c r="AS293" s="861"/>
      <c r="AT293" s="861"/>
      <c r="AU293" s="862"/>
      <c r="AV293" s="862"/>
      <c r="AW293" s="862"/>
      <c r="AX293" s="862"/>
      <c r="AY293" s="862"/>
      <c r="AZ293" s="862"/>
      <c r="BA293" s="862"/>
      <c r="BB293" s="862"/>
      <c r="BC293" s="862"/>
      <c r="BD293" s="862"/>
      <c r="BE293" s="862"/>
      <c r="BF293" s="862"/>
      <c r="BG293" s="862"/>
    </row>
    <row r="294" spans="36:59" ht="15.75" customHeight="1">
      <c r="AJ294" s="862"/>
      <c r="AK294" s="862"/>
      <c r="AL294" s="861"/>
      <c r="AM294" s="861"/>
      <c r="AN294" s="861"/>
      <c r="AO294" s="861"/>
      <c r="AP294" s="861"/>
      <c r="AQ294" s="861"/>
      <c r="AR294" s="861"/>
      <c r="AS294" s="861"/>
      <c r="AT294" s="861"/>
      <c r="AU294" s="862"/>
      <c r="AV294" s="862"/>
      <c r="AW294" s="862"/>
      <c r="AX294" s="862"/>
      <c r="AY294" s="862"/>
      <c r="AZ294" s="862"/>
      <c r="BA294" s="862"/>
      <c r="BB294" s="862"/>
      <c r="BC294" s="862"/>
      <c r="BD294" s="862"/>
      <c r="BE294" s="862"/>
      <c r="BF294" s="862"/>
      <c r="BG294" s="862"/>
    </row>
    <row r="295" spans="36:59" ht="15.75" customHeight="1">
      <c r="AJ295" s="862"/>
      <c r="AK295" s="862"/>
      <c r="AL295" s="861"/>
      <c r="AM295" s="861"/>
      <c r="AN295" s="861"/>
      <c r="AO295" s="861"/>
      <c r="AP295" s="861"/>
      <c r="AQ295" s="861"/>
      <c r="AR295" s="861"/>
      <c r="AS295" s="861"/>
      <c r="AT295" s="861"/>
      <c r="AU295" s="862"/>
      <c r="AV295" s="862"/>
      <c r="AW295" s="862"/>
      <c r="AX295" s="862"/>
      <c r="AY295" s="862"/>
      <c r="AZ295" s="862"/>
      <c r="BA295" s="862"/>
      <c r="BB295" s="862"/>
      <c r="BC295" s="862"/>
      <c r="BD295" s="862"/>
      <c r="BE295" s="862"/>
      <c r="BF295" s="862"/>
      <c r="BG295" s="862"/>
    </row>
    <row r="296" spans="36:59" ht="15.75" customHeight="1">
      <c r="AJ296" s="862"/>
      <c r="AK296" s="862"/>
      <c r="AL296" s="861"/>
      <c r="AM296" s="861"/>
      <c r="AN296" s="861"/>
      <c r="AO296" s="861"/>
      <c r="AP296" s="861"/>
      <c r="AQ296" s="861"/>
      <c r="AR296" s="861"/>
      <c r="AS296" s="861"/>
      <c r="AT296" s="861"/>
      <c r="AU296" s="862"/>
      <c r="AV296" s="862"/>
      <c r="AW296" s="862"/>
      <c r="AX296" s="862"/>
      <c r="AY296" s="862"/>
      <c r="AZ296" s="862"/>
      <c r="BA296" s="862"/>
      <c r="BB296" s="862"/>
      <c r="BC296" s="862"/>
      <c r="BD296" s="862"/>
      <c r="BE296" s="862"/>
      <c r="BF296" s="862"/>
      <c r="BG296" s="862"/>
    </row>
    <row r="297" spans="36:59" ht="15.75" customHeight="1">
      <c r="AJ297" s="862"/>
      <c r="AK297" s="862"/>
      <c r="AL297" s="861"/>
      <c r="AM297" s="861"/>
      <c r="AN297" s="861"/>
      <c r="AO297" s="861"/>
      <c r="AP297" s="861"/>
      <c r="AQ297" s="861"/>
      <c r="AR297" s="861"/>
      <c r="AS297" s="861"/>
      <c r="AT297" s="861"/>
      <c r="AU297" s="862"/>
      <c r="AV297" s="862"/>
      <c r="AW297" s="862"/>
      <c r="AX297" s="862"/>
      <c r="AY297" s="862"/>
      <c r="AZ297" s="862"/>
      <c r="BA297" s="862"/>
      <c r="BB297" s="862"/>
      <c r="BC297" s="862"/>
      <c r="BD297" s="862"/>
      <c r="BE297" s="862"/>
      <c r="BF297" s="862"/>
      <c r="BG297" s="862"/>
    </row>
    <row r="298" spans="36:59" ht="15.75" customHeight="1">
      <c r="AJ298" s="862"/>
      <c r="AK298" s="862"/>
      <c r="AL298" s="861"/>
      <c r="AM298" s="861"/>
      <c r="AN298" s="861"/>
      <c r="AO298" s="861"/>
      <c r="AP298" s="861"/>
      <c r="AQ298" s="861"/>
      <c r="AR298" s="861"/>
      <c r="AS298" s="861"/>
      <c r="AT298" s="861"/>
      <c r="AU298" s="862"/>
      <c r="AV298" s="862"/>
      <c r="AW298" s="862"/>
      <c r="AX298" s="862"/>
      <c r="AY298" s="862"/>
      <c r="AZ298" s="862"/>
      <c r="BA298" s="862"/>
      <c r="BB298" s="862"/>
      <c r="BC298" s="862"/>
      <c r="BD298" s="862"/>
      <c r="BE298" s="862"/>
      <c r="BF298" s="862"/>
      <c r="BG298" s="862"/>
    </row>
    <row r="299" spans="36:59" ht="15.75" customHeight="1">
      <c r="AJ299" s="862"/>
      <c r="AK299" s="862"/>
      <c r="AL299" s="861"/>
      <c r="AM299" s="861"/>
      <c r="AN299" s="861"/>
      <c r="AO299" s="861"/>
      <c r="AP299" s="861"/>
      <c r="AQ299" s="861"/>
      <c r="AR299" s="861"/>
      <c r="AS299" s="861"/>
      <c r="AT299" s="861"/>
      <c r="AU299" s="862"/>
      <c r="AV299" s="862"/>
      <c r="AW299" s="862"/>
      <c r="AX299" s="862"/>
      <c r="AY299" s="862"/>
      <c r="AZ299" s="862"/>
      <c r="BA299" s="862"/>
      <c r="BB299" s="862"/>
      <c r="BC299" s="862"/>
      <c r="BD299" s="862"/>
      <c r="BE299" s="862"/>
      <c r="BF299" s="862"/>
      <c r="BG299" s="862"/>
    </row>
    <row r="300" spans="36:59" ht="15.75" customHeight="1">
      <c r="AJ300" s="862"/>
      <c r="AK300" s="862"/>
      <c r="AL300" s="861"/>
      <c r="AM300" s="861"/>
      <c r="AN300" s="861"/>
      <c r="AO300" s="861"/>
      <c r="AP300" s="861"/>
      <c r="AQ300" s="861"/>
      <c r="AR300" s="861"/>
      <c r="AS300" s="861"/>
      <c r="AT300" s="861"/>
      <c r="AU300" s="862"/>
      <c r="AV300" s="862"/>
      <c r="AW300" s="862"/>
      <c r="AX300" s="862"/>
      <c r="AY300" s="862"/>
      <c r="AZ300" s="862"/>
      <c r="BA300" s="862"/>
      <c r="BB300" s="862"/>
      <c r="BC300" s="862"/>
      <c r="BD300" s="862"/>
      <c r="BE300" s="862"/>
      <c r="BF300" s="862"/>
      <c r="BG300" s="862"/>
    </row>
    <row r="301" spans="36:59" ht="15.75" customHeight="1">
      <c r="AJ301" s="862"/>
      <c r="AK301" s="862"/>
      <c r="AL301" s="861"/>
      <c r="AM301" s="861"/>
      <c r="AN301" s="861"/>
      <c r="AO301" s="861"/>
      <c r="AP301" s="861"/>
      <c r="AQ301" s="861"/>
      <c r="AR301" s="861"/>
      <c r="AS301" s="861"/>
      <c r="AT301" s="861"/>
      <c r="AU301" s="862"/>
      <c r="AV301" s="862"/>
      <c r="AW301" s="862"/>
      <c r="AX301" s="862"/>
      <c r="AY301" s="862"/>
      <c r="AZ301" s="862"/>
      <c r="BA301" s="862"/>
      <c r="BB301" s="862"/>
      <c r="BC301" s="862"/>
      <c r="BD301" s="862"/>
      <c r="BE301" s="862"/>
      <c r="BF301" s="862"/>
      <c r="BG301" s="862"/>
    </row>
    <row r="302" spans="36:59" ht="15.75" customHeight="1">
      <c r="AJ302" s="862"/>
      <c r="AK302" s="862"/>
      <c r="AL302" s="861"/>
      <c r="AM302" s="861"/>
      <c r="AN302" s="861"/>
      <c r="AO302" s="861"/>
      <c r="AP302" s="861"/>
      <c r="AQ302" s="861"/>
      <c r="AR302" s="861"/>
      <c r="AS302" s="861"/>
      <c r="AT302" s="861"/>
      <c r="AU302" s="862"/>
      <c r="AV302" s="862"/>
      <c r="AW302" s="862"/>
      <c r="AX302" s="862"/>
      <c r="AY302" s="862"/>
      <c r="AZ302" s="862"/>
      <c r="BA302" s="862"/>
      <c r="BB302" s="862"/>
      <c r="BC302" s="862"/>
      <c r="BD302" s="862"/>
      <c r="BE302" s="862"/>
      <c r="BF302" s="862"/>
      <c r="BG302" s="862"/>
    </row>
    <row r="303" spans="36:59" ht="15.75" customHeight="1">
      <c r="AJ303" s="862"/>
      <c r="AK303" s="862"/>
      <c r="AL303" s="861"/>
      <c r="AM303" s="861"/>
      <c r="AN303" s="861"/>
      <c r="AO303" s="861"/>
      <c r="AP303" s="861"/>
      <c r="AQ303" s="861"/>
      <c r="AR303" s="861"/>
      <c r="AS303" s="861"/>
      <c r="AT303" s="861"/>
      <c r="AU303" s="862"/>
      <c r="AV303" s="862"/>
      <c r="AW303" s="862"/>
      <c r="AX303" s="862"/>
      <c r="AY303" s="862"/>
      <c r="AZ303" s="862"/>
      <c r="BA303" s="862"/>
      <c r="BB303" s="862"/>
      <c r="BC303" s="862"/>
      <c r="BD303" s="862"/>
      <c r="BE303" s="862"/>
      <c r="BF303" s="862"/>
      <c r="BG303" s="862"/>
    </row>
    <row r="304" spans="36:59" ht="15.75" customHeight="1">
      <c r="AJ304" s="862"/>
      <c r="AK304" s="862"/>
      <c r="AL304" s="861"/>
      <c r="AM304" s="861"/>
      <c r="AN304" s="861"/>
      <c r="AO304" s="861"/>
      <c r="AP304" s="861"/>
      <c r="AQ304" s="861"/>
      <c r="AR304" s="861"/>
      <c r="AS304" s="861"/>
      <c r="AT304" s="861"/>
      <c r="AU304" s="862"/>
      <c r="AV304" s="862"/>
      <c r="AW304" s="862"/>
      <c r="AX304" s="862"/>
      <c r="AY304" s="862"/>
      <c r="AZ304" s="862"/>
      <c r="BA304" s="862"/>
      <c r="BB304" s="862"/>
      <c r="BC304" s="862"/>
      <c r="BD304" s="862"/>
      <c r="BE304" s="862"/>
      <c r="BF304" s="862"/>
      <c r="BG304" s="862"/>
    </row>
    <row r="305" spans="36:59" ht="15.75" customHeight="1">
      <c r="AJ305" s="862"/>
      <c r="AK305" s="862"/>
      <c r="AL305" s="861"/>
      <c r="AM305" s="861"/>
      <c r="AN305" s="861"/>
      <c r="AO305" s="861"/>
      <c r="AP305" s="861"/>
      <c r="AQ305" s="861"/>
      <c r="AR305" s="861"/>
      <c r="AS305" s="861"/>
      <c r="AT305" s="861"/>
      <c r="AU305" s="862"/>
      <c r="AV305" s="862"/>
      <c r="AW305" s="862"/>
      <c r="AX305" s="862"/>
      <c r="AY305" s="862"/>
      <c r="AZ305" s="862"/>
      <c r="BA305" s="862"/>
      <c r="BB305" s="862"/>
      <c r="BC305" s="862"/>
      <c r="BD305" s="862"/>
      <c r="BE305" s="862"/>
      <c r="BF305" s="862"/>
      <c r="BG305" s="862"/>
    </row>
    <row r="306" spans="36:59" ht="15.75" customHeight="1">
      <c r="AJ306" s="862"/>
      <c r="AK306" s="862"/>
      <c r="AL306" s="861"/>
      <c r="AM306" s="861"/>
      <c r="AN306" s="861"/>
      <c r="AO306" s="861"/>
      <c r="AP306" s="861"/>
      <c r="AQ306" s="861"/>
      <c r="AR306" s="861"/>
      <c r="AS306" s="861"/>
      <c r="AT306" s="861"/>
      <c r="AU306" s="862"/>
      <c r="AV306" s="862"/>
      <c r="AW306" s="862"/>
      <c r="AX306" s="862"/>
      <c r="AY306" s="862"/>
      <c r="AZ306" s="862"/>
      <c r="BA306" s="862"/>
      <c r="BB306" s="862"/>
      <c r="BC306" s="862"/>
      <c r="BD306" s="862"/>
      <c r="BE306" s="862"/>
      <c r="BF306" s="862"/>
      <c r="BG306" s="862"/>
    </row>
    <row r="307" spans="36:59" ht="15.75" customHeight="1">
      <c r="AJ307" s="862"/>
      <c r="AK307" s="862"/>
      <c r="AL307" s="861"/>
      <c r="AM307" s="861"/>
      <c r="AN307" s="861"/>
      <c r="AO307" s="861"/>
      <c r="AP307" s="861"/>
      <c r="AQ307" s="861"/>
      <c r="AR307" s="861"/>
      <c r="AS307" s="861"/>
      <c r="AT307" s="861"/>
      <c r="AU307" s="862"/>
      <c r="AV307" s="862"/>
      <c r="AW307" s="862"/>
      <c r="AX307" s="862"/>
      <c r="AY307" s="862"/>
      <c r="AZ307" s="862"/>
      <c r="BA307" s="862"/>
      <c r="BB307" s="862"/>
      <c r="BC307" s="862"/>
      <c r="BD307" s="862"/>
      <c r="BE307" s="862"/>
      <c r="BF307" s="862"/>
      <c r="BG307" s="862"/>
    </row>
    <row r="308" spans="36:59" ht="15.75" customHeight="1">
      <c r="AJ308" s="862"/>
      <c r="AK308" s="862"/>
      <c r="AL308" s="861"/>
      <c r="AM308" s="861"/>
      <c r="AN308" s="861"/>
      <c r="AO308" s="861"/>
      <c r="AP308" s="861"/>
      <c r="AQ308" s="861"/>
      <c r="AR308" s="861"/>
      <c r="AS308" s="861"/>
      <c r="AT308" s="861"/>
      <c r="AU308" s="862"/>
      <c r="AV308" s="862"/>
      <c r="AW308" s="862"/>
      <c r="AX308" s="862"/>
      <c r="AY308" s="862"/>
      <c r="AZ308" s="862"/>
      <c r="BA308" s="862"/>
      <c r="BB308" s="862"/>
      <c r="BC308" s="862"/>
      <c r="BD308" s="862"/>
      <c r="BE308" s="862"/>
      <c r="BF308" s="862"/>
      <c r="BG308" s="862"/>
    </row>
    <row r="309" spans="36:59" ht="15.75" customHeight="1">
      <c r="AJ309" s="862"/>
      <c r="AK309" s="862"/>
      <c r="AL309" s="861"/>
      <c r="AM309" s="861"/>
      <c r="AN309" s="861"/>
      <c r="AO309" s="861"/>
      <c r="AP309" s="861"/>
      <c r="AQ309" s="861"/>
      <c r="AR309" s="861"/>
      <c r="AS309" s="861"/>
      <c r="AT309" s="861"/>
      <c r="AU309" s="862"/>
      <c r="AV309" s="862"/>
      <c r="AW309" s="862"/>
      <c r="AX309" s="862"/>
      <c r="AY309" s="862"/>
      <c r="AZ309" s="862"/>
      <c r="BA309" s="862"/>
      <c r="BB309" s="862"/>
      <c r="BC309" s="862"/>
      <c r="BD309" s="862"/>
      <c r="BE309" s="862"/>
      <c r="BF309" s="862"/>
      <c r="BG309" s="862"/>
    </row>
    <row r="310" spans="36:59" ht="15.75" customHeight="1">
      <c r="AJ310" s="862"/>
      <c r="AK310" s="862"/>
      <c r="AL310" s="861"/>
      <c r="AM310" s="861"/>
      <c r="AN310" s="861"/>
      <c r="AO310" s="861"/>
      <c r="AP310" s="861"/>
      <c r="AQ310" s="861"/>
      <c r="AR310" s="861"/>
      <c r="AS310" s="861"/>
      <c r="AT310" s="861"/>
      <c r="AU310" s="862"/>
      <c r="AV310" s="862"/>
      <c r="AW310" s="862"/>
      <c r="AX310" s="862"/>
      <c r="AY310" s="862"/>
      <c r="AZ310" s="862"/>
      <c r="BA310" s="862"/>
      <c r="BB310" s="862"/>
      <c r="BC310" s="862"/>
      <c r="BD310" s="862"/>
      <c r="BE310" s="862"/>
      <c r="BF310" s="862"/>
      <c r="BG310" s="862"/>
    </row>
    <row r="311" spans="36:59" ht="15.75" customHeight="1">
      <c r="AJ311" s="862"/>
      <c r="AK311" s="862"/>
      <c r="AL311" s="861"/>
      <c r="AM311" s="861"/>
      <c r="AN311" s="861"/>
      <c r="AO311" s="861"/>
      <c r="AP311" s="861"/>
      <c r="AQ311" s="861"/>
      <c r="AR311" s="861"/>
      <c r="AS311" s="861"/>
      <c r="AT311" s="861"/>
      <c r="AU311" s="862"/>
      <c r="AV311" s="862"/>
      <c r="AW311" s="862"/>
      <c r="AX311" s="862"/>
      <c r="AY311" s="862"/>
      <c r="AZ311" s="862"/>
      <c r="BA311" s="862"/>
      <c r="BB311" s="862"/>
      <c r="BC311" s="862"/>
      <c r="BD311" s="862"/>
      <c r="BE311" s="862"/>
      <c r="BF311" s="862"/>
      <c r="BG311" s="862"/>
    </row>
    <row r="312" spans="36:59" ht="15.75" customHeight="1">
      <c r="AJ312" s="862"/>
      <c r="AK312" s="862"/>
      <c r="AL312" s="861"/>
      <c r="AM312" s="861"/>
      <c r="AN312" s="861"/>
      <c r="AO312" s="861"/>
      <c r="AP312" s="861"/>
      <c r="AQ312" s="861"/>
      <c r="AR312" s="861"/>
      <c r="AS312" s="861"/>
      <c r="AT312" s="861"/>
      <c r="AU312" s="862"/>
      <c r="AV312" s="862"/>
      <c r="AW312" s="862"/>
      <c r="AX312" s="862"/>
      <c r="AY312" s="862"/>
      <c r="AZ312" s="862"/>
      <c r="BA312" s="862"/>
      <c r="BB312" s="862"/>
      <c r="BC312" s="862"/>
      <c r="BD312" s="862"/>
      <c r="BE312" s="862"/>
      <c r="BF312" s="862"/>
      <c r="BG312" s="862"/>
    </row>
    <row r="313" spans="36:59" ht="15.75" customHeight="1">
      <c r="AJ313" s="862"/>
      <c r="AK313" s="862"/>
      <c r="AL313" s="861"/>
      <c r="AM313" s="861"/>
      <c r="AN313" s="861"/>
      <c r="AO313" s="861"/>
      <c r="AP313" s="861"/>
      <c r="AQ313" s="861"/>
      <c r="AR313" s="861"/>
      <c r="AS313" s="861"/>
      <c r="AT313" s="861"/>
      <c r="AU313" s="862"/>
      <c r="AV313" s="862"/>
      <c r="AW313" s="862"/>
      <c r="AX313" s="862"/>
      <c r="AY313" s="862"/>
      <c r="AZ313" s="862"/>
      <c r="BA313" s="862"/>
      <c r="BB313" s="862"/>
      <c r="BC313" s="862"/>
      <c r="BD313" s="862"/>
      <c r="BE313" s="862"/>
      <c r="BF313" s="862"/>
      <c r="BG313" s="862"/>
    </row>
    <row r="314" spans="36:59" ht="15.75" customHeight="1">
      <c r="AJ314" s="862"/>
      <c r="AK314" s="862"/>
      <c r="AL314" s="861"/>
      <c r="AM314" s="861"/>
      <c r="AN314" s="861"/>
      <c r="AO314" s="861"/>
      <c r="AP314" s="861"/>
      <c r="AQ314" s="861"/>
      <c r="AR314" s="861"/>
      <c r="AS314" s="861"/>
      <c r="AT314" s="861"/>
      <c r="AU314" s="862"/>
      <c r="AV314" s="862"/>
      <c r="AW314" s="862"/>
      <c r="AX314" s="862"/>
      <c r="AY314" s="862"/>
      <c r="AZ314" s="862"/>
      <c r="BA314" s="862"/>
      <c r="BB314" s="862"/>
      <c r="BC314" s="862"/>
      <c r="BD314" s="862"/>
      <c r="BE314" s="862"/>
      <c r="BF314" s="862"/>
      <c r="BG314" s="862"/>
    </row>
    <row r="315" spans="36:59" ht="15.75" customHeight="1">
      <c r="AJ315" s="862"/>
      <c r="AK315" s="862"/>
      <c r="AL315" s="861"/>
      <c r="AM315" s="861"/>
      <c r="AN315" s="861"/>
      <c r="AO315" s="861"/>
      <c r="AP315" s="861"/>
      <c r="AQ315" s="861"/>
      <c r="AR315" s="861"/>
      <c r="AS315" s="861"/>
      <c r="AT315" s="861"/>
      <c r="AU315" s="862"/>
      <c r="AV315" s="862"/>
      <c r="AW315" s="862"/>
      <c r="AX315" s="862"/>
      <c r="AY315" s="862"/>
      <c r="AZ315" s="862"/>
      <c r="BA315" s="862"/>
      <c r="BB315" s="862"/>
      <c r="BC315" s="862"/>
      <c r="BD315" s="862"/>
      <c r="BE315" s="862"/>
      <c r="BF315" s="862"/>
      <c r="BG315" s="862"/>
    </row>
    <row r="316" spans="36:59" ht="15.75" customHeight="1">
      <c r="AJ316" s="862"/>
      <c r="AK316" s="862"/>
      <c r="AL316" s="861"/>
      <c r="AM316" s="861"/>
      <c r="AN316" s="861"/>
      <c r="AO316" s="861"/>
      <c r="AP316" s="861"/>
      <c r="AQ316" s="861"/>
      <c r="AR316" s="861"/>
      <c r="AS316" s="861"/>
      <c r="AT316" s="861"/>
      <c r="AU316" s="862"/>
      <c r="AV316" s="862"/>
      <c r="AW316" s="862"/>
      <c r="AX316" s="862"/>
      <c r="AY316" s="862"/>
      <c r="AZ316" s="862"/>
      <c r="BA316" s="862"/>
      <c r="BB316" s="862"/>
      <c r="BC316" s="862"/>
      <c r="BD316" s="862"/>
      <c r="BE316" s="862"/>
      <c r="BF316" s="862"/>
      <c r="BG316" s="862"/>
    </row>
    <row r="317" spans="36:59" ht="15.75" customHeight="1">
      <c r="AJ317" s="862"/>
      <c r="AK317" s="862"/>
      <c r="AL317" s="861"/>
      <c r="AM317" s="861"/>
      <c r="AN317" s="861"/>
      <c r="AO317" s="861"/>
      <c r="AP317" s="861"/>
      <c r="AQ317" s="861"/>
      <c r="AR317" s="861"/>
      <c r="AS317" s="861"/>
      <c r="AT317" s="861"/>
      <c r="AU317" s="862"/>
      <c r="AV317" s="862"/>
      <c r="AW317" s="862"/>
      <c r="AX317" s="862"/>
      <c r="AY317" s="862"/>
      <c r="AZ317" s="862"/>
      <c r="BA317" s="862"/>
      <c r="BB317" s="862"/>
      <c r="BC317" s="862"/>
      <c r="BD317" s="862"/>
      <c r="BE317" s="862"/>
      <c r="BF317" s="862"/>
      <c r="BG317" s="862"/>
    </row>
    <row r="318" spans="36:59" ht="15.75" customHeight="1">
      <c r="AJ318" s="862"/>
      <c r="AK318" s="862"/>
      <c r="AL318" s="861"/>
      <c r="AM318" s="861"/>
      <c r="AN318" s="861"/>
      <c r="AO318" s="861"/>
      <c r="AP318" s="861"/>
      <c r="AQ318" s="861"/>
      <c r="AR318" s="861"/>
      <c r="AS318" s="861"/>
      <c r="AT318" s="861"/>
      <c r="AU318" s="862"/>
      <c r="AV318" s="862"/>
      <c r="AW318" s="862"/>
      <c r="AX318" s="862"/>
      <c r="AY318" s="862"/>
      <c r="AZ318" s="862"/>
      <c r="BA318" s="862"/>
      <c r="BB318" s="862"/>
      <c r="BC318" s="862"/>
      <c r="BD318" s="862"/>
      <c r="BE318" s="862"/>
      <c r="BF318" s="862"/>
      <c r="BG318" s="862"/>
    </row>
    <row r="319" spans="36:59" ht="15.75" customHeight="1">
      <c r="AJ319" s="862"/>
      <c r="AK319" s="862"/>
      <c r="AL319" s="861"/>
      <c r="AM319" s="861"/>
      <c r="AN319" s="861"/>
      <c r="AO319" s="861"/>
      <c r="AP319" s="861"/>
      <c r="AQ319" s="861"/>
      <c r="AR319" s="861"/>
      <c r="AS319" s="861"/>
      <c r="AT319" s="861"/>
      <c r="AU319" s="862"/>
      <c r="AV319" s="862"/>
      <c r="AW319" s="862"/>
      <c r="AX319" s="862"/>
      <c r="AY319" s="862"/>
      <c r="AZ319" s="862"/>
      <c r="BA319" s="862"/>
      <c r="BB319" s="862"/>
      <c r="BC319" s="862"/>
      <c r="BD319" s="862"/>
      <c r="BE319" s="862"/>
      <c r="BF319" s="862"/>
      <c r="BG319" s="862"/>
    </row>
    <row r="320" spans="36:59" ht="15.75" customHeight="1">
      <c r="AJ320" s="862"/>
      <c r="AK320" s="862"/>
      <c r="AL320" s="861"/>
      <c r="AM320" s="861"/>
      <c r="AN320" s="861"/>
      <c r="AO320" s="861"/>
      <c r="AP320" s="861"/>
      <c r="AQ320" s="861"/>
      <c r="AR320" s="861"/>
      <c r="AS320" s="861"/>
      <c r="AT320" s="861"/>
      <c r="AU320" s="862"/>
      <c r="AV320" s="862"/>
      <c r="AW320" s="862"/>
      <c r="AX320" s="862"/>
      <c r="AY320" s="862"/>
      <c r="AZ320" s="862"/>
      <c r="BA320" s="862"/>
      <c r="BB320" s="862"/>
      <c r="BC320" s="862"/>
      <c r="BD320" s="862"/>
      <c r="BE320" s="862"/>
      <c r="BF320" s="862"/>
      <c r="BG320" s="862"/>
    </row>
    <row r="321" spans="36:59" ht="15.75" customHeight="1">
      <c r="AJ321" s="862"/>
      <c r="AK321" s="862"/>
      <c r="AL321" s="861"/>
      <c r="AM321" s="861"/>
      <c r="AN321" s="861"/>
      <c r="AO321" s="861"/>
      <c r="AP321" s="861"/>
      <c r="AQ321" s="861"/>
      <c r="AR321" s="861"/>
      <c r="AS321" s="861"/>
      <c r="AT321" s="861"/>
      <c r="AU321" s="862"/>
      <c r="AV321" s="862"/>
      <c r="AW321" s="862"/>
      <c r="AX321" s="862"/>
      <c r="AY321" s="862"/>
      <c r="AZ321" s="862"/>
      <c r="BA321" s="862"/>
      <c r="BB321" s="862"/>
      <c r="BC321" s="862"/>
      <c r="BD321" s="862"/>
      <c r="BE321" s="862"/>
      <c r="BF321" s="862"/>
      <c r="BG321" s="862"/>
    </row>
    <row r="322" spans="36:59" ht="15.75" customHeight="1">
      <c r="AJ322" s="862"/>
      <c r="AK322" s="862"/>
      <c r="AL322" s="861"/>
      <c r="AM322" s="861"/>
      <c r="AN322" s="861"/>
      <c r="AO322" s="861"/>
      <c r="AP322" s="861"/>
      <c r="AQ322" s="861"/>
      <c r="AR322" s="861"/>
      <c r="AS322" s="861"/>
      <c r="AT322" s="861"/>
      <c r="AU322" s="862"/>
      <c r="AV322" s="862"/>
      <c r="AW322" s="862"/>
      <c r="AX322" s="862"/>
      <c r="AY322" s="862"/>
      <c r="AZ322" s="862"/>
      <c r="BA322" s="862"/>
      <c r="BB322" s="862"/>
      <c r="BC322" s="862"/>
      <c r="BD322" s="862"/>
      <c r="BE322" s="862"/>
      <c r="BF322" s="862"/>
      <c r="BG322" s="862"/>
    </row>
    <row r="323" spans="36:59" ht="15.75" customHeight="1">
      <c r="AJ323" s="862"/>
      <c r="AK323" s="862"/>
      <c r="AL323" s="861"/>
      <c r="AM323" s="861"/>
      <c r="AN323" s="861"/>
      <c r="AO323" s="861"/>
      <c r="AP323" s="861"/>
      <c r="AQ323" s="861"/>
      <c r="AR323" s="861"/>
      <c r="AS323" s="861"/>
      <c r="AT323" s="861"/>
      <c r="AU323" s="862"/>
      <c r="AV323" s="862"/>
      <c r="AW323" s="862"/>
      <c r="AX323" s="862"/>
      <c r="AY323" s="862"/>
      <c r="AZ323" s="862"/>
      <c r="BA323" s="862"/>
      <c r="BB323" s="862"/>
      <c r="BC323" s="862"/>
      <c r="BD323" s="862"/>
      <c r="BE323" s="862"/>
      <c r="BF323" s="862"/>
      <c r="BG323" s="862"/>
    </row>
    <row r="324" spans="36:59" ht="15.75" customHeight="1">
      <c r="AJ324" s="862"/>
      <c r="AK324" s="862"/>
      <c r="AL324" s="861"/>
      <c r="AM324" s="861"/>
      <c r="AN324" s="861"/>
      <c r="AO324" s="861"/>
      <c r="AP324" s="861"/>
      <c r="AQ324" s="861"/>
      <c r="AR324" s="861"/>
      <c r="AS324" s="861"/>
      <c r="AT324" s="861"/>
      <c r="AU324" s="862"/>
      <c r="AV324" s="862"/>
      <c r="AW324" s="862"/>
      <c r="AX324" s="862"/>
      <c r="AY324" s="862"/>
      <c r="AZ324" s="862"/>
      <c r="BA324" s="862"/>
      <c r="BB324" s="862"/>
      <c r="BC324" s="862"/>
      <c r="BD324" s="862"/>
      <c r="BE324" s="862"/>
      <c r="BF324" s="862"/>
      <c r="BG324" s="862"/>
    </row>
    <row r="325" spans="36:59" ht="15.75" customHeight="1">
      <c r="AJ325" s="862"/>
      <c r="AK325" s="862"/>
      <c r="AL325" s="861"/>
      <c r="AM325" s="861"/>
      <c r="AN325" s="861"/>
      <c r="AO325" s="861"/>
      <c r="AP325" s="861"/>
      <c r="AQ325" s="861"/>
      <c r="AR325" s="861"/>
      <c r="AS325" s="861"/>
      <c r="AT325" s="861"/>
      <c r="AU325" s="862"/>
      <c r="AV325" s="862"/>
      <c r="AW325" s="862"/>
      <c r="AX325" s="862"/>
      <c r="AY325" s="862"/>
      <c r="AZ325" s="862"/>
      <c r="BA325" s="862"/>
      <c r="BB325" s="862"/>
      <c r="BC325" s="862"/>
      <c r="BD325" s="862"/>
      <c r="BE325" s="862"/>
      <c r="BF325" s="862"/>
      <c r="BG325" s="862"/>
    </row>
    <row r="326" spans="36:59" ht="15.75" customHeight="1">
      <c r="AJ326" s="862"/>
      <c r="AK326" s="862"/>
      <c r="AL326" s="861"/>
      <c r="AM326" s="861"/>
      <c r="AN326" s="861"/>
      <c r="AO326" s="861"/>
      <c r="AP326" s="861"/>
      <c r="AQ326" s="861"/>
      <c r="AR326" s="861"/>
      <c r="AS326" s="861"/>
      <c r="AT326" s="861"/>
      <c r="AU326" s="862"/>
      <c r="AV326" s="862"/>
      <c r="AW326" s="862"/>
      <c r="AX326" s="862"/>
      <c r="AY326" s="862"/>
      <c r="AZ326" s="862"/>
      <c r="BA326" s="862"/>
      <c r="BB326" s="862"/>
      <c r="BC326" s="862"/>
      <c r="BD326" s="862"/>
      <c r="BE326" s="862"/>
      <c r="BF326" s="862"/>
      <c r="BG326" s="862"/>
    </row>
    <row r="327" spans="36:59" ht="15.75" customHeight="1">
      <c r="AJ327" s="862"/>
      <c r="AK327" s="862"/>
      <c r="AL327" s="861"/>
      <c r="AM327" s="861"/>
      <c r="AN327" s="861"/>
      <c r="AO327" s="861"/>
      <c r="AP327" s="861"/>
      <c r="AQ327" s="861"/>
      <c r="AR327" s="861"/>
      <c r="AS327" s="861"/>
      <c r="AT327" s="861"/>
      <c r="AU327" s="862"/>
      <c r="AV327" s="862"/>
      <c r="AW327" s="862"/>
      <c r="AX327" s="862"/>
      <c r="AY327" s="862"/>
      <c r="AZ327" s="862"/>
      <c r="BA327" s="862"/>
      <c r="BB327" s="862"/>
      <c r="BC327" s="862"/>
      <c r="BD327" s="862"/>
      <c r="BE327" s="862"/>
      <c r="BF327" s="862"/>
      <c r="BG327" s="862"/>
    </row>
    <row r="328" spans="36:59" ht="15.75" customHeight="1">
      <c r="AJ328" s="862"/>
      <c r="AK328" s="862"/>
      <c r="AL328" s="861"/>
      <c r="AM328" s="861"/>
      <c r="AN328" s="861"/>
      <c r="AO328" s="861"/>
      <c r="AP328" s="861"/>
      <c r="AQ328" s="861"/>
      <c r="AR328" s="861"/>
      <c r="AS328" s="861"/>
      <c r="AT328" s="861"/>
      <c r="AU328" s="862"/>
      <c r="AV328" s="862"/>
      <c r="AW328" s="862"/>
      <c r="AX328" s="862"/>
      <c r="AY328" s="862"/>
      <c r="AZ328" s="862"/>
      <c r="BA328" s="862"/>
      <c r="BB328" s="862"/>
      <c r="BC328" s="862"/>
      <c r="BD328" s="862"/>
      <c r="BE328" s="862"/>
      <c r="BF328" s="862"/>
      <c r="BG328" s="862"/>
    </row>
    <row r="329" spans="36:59" ht="15.75" customHeight="1">
      <c r="AJ329" s="862"/>
      <c r="AK329" s="862"/>
      <c r="AL329" s="861"/>
      <c r="AM329" s="861"/>
      <c r="AN329" s="861"/>
      <c r="AO329" s="861"/>
      <c r="AP329" s="861"/>
      <c r="AQ329" s="861"/>
      <c r="AR329" s="861"/>
      <c r="AS329" s="861"/>
      <c r="AT329" s="861"/>
      <c r="AU329" s="862"/>
      <c r="AV329" s="862"/>
      <c r="AW329" s="862"/>
      <c r="AX329" s="862"/>
      <c r="AY329" s="862"/>
      <c r="AZ329" s="862"/>
      <c r="BA329" s="862"/>
      <c r="BB329" s="862"/>
      <c r="BC329" s="862"/>
      <c r="BD329" s="862"/>
      <c r="BE329" s="862"/>
      <c r="BF329" s="862"/>
      <c r="BG329" s="862"/>
    </row>
    <row r="330" spans="36:59" ht="15.75" customHeight="1">
      <c r="AJ330" s="862"/>
      <c r="AK330" s="862"/>
      <c r="AL330" s="861"/>
      <c r="AM330" s="861"/>
      <c r="AN330" s="861"/>
      <c r="AO330" s="861"/>
      <c r="AP330" s="861"/>
      <c r="AQ330" s="861"/>
      <c r="AR330" s="861"/>
      <c r="AS330" s="861"/>
      <c r="AT330" s="861"/>
      <c r="AU330" s="862"/>
      <c r="AV330" s="862"/>
      <c r="AW330" s="862"/>
      <c r="AX330" s="862"/>
      <c r="AY330" s="862"/>
      <c r="AZ330" s="862"/>
      <c r="BA330" s="862"/>
      <c r="BB330" s="862"/>
      <c r="BC330" s="862"/>
      <c r="BD330" s="862"/>
      <c r="BE330" s="862"/>
      <c r="BF330" s="862"/>
      <c r="BG330" s="862"/>
    </row>
    <row r="331" spans="36:59" ht="15.75" customHeight="1">
      <c r="AJ331" s="862"/>
      <c r="AK331" s="862"/>
      <c r="AL331" s="861"/>
      <c r="AM331" s="861"/>
      <c r="AN331" s="861"/>
      <c r="AO331" s="861"/>
      <c r="AP331" s="861"/>
      <c r="AQ331" s="861"/>
      <c r="AR331" s="861"/>
      <c r="AS331" s="861"/>
      <c r="AT331" s="861"/>
      <c r="AU331" s="862"/>
      <c r="AV331" s="862"/>
      <c r="AW331" s="862"/>
      <c r="AX331" s="862"/>
      <c r="AY331" s="862"/>
      <c r="AZ331" s="862"/>
      <c r="BA331" s="862"/>
      <c r="BB331" s="862"/>
      <c r="BC331" s="862"/>
      <c r="BD331" s="862"/>
      <c r="BE331" s="862"/>
      <c r="BF331" s="862"/>
      <c r="BG331" s="862"/>
    </row>
    <row r="332" spans="36:59" ht="15.75" customHeight="1">
      <c r="AJ332" s="862"/>
      <c r="AK332" s="862"/>
      <c r="AL332" s="861"/>
      <c r="AM332" s="861"/>
      <c r="AN332" s="861"/>
      <c r="AO332" s="861"/>
      <c r="AP332" s="861"/>
      <c r="AQ332" s="861"/>
      <c r="AR332" s="861"/>
      <c r="AS332" s="861"/>
      <c r="AT332" s="861"/>
      <c r="AU332" s="862"/>
      <c r="AV332" s="862"/>
      <c r="AW332" s="862"/>
      <c r="AX332" s="862"/>
      <c r="AY332" s="862"/>
      <c r="AZ332" s="862"/>
      <c r="BA332" s="862"/>
      <c r="BB332" s="862"/>
      <c r="BC332" s="862"/>
      <c r="BD332" s="862"/>
      <c r="BE332" s="862"/>
      <c r="BF332" s="862"/>
      <c r="BG332" s="862"/>
    </row>
    <row r="333" spans="36:59" ht="15.75" customHeight="1">
      <c r="AJ333" s="862"/>
      <c r="AK333" s="862"/>
      <c r="AL333" s="861"/>
      <c r="AM333" s="861"/>
      <c r="AN333" s="861"/>
      <c r="AO333" s="861"/>
      <c r="AP333" s="861"/>
      <c r="AQ333" s="861"/>
      <c r="AR333" s="861"/>
      <c r="AS333" s="861"/>
      <c r="AT333" s="861"/>
      <c r="AU333" s="862"/>
      <c r="AV333" s="862"/>
      <c r="AW333" s="862"/>
      <c r="AX333" s="862"/>
      <c r="AY333" s="862"/>
      <c r="AZ333" s="862"/>
      <c r="BA333" s="862"/>
      <c r="BB333" s="862"/>
      <c r="BC333" s="862"/>
      <c r="BD333" s="862"/>
      <c r="BE333" s="862"/>
      <c r="BF333" s="862"/>
      <c r="BG333" s="862"/>
    </row>
    <row r="334" spans="36:59" ht="15.75" customHeight="1">
      <c r="AJ334" s="862"/>
      <c r="AK334" s="862"/>
      <c r="AL334" s="861"/>
      <c r="AM334" s="861"/>
      <c r="AN334" s="861"/>
      <c r="AO334" s="861"/>
      <c r="AP334" s="861"/>
      <c r="AQ334" s="861"/>
      <c r="AR334" s="861"/>
      <c r="AS334" s="861"/>
      <c r="AT334" s="861"/>
      <c r="AU334" s="862"/>
      <c r="AV334" s="862"/>
      <c r="AW334" s="862"/>
      <c r="AX334" s="862"/>
      <c r="AY334" s="862"/>
      <c r="AZ334" s="862"/>
      <c r="BA334" s="862"/>
      <c r="BB334" s="862"/>
      <c r="BC334" s="862"/>
      <c r="BD334" s="862"/>
      <c r="BE334" s="862"/>
      <c r="BF334" s="862"/>
      <c r="BG334" s="862"/>
    </row>
    <row r="335" spans="36:59" ht="15.75" customHeight="1">
      <c r="AJ335" s="862"/>
      <c r="AK335" s="862"/>
      <c r="AL335" s="861"/>
      <c r="AM335" s="861"/>
      <c r="AN335" s="861"/>
      <c r="AO335" s="861"/>
      <c r="AP335" s="861"/>
      <c r="AQ335" s="861"/>
      <c r="AR335" s="861"/>
      <c r="AS335" s="861"/>
      <c r="AT335" s="861"/>
      <c r="AU335" s="862"/>
      <c r="AV335" s="862"/>
      <c r="AW335" s="862"/>
      <c r="AX335" s="862"/>
      <c r="AY335" s="862"/>
      <c r="AZ335" s="862"/>
      <c r="BA335" s="862"/>
      <c r="BB335" s="862"/>
      <c r="BC335" s="862"/>
      <c r="BD335" s="862"/>
      <c r="BE335" s="862"/>
      <c r="BF335" s="862"/>
      <c r="BG335" s="862"/>
    </row>
    <row r="336" spans="36:59" ht="15.75" customHeight="1">
      <c r="AJ336" s="862"/>
      <c r="AK336" s="862"/>
      <c r="AL336" s="861"/>
      <c r="AM336" s="861"/>
      <c r="AN336" s="861"/>
      <c r="AO336" s="861"/>
      <c r="AP336" s="861"/>
      <c r="AQ336" s="861"/>
      <c r="AR336" s="861"/>
      <c r="AS336" s="861"/>
      <c r="AT336" s="861"/>
      <c r="AU336" s="862"/>
      <c r="AV336" s="862"/>
      <c r="AW336" s="862"/>
      <c r="AX336" s="862"/>
      <c r="AY336" s="862"/>
      <c r="AZ336" s="862"/>
      <c r="BA336" s="862"/>
      <c r="BB336" s="862"/>
      <c r="BC336" s="862"/>
      <c r="BD336" s="862"/>
      <c r="BE336" s="862"/>
      <c r="BF336" s="862"/>
      <c r="BG336" s="862"/>
    </row>
    <row r="337" spans="36:59" ht="15.75" customHeight="1">
      <c r="AJ337" s="862"/>
      <c r="AK337" s="862"/>
      <c r="AL337" s="861"/>
      <c r="AM337" s="861"/>
      <c r="AN337" s="861"/>
      <c r="AO337" s="861"/>
      <c r="AP337" s="861"/>
      <c r="AQ337" s="861"/>
      <c r="AR337" s="861"/>
      <c r="AS337" s="861"/>
      <c r="AT337" s="861"/>
      <c r="AU337" s="862"/>
      <c r="AV337" s="862"/>
      <c r="AW337" s="862"/>
      <c r="AX337" s="862"/>
      <c r="AY337" s="862"/>
      <c r="AZ337" s="862"/>
      <c r="BA337" s="862"/>
      <c r="BB337" s="862"/>
      <c r="BC337" s="862"/>
      <c r="BD337" s="862"/>
      <c r="BE337" s="862"/>
      <c r="BF337" s="862"/>
      <c r="BG337" s="862"/>
    </row>
    <row r="338" spans="36:59" ht="15.75" customHeight="1">
      <c r="AJ338" s="862"/>
      <c r="AK338" s="862"/>
      <c r="AL338" s="861"/>
      <c r="AM338" s="861"/>
      <c r="AN338" s="861"/>
      <c r="AO338" s="861"/>
      <c r="AP338" s="861"/>
      <c r="AQ338" s="861"/>
      <c r="AR338" s="861"/>
      <c r="AS338" s="861"/>
      <c r="AT338" s="861"/>
      <c r="AU338" s="862"/>
      <c r="AV338" s="862"/>
      <c r="AW338" s="862"/>
      <c r="AX338" s="862"/>
      <c r="AY338" s="862"/>
      <c r="AZ338" s="862"/>
      <c r="BA338" s="862"/>
      <c r="BB338" s="862"/>
      <c r="BC338" s="862"/>
      <c r="BD338" s="862"/>
      <c r="BE338" s="862"/>
      <c r="BF338" s="862"/>
      <c r="BG338" s="862"/>
    </row>
    <row r="339" spans="36:59" ht="15.75" customHeight="1">
      <c r="AJ339" s="862"/>
      <c r="AK339" s="862"/>
      <c r="AL339" s="861"/>
      <c r="AM339" s="861"/>
      <c r="AN339" s="861"/>
      <c r="AO339" s="861"/>
      <c r="AP339" s="861"/>
      <c r="AQ339" s="861"/>
      <c r="AR339" s="861"/>
      <c r="AS339" s="861"/>
      <c r="AT339" s="861"/>
      <c r="AU339" s="862"/>
      <c r="AV339" s="862"/>
      <c r="AW339" s="862"/>
      <c r="AX339" s="862"/>
      <c r="AY339" s="862"/>
      <c r="AZ339" s="862"/>
      <c r="BA339" s="862"/>
      <c r="BB339" s="862"/>
      <c r="BC339" s="862"/>
      <c r="BD339" s="862"/>
      <c r="BE339" s="862"/>
      <c r="BF339" s="862"/>
      <c r="BG339" s="862"/>
    </row>
    <row r="340" spans="36:59" ht="15.75" customHeight="1">
      <c r="AJ340" s="862"/>
      <c r="AK340" s="862"/>
      <c r="AL340" s="861"/>
      <c r="AM340" s="861"/>
      <c r="AN340" s="861"/>
      <c r="AO340" s="861"/>
      <c r="AP340" s="861"/>
      <c r="AQ340" s="861"/>
      <c r="AR340" s="861"/>
      <c r="AS340" s="861"/>
      <c r="AT340" s="861"/>
      <c r="AU340" s="862"/>
      <c r="AV340" s="862"/>
      <c r="AW340" s="862"/>
      <c r="AX340" s="862"/>
      <c r="AY340" s="862"/>
      <c r="AZ340" s="862"/>
      <c r="BA340" s="862"/>
      <c r="BB340" s="862"/>
      <c r="BC340" s="862"/>
      <c r="BD340" s="862"/>
      <c r="BE340" s="862"/>
      <c r="BF340" s="862"/>
      <c r="BG340" s="862"/>
    </row>
    <row r="341" spans="36:59" ht="15.75" customHeight="1">
      <c r="AJ341" s="862"/>
      <c r="AK341" s="862"/>
      <c r="AL341" s="861"/>
      <c r="AM341" s="861"/>
      <c r="AN341" s="861"/>
      <c r="AO341" s="861"/>
      <c r="AP341" s="861"/>
      <c r="AQ341" s="861"/>
      <c r="AR341" s="861"/>
      <c r="AS341" s="861"/>
      <c r="AT341" s="861"/>
      <c r="AU341" s="862"/>
      <c r="AV341" s="862"/>
      <c r="AW341" s="862"/>
      <c r="AX341" s="862"/>
      <c r="AY341" s="862"/>
      <c r="AZ341" s="862"/>
      <c r="BA341" s="862"/>
      <c r="BB341" s="862"/>
      <c r="BC341" s="862"/>
      <c r="BD341" s="862"/>
      <c r="BE341" s="862"/>
      <c r="BF341" s="862"/>
      <c r="BG341" s="862"/>
    </row>
    <row r="342" spans="36:59" ht="15.75" customHeight="1">
      <c r="AJ342" s="862"/>
      <c r="AK342" s="862"/>
      <c r="AL342" s="861"/>
      <c r="AM342" s="861"/>
      <c r="AN342" s="861"/>
      <c r="AO342" s="861"/>
      <c r="AP342" s="861"/>
      <c r="AQ342" s="861"/>
      <c r="AR342" s="861"/>
      <c r="AS342" s="861"/>
      <c r="AT342" s="861"/>
      <c r="AU342" s="862"/>
      <c r="AV342" s="862"/>
      <c r="AW342" s="862"/>
      <c r="AX342" s="862"/>
      <c r="AY342" s="862"/>
      <c r="AZ342" s="862"/>
      <c r="BA342" s="862"/>
      <c r="BB342" s="862"/>
      <c r="BC342" s="862"/>
      <c r="BD342" s="862"/>
      <c r="BE342" s="862"/>
      <c r="BF342" s="862"/>
      <c r="BG342" s="862"/>
    </row>
    <row r="343" spans="36:59" ht="15.75" customHeight="1">
      <c r="AJ343" s="862"/>
      <c r="AK343" s="862"/>
      <c r="AL343" s="861"/>
      <c r="AM343" s="861"/>
      <c r="AN343" s="861"/>
      <c r="AO343" s="861"/>
      <c r="AP343" s="861"/>
      <c r="AQ343" s="861"/>
      <c r="AR343" s="861"/>
      <c r="AS343" s="861"/>
      <c r="AT343" s="861"/>
      <c r="AU343" s="862"/>
      <c r="AV343" s="862"/>
      <c r="AW343" s="862"/>
      <c r="AX343" s="862"/>
      <c r="AY343" s="862"/>
      <c r="AZ343" s="862"/>
      <c r="BA343" s="862"/>
      <c r="BB343" s="862"/>
      <c r="BC343" s="862"/>
      <c r="BD343" s="862"/>
      <c r="BE343" s="862"/>
      <c r="BF343" s="862"/>
      <c r="BG343" s="862"/>
    </row>
    <row r="344" spans="36:59" ht="15.75" customHeight="1">
      <c r="AJ344" s="862"/>
      <c r="AK344" s="862"/>
      <c r="AL344" s="861"/>
      <c r="AM344" s="861"/>
      <c r="AN344" s="861"/>
      <c r="AO344" s="861"/>
      <c r="AP344" s="861"/>
      <c r="AQ344" s="861"/>
      <c r="AR344" s="861"/>
      <c r="AS344" s="861"/>
      <c r="AT344" s="861"/>
      <c r="AU344" s="862"/>
      <c r="AV344" s="862"/>
      <c r="AW344" s="862"/>
      <c r="AX344" s="862"/>
      <c r="AY344" s="862"/>
      <c r="AZ344" s="862"/>
      <c r="BA344" s="862"/>
      <c r="BB344" s="862"/>
      <c r="BC344" s="862"/>
      <c r="BD344" s="862"/>
      <c r="BE344" s="862"/>
      <c r="BF344" s="862"/>
      <c r="BG344" s="862"/>
    </row>
    <row r="345" spans="36:59" ht="15.75" customHeight="1">
      <c r="AJ345" s="862"/>
      <c r="AK345" s="862"/>
      <c r="AL345" s="861"/>
      <c r="AM345" s="861"/>
      <c r="AN345" s="861"/>
      <c r="AO345" s="861"/>
      <c r="AP345" s="861"/>
      <c r="AQ345" s="861"/>
      <c r="AR345" s="861"/>
      <c r="AS345" s="861"/>
      <c r="AT345" s="861"/>
      <c r="AU345" s="862"/>
      <c r="AV345" s="862"/>
      <c r="AW345" s="862"/>
      <c r="AX345" s="862"/>
      <c r="AY345" s="862"/>
      <c r="AZ345" s="862"/>
      <c r="BA345" s="862"/>
      <c r="BB345" s="862"/>
      <c r="BC345" s="862"/>
      <c r="BD345" s="862"/>
      <c r="BE345" s="862"/>
      <c r="BF345" s="862"/>
      <c r="BG345" s="862"/>
    </row>
    <row r="346" spans="36:59" ht="15.75" customHeight="1">
      <c r="AJ346" s="862"/>
      <c r="AK346" s="862"/>
      <c r="AL346" s="861"/>
      <c r="AM346" s="861"/>
      <c r="AN346" s="861"/>
      <c r="AO346" s="861"/>
      <c r="AP346" s="861"/>
      <c r="AQ346" s="861"/>
      <c r="AR346" s="861"/>
      <c r="AS346" s="861"/>
      <c r="AT346" s="861"/>
      <c r="AU346" s="862"/>
      <c r="AV346" s="862"/>
      <c r="AW346" s="862"/>
      <c r="AX346" s="862"/>
      <c r="AY346" s="862"/>
      <c r="AZ346" s="862"/>
      <c r="BA346" s="862"/>
      <c r="BB346" s="862"/>
      <c r="BC346" s="862"/>
      <c r="BD346" s="862"/>
      <c r="BE346" s="862"/>
      <c r="BF346" s="862"/>
      <c r="BG346" s="862"/>
    </row>
    <row r="347" spans="36:59" ht="15.75" customHeight="1">
      <c r="AJ347" s="862"/>
      <c r="AK347" s="862"/>
      <c r="AL347" s="861"/>
      <c r="AM347" s="861"/>
      <c r="AN347" s="861"/>
      <c r="AO347" s="861"/>
      <c r="AP347" s="861"/>
      <c r="AQ347" s="861"/>
      <c r="AR347" s="861"/>
      <c r="AS347" s="861"/>
      <c r="AT347" s="861"/>
      <c r="AU347" s="862"/>
      <c r="AV347" s="862"/>
      <c r="AW347" s="862"/>
      <c r="AX347" s="862"/>
      <c r="AY347" s="862"/>
      <c r="AZ347" s="862"/>
      <c r="BA347" s="862"/>
      <c r="BB347" s="862"/>
      <c r="BC347" s="862"/>
      <c r="BD347" s="862"/>
      <c r="BE347" s="862"/>
      <c r="BF347" s="862"/>
      <c r="BG347" s="862"/>
    </row>
    <row r="348" spans="36:59" ht="15.75" customHeight="1">
      <c r="AJ348" s="862"/>
      <c r="AK348" s="862"/>
      <c r="AL348" s="861"/>
      <c r="AM348" s="861"/>
      <c r="AN348" s="861"/>
      <c r="AO348" s="861"/>
      <c r="AP348" s="861"/>
      <c r="AQ348" s="861"/>
      <c r="AR348" s="861"/>
      <c r="AS348" s="861"/>
      <c r="AT348" s="861"/>
      <c r="AU348" s="862"/>
      <c r="AV348" s="862"/>
      <c r="AW348" s="862"/>
      <c r="AX348" s="862"/>
      <c r="AY348" s="862"/>
      <c r="AZ348" s="862"/>
      <c r="BA348" s="862"/>
      <c r="BB348" s="862"/>
      <c r="BC348" s="862"/>
      <c r="BD348" s="862"/>
      <c r="BE348" s="862"/>
      <c r="BF348" s="862"/>
      <c r="BG348" s="862"/>
    </row>
    <row r="349" spans="36:59" ht="15.75" customHeight="1">
      <c r="AJ349" s="862"/>
      <c r="AK349" s="862"/>
      <c r="AL349" s="861"/>
      <c r="AM349" s="861"/>
      <c r="AN349" s="861"/>
      <c r="AO349" s="861"/>
      <c r="AP349" s="861"/>
      <c r="AQ349" s="861"/>
      <c r="AR349" s="861"/>
      <c r="AS349" s="861"/>
      <c r="AT349" s="861"/>
      <c r="AU349" s="862"/>
      <c r="AV349" s="862"/>
      <c r="AW349" s="862"/>
      <c r="AX349" s="862"/>
      <c r="AY349" s="862"/>
      <c r="AZ349" s="862"/>
      <c r="BA349" s="862"/>
      <c r="BB349" s="862"/>
      <c r="BC349" s="862"/>
      <c r="BD349" s="862"/>
      <c r="BE349" s="862"/>
      <c r="BF349" s="862"/>
      <c r="BG349" s="862"/>
    </row>
    <row r="350" spans="36:59" ht="15.75" customHeight="1">
      <c r="AJ350" s="862"/>
      <c r="AK350" s="862"/>
      <c r="AL350" s="861"/>
      <c r="AM350" s="861"/>
      <c r="AN350" s="861"/>
      <c r="AO350" s="861"/>
      <c r="AP350" s="861"/>
      <c r="AQ350" s="861"/>
      <c r="AR350" s="861"/>
      <c r="AS350" s="861"/>
      <c r="AT350" s="861"/>
      <c r="AU350" s="862"/>
      <c r="AV350" s="862"/>
      <c r="AW350" s="862"/>
      <c r="AX350" s="862"/>
      <c r="AY350" s="862"/>
      <c r="AZ350" s="862"/>
      <c r="BA350" s="862"/>
      <c r="BB350" s="862"/>
      <c r="BC350" s="862"/>
      <c r="BD350" s="862"/>
      <c r="BE350" s="862"/>
      <c r="BF350" s="862"/>
      <c r="BG350" s="862"/>
    </row>
    <row r="351" spans="36:59" ht="15.75" customHeight="1">
      <c r="AJ351" s="862"/>
      <c r="AK351" s="862"/>
      <c r="AL351" s="861"/>
      <c r="AM351" s="861"/>
      <c r="AN351" s="861"/>
      <c r="AO351" s="861"/>
      <c r="AP351" s="861"/>
      <c r="AQ351" s="861"/>
      <c r="AR351" s="861"/>
      <c r="AS351" s="861"/>
      <c r="AT351" s="861"/>
      <c r="AU351" s="862"/>
      <c r="AV351" s="862"/>
      <c r="AW351" s="862"/>
      <c r="AX351" s="862"/>
      <c r="AY351" s="862"/>
      <c r="AZ351" s="862"/>
      <c r="BA351" s="862"/>
      <c r="BB351" s="862"/>
      <c r="BC351" s="862"/>
      <c r="BD351" s="862"/>
      <c r="BE351" s="862"/>
      <c r="BF351" s="862"/>
      <c r="BG351" s="862"/>
    </row>
    <row r="352" spans="36:59" ht="15.75" customHeight="1">
      <c r="AJ352" s="862"/>
      <c r="AK352" s="862"/>
      <c r="AL352" s="861"/>
      <c r="AM352" s="861"/>
      <c r="AN352" s="861"/>
      <c r="AO352" s="861"/>
      <c r="AP352" s="861"/>
      <c r="AQ352" s="861"/>
      <c r="AR352" s="861"/>
      <c r="AS352" s="861"/>
      <c r="AT352" s="861"/>
      <c r="AU352" s="862"/>
      <c r="AV352" s="862"/>
      <c r="AW352" s="862"/>
      <c r="AX352" s="862"/>
      <c r="AY352" s="862"/>
      <c r="AZ352" s="862"/>
      <c r="BA352" s="862"/>
      <c r="BB352" s="862"/>
      <c r="BC352" s="862"/>
      <c r="BD352" s="862"/>
      <c r="BE352" s="862"/>
      <c r="BF352" s="862"/>
      <c r="BG352" s="862"/>
    </row>
    <row r="353" spans="36:59" ht="15.75" customHeight="1">
      <c r="AJ353" s="862"/>
      <c r="AK353" s="862"/>
      <c r="AL353" s="861"/>
      <c r="AM353" s="861"/>
      <c r="AN353" s="861"/>
      <c r="AO353" s="861"/>
      <c r="AP353" s="861"/>
      <c r="AQ353" s="861"/>
      <c r="AR353" s="861"/>
      <c r="AS353" s="861"/>
      <c r="AT353" s="861"/>
      <c r="AU353" s="862"/>
      <c r="AV353" s="862"/>
      <c r="AW353" s="862"/>
      <c r="AX353" s="862"/>
      <c r="AY353" s="862"/>
      <c r="AZ353" s="862"/>
      <c r="BA353" s="862"/>
      <c r="BB353" s="862"/>
      <c r="BC353" s="862"/>
      <c r="BD353" s="862"/>
      <c r="BE353" s="862"/>
      <c r="BF353" s="862"/>
      <c r="BG353" s="862"/>
    </row>
    <row r="354" spans="36:59" ht="15.75" customHeight="1">
      <c r="AJ354" s="862"/>
      <c r="AK354" s="862"/>
      <c r="AL354" s="861"/>
      <c r="AM354" s="861"/>
      <c r="AN354" s="861"/>
      <c r="AO354" s="861"/>
      <c r="AP354" s="861"/>
      <c r="AQ354" s="861"/>
      <c r="AR354" s="861"/>
      <c r="AS354" s="861"/>
      <c r="AT354" s="861"/>
      <c r="AU354" s="862"/>
      <c r="AV354" s="862"/>
      <c r="AW354" s="862"/>
      <c r="AX354" s="862"/>
      <c r="AY354" s="862"/>
      <c r="AZ354" s="862"/>
      <c r="BA354" s="862"/>
      <c r="BB354" s="862"/>
      <c r="BC354" s="862"/>
      <c r="BD354" s="862"/>
      <c r="BE354" s="862"/>
      <c r="BF354" s="862"/>
      <c r="BG354" s="862"/>
    </row>
    <row r="355" spans="36:59" ht="15.75" customHeight="1">
      <c r="AJ355" s="862"/>
      <c r="AK355" s="862"/>
      <c r="AL355" s="861"/>
      <c r="AM355" s="861"/>
      <c r="AN355" s="861"/>
      <c r="AO355" s="861"/>
      <c r="AP355" s="861"/>
      <c r="AQ355" s="861"/>
      <c r="AR355" s="861"/>
      <c r="AS355" s="861"/>
      <c r="AT355" s="861"/>
      <c r="AU355" s="862"/>
      <c r="AV355" s="862"/>
      <c r="AW355" s="862"/>
      <c r="AX355" s="862"/>
      <c r="AY355" s="862"/>
      <c r="AZ355" s="862"/>
      <c r="BA355" s="862"/>
      <c r="BB355" s="862"/>
      <c r="BC355" s="862"/>
      <c r="BD355" s="862"/>
      <c r="BE355" s="862"/>
      <c r="BF355" s="862"/>
      <c r="BG355" s="862"/>
    </row>
    <row r="356" spans="36:59" ht="15.75" customHeight="1">
      <c r="AJ356" s="862"/>
      <c r="AK356" s="862"/>
      <c r="AL356" s="861"/>
      <c r="AM356" s="861"/>
      <c r="AN356" s="861"/>
      <c r="AO356" s="861"/>
      <c r="AP356" s="861"/>
      <c r="AQ356" s="861"/>
      <c r="AR356" s="861"/>
      <c r="AS356" s="861"/>
      <c r="AT356" s="861"/>
      <c r="AU356" s="862"/>
      <c r="AV356" s="862"/>
      <c r="AW356" s="862"/>
      <c r="AX356" s="862"/>
      <c r="AY356" s="862"/>
      <c r="AZ356" s="862"/>
      <c r="BA356" s="862"/>
      <c r="BB356" s="862"/>
      <c r="BC356" s="862"/>
      <c r="BD356" s="862"/>
      <c r="BE356" s="862"/>
      <c r="BF356" s="862"/>
      <c r="BG356" s="862"/>
    </row>
    <row r="357" spans="36:59" ht="15.75" customHeight="1">
      <c r="AJ357" s="862"/>
      <c r="AK357" s="862"/>
      <c r="AL357" s="861"/>
      <c r="AM357" s="861"/>
      <c r="AN357" s="861"/>
      <c r="AO357" s="861"/>
      <c r="AP357" s="861"/>
      <c r="AQ357" s="861"/>
      <c r="AR357" s="861"/>
      <c r="AS357" s="861"/>
      <c r="AT357" s="861"/>
      <c r="AU357" s="862"/>
      <c r="AV357" s="862"/>
      <c r="AW357" s="862"/>
      <c r="AX357" s="862"/>
      <c r="AY357" s="862"/>
      <c r="AZ357" s="862"/>
      <c r="BA357" s="862"/>
      <c r="BB357" s="862"/>
      <c r="BC357" s="862"/>
      <c r="BD357" s="862"/>
      <c r="BE357" s="862"/>
      <c r="BF357" s="862"/>
      <c r="BG357" s="862"/>
    </row>
    <row r="358" spans="36:59" ht="15.75" customHeight="1">
      <c r="AJ358" s="862"/>
      <c r="AK358" s="862"/>
      <c r="AL358" s="861"/>
      <c r="AM358" s="861"/>
      <c r="AN358" s="861"/>
      <c r="AO358" s="861"/>
      <c r="AP358" s="861"/>
      <c r="AQ358" s="861"/>
      <c r="AR358" s="861"/>
      <c r="AS358" s="861"/>
      <c r="AT358" s="861"/>
      <c r="AU358" s="862"/>
      <c r="AV358" s="862"/>
      <c r="AW358" s="862"/>
      <c r="AX358" s="862"/>
      <c r="AY358" s="862"/>
      <c r="AZ358" s="862"/>
      <c r="BA358" s="862"/>
      <c r="BB358" s="862"/>
      <c r="BC358" s="862"/>
      <c r="BD358" s="862"/>
      <c r="BE358" s="862"/>
      <c r="BF358" s="862"/>
      <c r="BG358" s="862"/>
    </row>
    <row r="359" spans="36:59" ht="15.75" customHeight="1">
      <c r="AJ359" s="862"/>
      <c r="AK359" s="862"/>
      <c r="AL359" s="861"/>
      <c r="AM359" s="861"/>
      <c r="AN359" s="861"/>
      <c r="AO359" s="861"/>
      <c r="AP359" s="861"/>
      <c r="AQ359" s="861"/>
      <c r="AR359" s="861"/>
      <c r="AS359" s="861"/>
      <c r="AT359" s="861"/>
      <c r="AU359" s="862"/>
      <c r="AV359" s="862"/>
      <c r="AW359" s="862"/>
      <c r="AX359" s="862"/>
      <c r="AY359" s="862"/>
      <c r="AZ359" s="862"/>
      <c r="BA359" s="862"/>
      <c r="BB359" s="862"/>
      <c r="BC359" s="862"/>
      <c r="BD359" s="862"/>
      <c r="BE359" s="862"/>
      <c r="BF359" s="862"/>
      <c r="BG359" s="862"/>
    </row>
    <row r="360" spans="36:59" ht="15.75" customHeight="1">
      <c r="AJ360" s="862"/>
      <c r="AK360" s="862"/>
      <c r="AL360" s="861"/>
      <c r="AM360" s="861"/>
      <c r="AN360" s="861"/>
      <c r="AO360" s="861"/>
      <c r="AP360" s="861"/>
      <c r="AQ360" s="861"/>
      <c r="AR360" s="861"/>
      <c r="AS360" s="861"/>
      <c r="AT360" s="861"/>
      <c r="AU360" s="862"/>
      <c r="AV360" s="862"/>
      <c r="AW360" s="862"/>
      <c r="AX360" s="862"/>
      <c r="AY360" s="862"/>
      <c r="AZ360" s="862"/>
      <c r="BA360" s="862"/>
      <c r="BB360" s="862"/>
      <c r="BC360" s="862"/>
      <c r="BD360" s="862"/>
      <c r="BE360" s="862"/>
      <c r="BF360" s="862"/>
      <c r="BG360" s="862"/>
    </row>
    <row r="361" spans="36:59" ht="15.75" customHeight="1">
      <c r="AJ361" s="862"/>
      <c r="AK361" s="862"/>
      <c r="AL361" s="861"/>
      <c r="AM361" s="861"/>
      <c r="AN361" s="861"/>
      <c r="AO361" s="861"/>
      <c r="AP361" s="861"/>
      <c r="AQ361" s="861"/>
      <c r="AR361" s="861"/>
      <c r="AS361" s="861"/>
      <c r="AT361" s="861"/>
      <c r="AU361" s="862"/>
      <c r="AV361" s="862"/>
      <c r="AW361" s="862"/>
      <c r="AX361" s="862"/>
      <c r="AY361" s="862"/>
      <c r="AZ361" s="862"/>
      <c r="BA361" s="862"/>
      <c r="BB361" s="862"/>
      <c r="BC361" s="862"/>
      <c r="BD361" s="862"/>
      <c r="BE361" s="862"/>
      <c r="BF361" s="862"/>
      <c r="BG361" s="862"/>
    </row>
    <row r="362" spans="36:59" ht="15.75" customHeight="1"/>
    <row r="363" spans="36:59" ht="15.75" customHeight="1"/>
    <row r="364" spans="36:59" ht="15.75" customHeight="1"/>
    <row r="365" spans="36:59" ht="15.75" customHeight="1"/>
    <row r="366" spans="36:59" ht="15.75" customHeight="1"/>
    <row r="367" spans="36:59" ht="15.75" customHeight="1"/>
    <row r="368" spans="36:59"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sheetData>
  <mergeCells count="41">
    <mergeCell ref="A5:D6"/>
    <mergeCell ref="F5:F6"/>
    <mergeCell ref="H5:M6"/>
    <mergeCell ref="O5:T6"/>
    <mergeCell ref="A7:F7"/>
    <mergeCell ref="AV53:BG53"/>
    <mergeCell ref="H25:M25"/>
    <mergeCell ref="O25:T25"/>
    <mergeCell ref="A26:F26"/>
    <mergeCell ref="B42:F45"/>
    <mergeCell ref="BE94:BF94"/>
    <mergeCell ref="AZ93:BB93"/>
    <mergeCell ref="BD93:BF93"/>
    <mergeCell ref="AV76:AV77"/>
    <mergeCell ref="AW76:AY76"/>
    <mergeCell ref="BA76:BC76"/>
    <mergeCell ref="BE76:BG76"/>
    <mergeCell ref="AX77:AY77"/>
    <mergeCell ref="BB77:BC77"/>
    <mergeCell ref="BF77:BG77"/>
    <mergeCell ref="A3:F3"/>
    <mergeCell ref="H3:M3"/>
    <mergeCell ref="O3:T3"/>
    <mergeCell ref="O4:T4"/>
    <mergeCell ref="BA94:BB94"/>
    <mergeCell ref="AV73:BG73"/>
    <mergeCell ref="AV74:BG74"/>
    <mergeCell ref="BA54:BC54"/>
    <mergeCell ref="BE54:BG54"/>
    <mergeCell ref="AX55:AY55"/>
    <mergeCell ref="BB55:BC55"/>
    <mergeCell ref="BF55:BG55"/>
    <mergeCell ref="AV54:AV55"/>
    <mergeCell ref="AW54:AY54"/>
    <mergeCell ref="AR52:AT52"/>
    <mergeCell ref="AV52:BG52"/>
    <mergeCell ref="A1:F1"/>
    <mergeCell ref="H1:M2"/>
    <mergeCell ref="O1:T1"/>
    <mergeCell ref="A2:F2"/>
    <mergeCell ref="O2:T2"/>
  </mergeCells>
  <pageMargins left="0.25" right="0.25" top="0.75" bottom="0.75" header="0" footer="0"/>
  <pageSetup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dimension ref="A1:Q37"/>
  <sheetViews>
    <sheetView showGridLines="0" zoomScale="90" zoomScaleNormal="100" workbookViewId="0">
      <selection activeCell="C4" sqref="C4"/>
    </sheetView>
  </sheetViews>
  <sheetFormatPr defaultRowHeight="13.2"/>
  <cols>
    <col min="1" max="1" width="4.21875" style="30" customWidth="1"/>
    <col min="2" max="2" width="2.5546875" style="2" customWidth="1"/>
    <col min="3" max="4" width="9.21875" style="2"/>
    <col min="5" max="5" width="5.77734375" style="2" customWidth="1"/>
    <col min="6" max="6" width="8.77734375" style="2" customWidth="1"/>
    <col min="7" max="7" width="3.21875" style="2" customWidth="1"/>
    <col min="8" max="8" width="10.21875" style="2" customWidth="1"/>
    <col min="9" max="9" width="3.77734375" style="2" customWidth="1"/>
    <col min="10" max="10" width="8.21875" style="2" customWidth="1"/>
    <col min="11" max="11" width="6.21875" style="2" customWidth="1"/>
    <col min="12" max="12" width="5.5546875" style="2" customWidth="1"/>
    <col min="13" max="13" width="10.77734375" style="2" customWidth="1"/>
    <col min="14" max="14" width="8.21875" style="2" customWidth="1"/>
    <col min="15" max="15" width="12.21875" style="2" customWidth="1"/>
    <col min="16" max="16" width="10.21875" style="2" customWidth="1"/>
    <col min="17" max="17" width="9.21875" style="32" customWidth="1"/>
    <col min="18" max="256" width="9.21875" style="2"/>
    <col min="257" max="257" width="4.21875" style="2" customWidth="1"/>
    <col min="258" max="258" width="2.5546875" style="2" customWidth="1"/>
    <col min="259" max="260" width="9.21875" style="2"/>
    <col min="261" max="261" width="5.77734375" style="2" customWidth="1"/>
    <col min="262" max="262" width="8.77734375" style="2" customWidth="1"/>
    <col min="263" max="263" width="3.21875" style="2" customWidth="1"/>
    <col min="264" max="264" width="10.21875" style="2" customWidth="1"/>
    <col min="265" max="265" width="3.77734375" style="2" customWidth="1"/>
    <col min="266" max="266" width="8.21875" style="2" customWidth="1"/>
    <col min="267" max="267" width="6.21875" style="2" customWidth="1"/>
    <col min="268" max="268" width="5.5546875" style="2" customWidth="1"/>
    <col min="269" max="269" width="10.77734375" style="2" customWidth="1"/>
    <col min="270" max="270" width="8.21875" style="2" customWidth="1"/>
    <col min="271" max="271" width="12.21875" style="2" customWidth="1"/>
    <col min="272" max="272" width="10.21875" style="2" customWidth="1"/>
    <col min="273" max="273" width="9.21875" style="2" customWidth="1"/>
    <col min="274" max="512" width="9.21875" style="2"/>
    <col min="513" max="513" width="4.21875" style="2" customWidth="1"/>
    <col min="514" max="514" width="2.5546875" style="2" customWidth="1"/>
    <col min="515" max="516" width="9.21875" style="2"/>
    <col min="517" max="517" width="5.77734375" style="2" customWidth="1"/>
    <col min="518" max="518" width="8.77734375" style="2" customWidth="1"/>
    <col min="519" max="519" width="3.21875" style="2" customWidth="1"/>
    <col min="520" max="520" width="10.21875" style="2" customWidth="1"/>
    <col min="521" max="521" width="3.77734375" style="2" customWidth="1"/>
    <col min="522" max="522" width="8.21875" style="2" customWidth="1"/>
    <col min="523" max="523" width="6.21875" style="2" customWidth="1"/>
    <col min="524" max="524" width="5.5546875" style="2" customWidth="1"/>
    <col min="525" max="525" width="10.77734375" style="2" customWidth="1"/>
    <col min="526" max="526" width="8.21875" style="2" customWidth="1"/>
    <col min="527" max="527" width="12.21875" style="2" customWidth="1"/>
    <col min="528" max="528" width="10.21875" style="2" customWidth="1"/>
    <col min="529" max="529" width="9.21875" style="2" customWidth="1"/>
    <col min="530" max="768" width="9.21875" style="2"/>
    <col min="769" max="769" width="4.21875" style="2" customWidth="1"/>
    <col min="770" max="770" width="2.5546875" style="2" customWidth="1"/>
    <col min="771" max="772" width="9.21875" style="2"/>
    <col min="773" max="773" width="5.77734375" style="2" customWidth="1"/>
    <col min="774" max="774" width="8.77734375" style="2" customWidth="1"/>
    <col min="775" max="775" width="3.21875" style="2" customWidth="1"/>
    <col min="776" max="776" width="10.21875" style="2" customWidth="1"/>
    <col min="777" max="777" width="3.77734375" style="2" customWidth="1"/>
    <col min="778" max="778" width="8.21875" style="2" customWidth="1"/>
    <col min="779" max="779" width="6.21875" style="2" customWidth="1"/>
    <col min="780" max="780" width="5.5546875" style="2" customWidth="1"/>
    <col min="781" max="781" width="10.77734375" style="2" customWidth="1"/>
    <col min="782" max="782" width="8.21875" style="2" customWidth="1"/>
    <col min="783" max="783" width="12.21875" style="2" customWidth="1"/>
    <col min="784" max="784" width="10.21875" style="2" customWidth="1"/>
    <col min="785" max="785" width="9.21875" style="2" customWidth="1"/>
    <col min="786" max="1024" width="9.21875" style="2"/>
    <col min="1025" max="1025" width="4.21875" style="2" customWidth="1"/>
    <col min="1026" max="1026" width="2.5546875" style="2" customWidth="1"/>
    <col min="1027" max="1028" width="9.21875" style="2"/>
    <col min="1029" max="1029" width="5.77734375" style="2" customWidth="1"/>
    <col min="1030" max="1030" width="8.77734375" style="2" customWidth="1"/>
    <col min="1031" max="1031" width="3.21875" style="2" customWidth="1"/>
    <col min="1032" max="1032" width="10.21875" style="2" customWidth="1"/>
    <col min="1033" max="1033" width="3.77734375" style="2" customWidth="1"/>
    <col min="1034" max="1034" width="8.21875" style="2" customWidth="1"/>
    <col min="1035" max="1035" width="6.21875" style="2" customWidth="1"/>
    <col min="1036" max="1036" width="5.5546875" style="2" customWidth="1"/>
    <col min="1037" max="1037" width="10.77734375" style="2" customWidth="1"/>
    <col min="1038" max="1038" width="8.21875" style="2" customWidth="1"/>
    <col min="1039" max="1039" width="12.21875" style="2" customWidth="1"/>
    <col min="1040" max="1040" width="10.21875" style="2" customWidth="1"/>
    <col min="1041" max="1041" width="9.21875" style="2" customWidth="1"/>
    <col min="1042" max="1280" width="9.21875" style="2"/>
    <col min="1281" max="1281" width="4.21875" style="2" customWidth="1"/>
    <col min="1282" max="1282" width="2.5546875" style="2" customWidth="1"/>
    <col min="1283" max="1284" width="9.21875" style="2"/>
    <col min="1285" max="1285" width="5.77734375" style="2" customWidth="1"/>
    <col min="1286" max="1286" width="8.77734375" style="2" customWidth="1"/>
    <col min="1287" max="1287" width="3.21875" style="2" customWidth="1"/>
    <col min="1288" max="1288" width="10.21875" style="2" customWidth="1"/>
    <col min="1289" max="1289" width="3.77734375" style="2" customWidth="1"/>
    <col min="1290" max="1290" width="8.21875" style="2" customWidth="1"/>
    <col min="1291" max="1291" width="6.21875" style="2" customWidth="1"/>
    <col min="1292" max="1292" width="5.5546875" style="2" customWidth="1"/>
    <col min="1293" max="1293" width="10.77734375" style="2" customWidth="1"/>
    <col min="1294" max="1294" width="8.21875" style="2" customWidth="1"/>
    <col min="1295" max="1295" width="12.21875" style="2" customWidth="1"/>
    <col min="1296" max="1296" width="10.21875" style="2" customWidth="1"/>
    <col min="1297" max="1297" width="9.21875" style="2" customWidth="1"/>
    <col min="1298" max="1536" width="9.21875" style="2"/>
    <col min="1537" max="1537" width="4.21875" style="2" customWidth="1"/>
    <col min="1538" max="1538" width="2.5546875" style="2" customWidth="1"/>
    <col min="1539" max="1540" width="9.21875" style="2"/>
    <col min="1541" max="1541" width="5.77734375" style="2" customWidth="1"/>
    <col min="1542" max="1542" width="8.77734375" style="2" customWidth="1"/>
    <col min="1543" max="1543" width="3.21875" style="2" customWidth="1"/>
    <col min="1544" max="1544" width="10.21875" style="2" customWidth="1"/>
    <col min="1545" max="1545" width="3.77734375" style="2" customWidth="1"/>
    <col min="1546" max="1546" width="8.21875" style="2" customWidth="1"/>
    <col min="1547" max="1547" width="6.21875" style="2" customWidth="1"/>
    <col min="1548" max="1548" width="5.5546875" style="2" customWidth="1"/>
    <col min="1549" max="1549" width="10.77734375" style="2" customWidth="1"/>
    <col min="1550" max="1550" width="8.21875" style="2" customWidth="1"/>
    <col min="1551" max="1551" width="12.21875" style="2" customWidth="1"/>
    <col min="1552" max="1552" width="10.21875" style="2" customWidth="1"/>
    <col min="1553" max="1553" width="9.21875" style="2" customWidth="1"/>
    <col min="1554" max="1792" width="9.21875" style="2"/>
    <col min="1793" max="1793" width="4.21875" style="2" customWidth="1"/>
    <col min="1794" max="1794" width="2.5546875" style="2" customWidth="1"/>
    <col min="1795" max="1796" width="9.21875" style="2"/>
    <col min="1797" max="1797" width="5.77734375" style="2" customWidth="1"/>
    <col min="1798" max="1798" width="8.77734375" style="2" customWidth="1"/>
    <col min="1799" max="1799" width="3.21875" style="2" customWidth="1"/>
    <col min="1800" max="1800" width="10.21875" style="2" customWidth="1"/>
    <col min="1801" max="1801" width="3.77734375" style="2" customWidth="1"/>
    <col min="1802" max="1802" width="8.21875" style="2" customWidth="1"/>
    <col min="1803" max="1803" width="6.21875" style="2" customWidth="1"/>
    <col min="1804" max="1804" width="5.5546875" style="2" customWidth="1"/>
    <col min="1805" max="1805" width="10.77734375" style="2" customWidth="1"/>
    <col min="1806" max="1806" width="8.21875" style="2" customWidth="1"/>
    <col min="1807" max="1807" width="12.21875" style="2" customWidth="1"/>
    <col min="1808" max="1808" width="10.21875" style="2" customWidth="1"/>
    <col min="1809" max="1809" width="9.21875" style="2" customWidth="1"/>
    <col min="1810" max="2048" width="9.21875" style="2"/>
    <col min="2049" max="2049" width="4.21875" style="2" customWidth="1"/>
    <col min="2050" max="2050" width="2.5546875" style="2" customWidth="1"/>
    <col min="2051" max="2052" width="9.21875" style="2"/>
    <col min="2053" max="2053" width="5.77734375" style="2" customWidth="1"/>
    <col min="2054" max="2054" width="8.77734375" style="2" customWidth="1"/>
    <col min="2055" max="2055" width="3.21875" style="2" customWidth="1"/>
    <col min="2056" max="2056" width="10.21875" style="2" customWidth="1"/>
    <col min="2057" max="2057" width="3.77734375" style="2" customWidth="1"/>
    <col min="2058" max="2058" width="8.21875" style="2" customWidth="1"/>
    <col min="2059" max="2059" width="6.21875" style="2" customWidth="1"/>
    <col min="2060" max="2060" width="5.5546875" style="2" customWidth="1"/>
    <col min="2061" max="2061" width="10.77734375" style="2" customWidth="1"/>
    <col min="2062" max="2062" width="8.21875" style="2" customWidth="1"/>
    <col min="2063" max="2063" width="12.21875" style="2" customWidth="1"/>
    <col min="2064" max="2064" width="10.21875" style="2" customWidth="1"/>
    <col min="2065" max="2065" width="9.21875" style="2" customWidth="1"/>
    <col min="2066" max="2304" width="9.21875" style="2"/>
    <col min="2305" max="2305" width="4.21875" style="2" customWidth="1"/>
    <col min="2306" max="2306" width="2.5546875" style="2" customWidth="1"/>
    <col min="2307" max="2308" width="9.21875" style="2"/>
    <col min="2309" max="2309" width="5.77734375" style="2" customWidth="1"/>
    <col min="2310" max="2310" width="8.77734375" style="2" customWidth="1"/>
    <col min="2311" max="2311" width="3.21875" style="2" customWidth="1"/>
    <col min="2312" max="2312" width="10.21875" style="2" customWidth="1"/>
    <col min="2313" max="2313" width="3.77734375" style="2" customWidth="1"/>
    <col min="2314" max="2314" width="8.21875" style="2" customWidth="1"/>
    <col min="2315" max="2315" width="6.21875" style="2" customWidth="1"/>
    <col min="2316" max="2316" width="5.5546875" style="2" customWidth="1"/>
    <col min="2317" max="2317" width="10.77734375" style="2" customWidth="1"/>
    <col min="2318" max="2318" width="8.21875" style="2" customWidth="1"/>
    <col min="2319" max="2319" width="12.21875" style="2" customWidth="1"/>
    <col min="2320" max="2320" width="10.21875" style="2" customWidth="1"/>
    <col min="2321" max="2321" width="9.21875" style="2" customWidth="1"/>
    <col min="2322" max="2560" width="9.21875" style="2"/>
    <col min="2561" max="2561" width="4.21875" style="2" customWidth="1"/>
    <col min="2562" max="2562" width="2.5546875" style="2" customWidth="1"/>
    <col min="2563" max="2564" width="9.21875" style="2"/>
    <col min="2565" max="2565" width="5.77734375" style="2" customWidth="1"/>
    <col min="2566" max="2566" width="8.77734375" style="2" customWidth="1"/>
    <col min="2567" max="2567" width="3.21875" style="2" customWidth="1"/>
    <col min="2568" max="2568" width="10.21875" style="2" customWidth="1"/>
    <col min="2569" max="2569" width="3.77734375" style="2" customWidth="1"/>
    <col min="2570" max="2570" width="8.21875" style="2" customWidth="1"/>
    <col min="2571" max="2571" width="6.21875" style="2" customWidth="1"/>
    <col min="2572" max="2572" width="5.5546875" style="2" customWidth="1"/>
    <col min="2573" max="2573" width="10.77734375" style="2" customWidth="1"/>
    <col min="2574" max="2574" width="8.21875" style="2" customWidth="1"/>
    <col min="2575" max="2575" width="12.21875" style="2" customWidth="1"/>
    <col min="2576" max="2576" width="10.21875" style="2" customWidth="1"/>
    <col min="2577" max="2577" width="9.21875" style="2" customWidth="1"/>
    <col min="2578" max="2816" width="9.21875" style="2"/>
    <col min="2817" max="2817" width="4.21875" style="2" customWidth="1"/>
    <col min="2818" max="2818" width="2.5546875" style="2" customWidth="1"/>
    <col min="2819" max="2820" width="9.21875" style="2"/>
    <col min="2821" max="2821" width="5.77734375" style="2" customWidth="1"/>
    <col min="2822" max="2822" width="8.77734375" style="2" customWidth="1"/>
    <col min="2823" max="2823" width="3.21875" style="2" customWidth="1"/>
    <col min="2824" max="2824" width="10.21875" style="2" customWidth="1"/>
    <col min="2825" max="2825" width="3.77734375" style="2" customWidth="1"/>
    <col min="2826" max="2826" width="8.21875" style="2" customWidth="1"/>
    <col min="2827" max="2827" width="6.21875" style="2" customWidth="1"/>
    <col min="2828" max="2828" width="5.5546875" style="2" customWidth="1"/>
    <col min="2829" max="2829" width="10.77734375" style="2" customWidth="1"/>
    <col min="2830" max="2830" width="8.21875" style="2" customWidth="1"/>
    <col min="2831" max="2831" width="12.21875" style="2" customWidth="1"/>
    <col min="2832" max="2832" width="10.21875" style="2" customWidth="1"/>
    <col min="2833" max="2833" width="9.21875" style="2" customWidth="1"/>
    <col min="2834" max="3072" width="9.21875" style="2"/>
    <col min="3073" max="3073" width="4.21875" style="2" customWidth="1"/>
    <col min="3074" max="3074" width="2.5546875" style="2" customWidth="1"/>
    <col min="3075" max="3076" width="9.21875" style="2"/>
    <col min="3077" max="3077" width="5.77734375" style="2" customWidth="1"/>
    <col min="3078" max="3078" width="8.77734375" style="2" customWidth="1"/>
    <col min="3079" max="3079" width="3.21875" style="2" customWidth="1"/>
    <col min="3080" max="3080" width="10.21875" style="2" customWidth="1"/>
    <col min="3081" max="3081" width="3.77734375" style="2" customWidth="1"/>
    <col min="3082" max="3082" width="8.21875" style="2" customWidth="1"/>
    <col min="3083" max="3083" width="6.21875" style="2" customWidth="1"/>
    <col min="3084" max="3084" width="5.5546875" style="2" customWidth="1"/>
    <col min="3085" max="3085" width="10.77734375" style="2" customWidth="1"/>
    <col min="3086" max="3086" width="8.21875" style="2" customWidth="1"/>
    <col min="3087" max="3087" width="12.21875" style="2" customWidth="1"/>
    <col min="3088" max="3088" width="10.21875" style="2" customWidth="1"/>
    <col min="3089" max="3089" width="9.21875" style="2" customWidth="1"/>
    <col min="3090" max="3328" width="9.21875" style="2"/>
    <col min="3329" max="3329" width="4.21875" style="2" customWidth="1"/>
    <col min="3330" max="3330" width="2.5546875" style="2" customWidth="1"/>
    <col min="3331" max="3332" width="9.21875" style="2"/>
    <col min="3333" max="3333" width="5.77734375" style="2" customWidth="1"/>
    <col min="3334" max="3334" width="8.77734375" style="2" customWidth="1"/>
    <col min="3335" max="3335" width="3.21875" style="2" customWidth="1"/>
    <col min="3336" max="3336" width="10.21875" style="2" customWidth="1"/>
    <col min="3337" max="3337" width="3.77734375" style="2" customWidth="1"/>
    <col min="3338" max="3338" width="8.21875" style="2" customWidth="1"/>
    <col min="3339" max="3339" width="6.21875" style="2" customWidth="1"/>
    <col min="3340" max="3340" width="5.5546875" style="2" customWidth="1"/>
    <col min="3341" max="3341" width="10.77734375" style="2" customWidth="1"/>
    <col min="3342" max="3342" width="8.21875" style="2" customWidth="1"/>
    <col min="3343" max="3343" width="12.21875" style="2" customWidth="1"/>
    <col min="3344" max="3344" width="10.21875" style="2" customWidth="1"/>
    <col min="3345" max="3345" width="9.21875" style="2" customWidth="1"/>
    <col min="3346" max="3584" width="9.21875" style="2"/>
    <col min="3585" max="3585" width="4.21875" style="2" customWidth="1"/>
    <col min="3586" max="3586" width="2.5546875" style="2" customWidth="1"/>
    <col min="3587" max="3588" width="9.21875" style="2"/>
    <col min="3589" max="3589" width="5.77734375" style="2" customWidth="1"/>
    <col min="3590" max="3590" width="8.77734375" style="2" customWidth="1"/>
    <col min="3591" max="3591" width="3.21875" style="2" customWidth="1"/>
    <col min="3592" max="3592" width="10.21875" style="2" customWidth="1"/>
    <col min="3593" max="3593" width="3.77734375" style="2" customWidth="1"/>
    <col min="3594" max="3594" width="8.21875" style="2" customWidth="1"/>
    <col min="3595" max="3595" width="6.21875" style="2" customWidth="1"/>
    <col min="3596" max="3596" width="5.5546875" style="2" customWidth="1"/>
    <col min="3597" max="3597" width="10.77734375" style="2" customWidth="1"/>
    <col min="3598" max="3598" width="8.21875" style="2" customWidth="1"/>
    <col min="3599" max="3599" width="12.21875" style="2" customWidth="1"/>
    <col min="3600" max="3600" width="10.21875" style="2" customWidth="1"/>
    <col min="3601" max="3601" width="9.21875" style="2" customWidth="1"/>
    <col min="3602" max="3840" width="9.21875" style="2"/>
    <col min="3841" max="3841" width="4.21875" style="2" customWidth="1"/>
    <col min="3842" max="3842" width="2.5546875" style="2" customWidth="1"/>
    <col min="3843" max="3844" width="9.21875" style="2"/>
    <col min="3845" max="3845" width="5.77734375" style="2" customWidth="1"/>
    <col min="3846" max="3846" width="8.77734375" style="2" customWidth="1"/>
    <col min="3847" max="3847" width="3.21875" style="2" customWidth="1"/>
    <col min="3848" max="3848" width="10.21875" style="2" customWidth="1"/>
    <col min="3849" max="3849" width="3.77734375" style="2" customWidth="1"/>
    <col min="3850" max="3850" width="8.21875" style="2" customWidth="1"/>
    <col min="3851" max="3851" width="6.21875" style="2" customWidth="1"/>
    <col min="3852" max="3852" width="5.5546875" style="2" customWidth="1"/>
    <col min="3853" max="3853" width="10.77734375" style="2" customWidth="1"/>
    <col min="3854" max="3854" width="8.21875" style="2" customWidth="1"/>
    <col min="3855" max="3855" width="12.21875" style="2" customWidth="1"/>
    <col min="3856" max="3856" width="10.21875" style="2" customWidth="1"/>
    <col min="3857" max="3857" width="9.21875" style="2" customWidth="1"/>
    <col min="3858" max="4096" width="9.21875" style="2"/>
    <col min="4097" max="4097" width="4.21875" style="2" customWidth="1"/>
    <col min="4098" max="4098" width="2.5546875" style="2" customWidth="1"/>
    <col min="4099" max="4100" width="9.21875" style="2"/>
    <col min="4101" max="4101" width="5.77734375" style="2" customWidth="1"/>
    <col min="4102" max="4102" width="8.77734375" style="2" customWidth="1"/>
    <col min="4103" max="4103" width="3.21875" style="2" customWidth="1"/>
    <col min="4104" max="4104" width="10.21875" style="2" customWidth="1"/>
    <col min="4105" max="4105" width="3.77734375" style="2" customWidth="1"/>
    <col min="4106" max="4106" width="8.21875" style="2" customWidth="1"/>
    <col min="4107" max="4107" width="6.21875" style="2" customWidth="1"/>
    <col min="4108" max="4108" width="5.5546875" style="2" customWidth="1"/>
    <col min="4109" max="4109" width="10.77734375" style="2" customWidth="1"/>
    <col min="4110" max="4110" width="8.21875" style="2" customWidth="1"/>
    <col min="4111" max="4111" width="12.21875" style="2" customWidth="1"/>
    <col min="4112" max="4112" width="10.21875" style="2" customWidth="1"/>
    <col min="4113" max="4113" width="9.21875" style="2" customWidth="1"/>
    <col min="4114" max="4352" width="9.21875" style="2"/>
    <col min="4353" max="4353" width="4.21875" style="2" customWidth="1"/>
    <col min="4354" max="4354" width="2.5546875" style="2" customWidth="1"/>
    <col min="4355" max="4356" width="9.21875" style="2"/>
    <col min="4357" max="4357" width="5.77734375" style="2" customWidth="1"/>
    <col min="4358" max="4358" width="8.77734375" style="2" customWidth="1"/>
    <col min="4359" max="4359" width="3.21875" style="2" customWidth="1"/>
    <col min="4360" max="4360" width="10.21875" style="2" customWidth="1"/>
    <col min="4361" max="4361" width="3.77734375" style="2" customWidth="1"/>
    <col min="4362" max="4362" width="8.21875" style="2" customWidth="1"/>
    <col min="4363" max="4363" width="6.21875" style="2" customWidth="1"/>
    <col min="4364" max="4364" width="5.5546875" style="2" customWidth="1"/>
    <col min="4365" max="4365" width="10.77734375" style="2" customWidth="1"/>
    <col min="4366" max="4366" width="8.21875" style="2" customWidth="1"/>
    <col min="4367" max="4367" width="12.21875" style="2" customWidth="1"/>
    <col min="4368" max="4368" width="10.21875" style="2" customWidth="1"/>
    <col min="4369" max="4369" width="9.21875" style="2" customWidth="1"/>
    <col min="4370" max="4608" width="9.21875" style="2"/>
    <col min="4609" max="4609" width="4.21875" style="2" customWidth="1"/>
    <col min="4610" max="4610" width="2.5546875" style="2" customWidth="1"/>
    <col min="4611" max="4612" width="9.21875" style="2"/>
    <col min="4613" max="4613" width="5.77734375" style="2" customWidth="1"/>
    <col min="4614" max="4614" width="8.77734375" style="2" customWidth="1"/>
    <col min="4615" max="4615" width="3.21875" style="2" customWidth="1"/>
    <col min="4616" max="4616" width="10.21875" style="2" customWidth="1"/>
    <col min="4617" max="4617" width="3.77734375" style="2" customWidth="1"/>
    <col min="4618" max="4618" width="8.21875" style="2" customWidth="1"/>
    <col min="4619" max="4619" width="6.21875" style="2" customWidth="1"/>
    <col min="4620" max="4620" width="5.5546875" style="2" customWidth="1"/>
    <col min="4621" max="4621" width="10.77734375" style="2" customWidth="1"/>
    <col min="4622" max="4622" width="8.21875" style="2" customWidth="1"/>
    <col min="4623" max="4623" width="12.21875" style="2" customWidth="1"/>
    <col min="4624" max="4624" width="10.21875" style="2" customWidth="1"/>
    <col min="4625" max="4625" width="9.21875" style="2" customWidth="1"/>
    <col min="4626" max="4864" width="9.21875" style="2"/>
    <col min="4865" max="4865" width="4.21875" style="2" customWidth="1"/>
    <col min="4866" max="4866" width="2.5546875" style="2" customWidth="1"/>
    <col min="4867" max="4868" width="9.21875" style="2"/>
    <col min="4869" max="4869" width="5.77734375" style="2" customWidth="1"/>
    <col min="4870" max="4870" width="8.77734375" style="2" customWidth="1"/>
    <col min="4871" max="4871" width="3.21875" style="2" customWidth="1"/>
    <col min="4872" max="4872" width="10.21875" style="2" customWidth="1"/>
    <col min="4873" max="4873" width="3.77734375" style="2" customWidth="1"/>
    <col min="4874" max="4874" width="8.21875" style="2" customWidth="1"/>
    <col min="4875" max="4875" width="6.21875" style="2" customWidth="1"/>
    <col min="4876" max="4876" width="5.5546875" style="2" customWidth="1"/>
    <col min="4877" max="4877" width="10.77734375" style="2" customWidth="1"/>
    <col min="4878" max="4878" width="8.21875" style="2" customWidth="1"/>
    <col min="4879" max="4879" width="12.21875" style="2" customWidth="1"/>
    <col min="4880" max="4880" width="10.21875" style="2" customWidth="1"/>
    <col min="4881" max="4881" width="9.21875" style="2" customWidth="1"/>
    <col min="4882" max="5120" width="9.21875" style="2"/>
    <col min="5121" max="5121" width="4.21875" style="2" customWidth="1"/>
    <col min="5122" max="5122" width="2.5546875" style="2" customWidth="1"/>
    <col min="5123" max="5124" width="9.21875" style="2"/>
    <col min="5125" max="5125" width="5.77734375" style="2" customWidth="1"/>
    <col min="5126" max="5126" width="8.77734375" style="2" customWidth="1"/>
    <col min="5127" max="5127" width="3.21875" style="2" customWidth="1"/>
    <col min="5128" max="5128" width="10.21875" style="2" customWidth="1"/>
    <col min="5129" max="5129" width="3.77734375" style="2" customWidth="1"/>
    <col min="5130" max="5130" width="8.21875" style="2" customWidth="1"/>
    <col min="5131" max="5131" width="6.21875" style="2" customWidth="1"/>
    <col min="5132" max="5132" width="5.5546875" style="2" customWidth="1"/>
    <col min="5133" max="5133" width="10.77734375" style="2" customWidth="1"/>
    <col min="5134" max="5134" width="8.21875" style="2" customWidth="1"/>
    <col min="5135" max="5135" width="12.21875" style="2" customWidth="1"/>
    <col min="5136" max="5136" width="10.21875" style="2" customWidth="1"/>
    <col min="5137" max="5137" width="9.21875" style="2" customWidth="1"/>
    <col min="5138" max="5376" width="9.21875" style="2"/>
    <col min="5377" max="5377" width="4.21875" style="2" customWidth="1"/>
    <col min="5378" max="5378" width="2.5546875" style="2" customWidth="1"/>
    <col min="5379" max="5380" width="9.21875" style="2"/>
    <col min="5381" max="5381" width="5.77734375" style="2" customWidth="1"/>
    <col min="5382" max="5382" width="8.77734375" style="2" customWidth="1"/>
    <col min="5383" max="5383" width="3.21875" style="2" customWidth="1"/>
    <col min="5384" max="5384" width="10.21875" style="2" customWidth="1"/>
    <col min="5385" max="5385" width="3.77734375" style="2" customWidth="1"/>
    <col min="5386" max="5386" width="8.21875" style="2" customWidth="1"/>
    <col min="5387" max="5387" width="6.21875" style="2" customWidth="1"/>
    <col min="5388" max="5388" width="5.5546875" style="2" customWidth="1"/>
    <col min="5389" max="5389" width="10.77734375" style="2" customWidth="1"/>
    <col min="5390" max="5390" width="8.21875" style="2" customWidth="1"/>
    <col min="5391" max="5391" width="12.21875" style="2" customWidth="1"/>
    <col min="5392" max="5392" width="10.21875" style="2" customWidth="1"/>
    <col min="5393" max="5393" width="9.21875" style="2" customWidth="1"/>
    <col min="5394" max="5632" width="9.21875" style="2"/>
    <col min="5633" max="5633" width="4.21875" style="2" customWidth="1"/>
    <col min="5634" max="5634" width="2.5546875" style="2" customWidth="1"/>
    <col min="5635" max="5636" width="9.21875" style="2"/>
    <col min="5637" max="5637" width="5.77734375" style="2" customWidth="1"/>
    <col min="5638" max="5638" width="8.77734375" style="2" customWidth="1"/>
    <col min="5639" max="5639" width="3.21875" style="2" customWidth="1"/>
    <col min="5640" max="5640" width="10.21875" style="2" customWidth="1"/>
    <col min="5641" max="5641" width="3.77734375" style="2" customWidth="1"/>
    <col min="5642" max="5642" width="8.21875" style="2" customWidth="1"/>
    <col min="5643" max="5643" width="6.21875" style="2" customWidth="1"/>
    <col min="5644" max="5644" width="5.5546875" style="2" customWidth="1"/>
    <col min="5645" max="5645" width="10.77734375" style="2" customWidth="1"/>
    <col min="5646" max="5646" width="8.21875" style="2" customWidth="1"/>
    <col min="5647" max="5647" width="12.21875" style="2" customWidth="1"/>
    <col min="5648" max="5648" width="10.21875" style="2" customWidth="1"/>
    <col min="5649" max="5649" width="9.21875" style="2" customWidth="1"/>
    <col min="5650" max="5888" width="9.21875" style="2"/>
    <col min="5889" max="5889" width="4.21875" style="2" customWidth="1"/>
    <col min="5890" max="5890" width="2.5546875" style="2" customWidth="1"/>
    <col min="5891" max="5892" width="9.21875" style="2"/>
    <col min="5893" max="5893" width="5.77734375" style="2" customWidth="1"/>
    <col min="5894" max="5894" width="8.77734375" style="2" customWidth="1"/>
    <col min="5895" max="5895" width="3.21875" style="2" customWidth="1"/>
    <col min="5896" max="5896" width="10.21875" style="2" customWidth="1"/>
    <col min="5897" max="5897" width="3.77734375" style="2" customWidth="1"/>
    <col min="5898" max="5898" width="8.21875" style="2" customWidth="1"/>
    <col min="5899" max="5899" width="6.21875" style="2" customWidth="1"/>
    <col min="5900" max="5900" width="5.5546875" style="2" customWidth="1"/>
    <col min="5901" max="5901" width="10.77734375" style="2" customWidth="1"/>
    <col min="5902" max="5902" width="8.21875" style="2" customWidth="1"/>
    <col min="5903" max="5903" width="12.21875" style="2" customWidth="1"/>
    <col min="5904" max="5904" width="10.21875" style="2" customWidth="1"/>
    <col min="5905" max="5905" width="9.21875" style="2" customWidth="1"/>
    <col min="5906" max="6144" width="9.21875" style="2"/>
    <col min="6145" max="6145" width="4.21875" style="2" customWidth="1"/>
    <col min="6146" max="6146" width="2.5546875" style="2" customWidth="1"/>
    <col min="6147" max="6148" width="9.21875" style="2"/>
    <col min="6149" max="6149" width="5.77734375" style="2" customWidth="1"/>
    <col min="6150" max="6150" width="8.77734375" style="2" customWidth="1"/>
    <col min="6151" max="6151" width="3.21875" style="2" customWidth="1"/>
    <col min="6152" max="6152" width="10.21875" style="2" customWidth="1"/>
    <col min="6153" max="6153" width="3.77734375" style="2" customWidth="1"/>
    <col min="6154" max="6154" width="8.21875" style="2" customWidth="1"/>
    <col min="6155" max="6155" width="6.21875" style="2" customWidth="1"/>
    <col min="6156" max="6156" width="5.5546875" style="2" customWidth="1"/>
    <col min="6157" max="6157" width="10.77734375" style="2" customWidth="1"/>
    <col min="6158" max="6158" width="8.21875" style="2" customWidth="1"/>
    <col min="6159" max="6159" width="12.21875" style="2" customWidth="1"/>
    <col min="6160" max="6160" width="10.21875" style="2" customWidth="1"/>
    <col min="6161" max="6161" width="9.21875" style="2" customWidth="1"/>
    <col min="6162" max="6400" width="9.21875" style="2"/>
    <col min="6401" max="6401" width="4.21875" style="2" customWidth="1"/>
    <col min="6402" max="6402" width="2.5546875" style="2" customWidth="1"/>
    <col min="6403" max="6404" width="9.21875" style="2"/>
    <col min="6405" max="6405" width="5.77734375" style="2" customWidth="1"/>
    <col min="6406" max="6406" width="8.77734375" style="2" customWidth="1"/>
    <col min="6407" max="6407" width="3.21875" style="2" customWidth="1"/>
    <col min="6408" max="6408" width="10.21875" style="2" customWidth="1"/>
    <col min="6409" max="6409" width="3.77734375" style="2" customWidth="1"/>
    <col min="6410" max="6410" width="8.21875" style="2" customWidth="1"/>
    <col min="6411" max="6411" width="6.21875" style="2" customWidth="1"/>
    <col min="6412" max="6412" width="5.5546875" style="2" customWidth="1"/>
    <col min="6413" max="6413" width="10.77734375" style="2" customWidth="1"/>
    <col min="6414" max="6414" width="8.21875" style="2" customWidth="1"/>
    <col min="6415" max="6415" width="12.21875" style="2" customWidth="1"/>
    <col min="6416" max="6416" width="10.21875" style="2" customWidth="1"/>
    <col min="6417" max="6417" width="9.21875" style="2" customWidth="1"/>
    <col min="6418" max="6656" width="9.21875" style="2"/>
    <col min="6657" max="6657" width="4.21875" style="2" customWidth="1"/>
    <col min="6658" max="6658" width="2.5546875" style="2" customWidth="1"/>
    <col min="6659" max="6660" width="9.21875" style="2"/>
    <col min="6661" max="6661" width="5.77734375" style="2" customWidth="1"/>
    <col min="6662" max="6662" width="8.77734375" style="2" customWidth="1"/>
    <col min="6663" max="6663" width="3.21875" style="2" customWidth="1"/>
    <col min="6664" max="6664" width="10.21875" style="2" customWidth="1"/>
    <col min="6665" max="6665" width="3.77734375" style="2" customWidth="1"/>
    <col min="6666" max="6666" width="8.21875" style="2" customWidth="1"/>
    <col min="6667" max="6667" width="6.21875" style="2" customWidth="1"/>
    <col min="6668" max="6668" width="5.5546875" style="2" customWidth="1"/>
    <col min="6669" max="6669" width="10.77734375" style="2" customWidth="1"/>
    <col min="6670" max="6670" width="8.21875" style="2" customWidth="1"/>
    <col min="6671" max="6671" width="12.21875" style="2" customWidth="1"/>
    <col min="6672" max="6672" width="10.21875" style="2" customWidth="1"/>
    <col min="6673" max="6673" width="9.21875" style="2" customWidth="1"/>
    <col min="6674" max="6912" width="9.21875" style="2"/>
    <col min="6913" max="6913" width="4.21875" style="2" customWidth="1"/>
    <col min="6914" max="6914" width="2.5546875" style="2" customWidth="1"/>
    <col min="6915" max="6916" width="9.21875" style="2"/>
    <col min="6917" max="6917" width="5.77734375" style="2" customWidth="1"/>
    <col min="6918" max="6918" width="8.77734375" style="2" customWidth="1"/>
    <col min="6919" max="6919" width="3.21875" style="2" customWidth="1"/>
    <col min="6920" max="6920" width="10.21875" style="2" customWidth="1"/>
    <col min="6921" max="6921" width="3.77734375" style="2" customWidth="1"/>
    <col min="6922" max="6922" width="8.21875" style="2" customWidth="1"/>
    <col min="6923" max="6923" width="6.21875" style="2" customWidth="1"/>
    <col min="6924" max="6924" width="5.5546875" style="2" customWidth="1"/>
    <col min="6925" max="6925" width="10.77734375" style="2" customWidth="1"/>
    <col min="6926" max="6926" width="8.21875" style="2" customWidth="1"/>
    <col min="6927" max="6927" width="12.21875" style="2" customWidth="1"/>
    <col min="6928" max="6928" width="10.21875" style="2" customWidth="1"/>
    <col min="6929" max="6929" width="9.21875" style="2" customWidth="1"/>
    <col min="6930" max="7168" width="9.21875" style="2"/>
    <col min="7169" max="7169" width="4.21875" style="2" customWidth="1"/>
    <col min="7170" max="7170" width="2.5546875" style="2" customWidth="1"/>
    <col min="7171" max="7172" width="9.21875" style="2"/>
    <col min="7173" max="7173" width="5.77734375" style="2" customWidth="1"/>
    <col min="7174" max="7174" width="8.77734375" style="2" customWidth="1"/>
    <col min="7175" max="7175" width="3.21875" style="2" customWidth="1"/>
    <col min="7176" max="7176" width="10.21875" style="2" customWidth="1"/>
    <col min="7177" max="7177" width="3.77734375" style="2" customWidth="1"/>
    <col min="7178" max="7178" width="8.21875" style="2" customWidth="1"/>
    <col min="7179" max="7179" width="6.21875" style="2" customWidth="1"/>
    <col min="7180" max="7180" width="5.5546875" style="2" customWidth="1"/>
    <col min="7181" max="7181" width="10.77734375" style="2" customWidth="1"/>
    <col min="7182" max="7182" width="8.21875" style="2" customWidth="1"/>
    <col min="7183" max="7183" width="12.21875" style="2" customWidth="1"/>
    <col min="7184" max="7184" width="10.21875" style="2" customWidth="1"/>
    <col min="7185" max="7185" width="9.21875" style="2" customWidth="1"/>
    <col min="7186" max="7424" width="9.21875" style="2"/>
    <col min="7425" max="7425" width="4.21875" style="2" customWidth="1"/>
    <col min="7426" max="7426" width="2.5546875" style="2" customWidth="1"/>
    <col min="7427" max="7428" width="9.21875" style="2"/>
    <col min="7429" max="7429" width="5.77734375" style="2" customWidth="1"/>
    <col min="7430" max="7430" width="8.77734375" style="2" customWidth="1"/>
    <col min="7431" max="7431" width="3.21875" style="2" customWidth="1"/>
    <col min="7432" max="7432" width="10.21875" style="2" customWidth="1"/>
    <col min="7433" max="7433" width="3.77734375" style="2" customWidth="1"/>
    <col min="7434" max="7434" width="8.21875" style="2" customWidth="1"/>
    <col min="7435" max="7435" width="6.21875" style="2" customWidth="1"/>
    <col min="7436" max="7436" width="5.5546875" style="2" customWidth="1"/>
    <col min="7437" max="7437" width="10.77734375" style="2" customWidth="1"/>
    <col min="7438" max="7438" width="8.21875" style="2" customWidth="1"/>
    <col min="7439" max="7439" width="12.21875" style="2" customWidth="1"/>
    <col min="7440" max="7440" width="10.21875" style="2" customWidth="1"/>
    <col min="7441" max="7441" width="9.21875" style="2" customWidth="1"/>
    <col min="7442" max="7680" width="9.21875" style="2"/>
    <col min="7681" max="7681" width="4.21875" style="2" customWidth="1"/>
    <col min="7682" max="7682" width="2.5546875" style="2" customWidth="1"/>
    <col min="7683" max="7684" width="9.21875" style="2"/>
    <col min="7685" max="7685" width="5.77734375" style="2" customWidth="1"/>
    <col min="7686" max="7686" width="8.77734375" style="2" customWidth="1"/>
    <col min="7687" max="7687" width="3.21875" style="2" customWidth="1"/>
    <col min="7688" max="7688" width="10.21875" style="2" customWidth="1"/>
    <col min="7689" max="7689" width="3.77734375" style="2" customWidth="1"/>
    <col min="7690" max="7690" width="8.21875" style="2" customWidth="1"/>
    <col min="7691" max="7691" width="6.21875" style="2" customWidth="1"/>
    <col min="7692" max="7692" width="5.5546875" style="2" customWidth="1"/>
    <col min="7693" max="7693" width="10.77734375" style="2" customWidth="1"/>
    <col min="7694" max="7694" width="8.21875" style="2" customWidth="1"/>
    <col min="7695" max="7695" width="12.21875" style="2" customWidth="1"/>
    <col min="7696" max="7696" width="10.21875" style="2" customWidth="1"/>
    <col min="7697" max="7697" width="9.21875" style="2" customWidth="1"/>
    <col min="7698" max="7936" width="9.21875" style="2"/>
    <col min="7937" max="7937" width="4.21875" style="2" customWidth="1"/>
    <col min="7938" max="7938" width="2.5546875" style="2" customWidth="1"/>
    <col min="7939" max="7940" width="9.21875" style="2"/>
    <col min="7941" max="7941" width="5.77734375" style="2" customWidth="1"/>
    <col min="7942" max="7942" width="8.77734375" style="2" customWidth="1"/>
    <col min="7943" max="7943" width="3.21875" style="2" customWidth="1"/>
    <col min="7944" max="7944" width="10.21875" style="2" customWidth="1"/>
    <col min="7945" max="7945" width="3.77734375" style="2" customWidth="1"/>
    <col min="7946" max="7946" width="8.21875" style="2" customWidth="1"/>
    <col min="7947" max="7947" width="6.21875" style="2" customWidth="1"/>
    <col min="7948" max="7948" width="5.5546875" style="2" customWidth="1"/>
    <col min="7949" max="7949" width="10.77734375" style="2" customWidth="1"/>
    <col min="7950" max="7950" width="8.21875" style="2" customWidth="1"/>
    <col min="7951" max="7951" width="12.21875" style="2" customWidth="1"/>
    <col min="7952" max="7952" width="10.21875" style="2" customWidth="1"/>
    <col min="7953" max="7953" width="9.21875" style="2" customWidth="1"/>
    <col min="7954" max="8192" width="9.21875" style="2"/>
    <col min="8193" max="8193" width="4.21875" style="2" customWidth="1"/>
    <col min="8194" max="8194" width="2.5546875" style="2" customWidth="1"/>
    <col min="8195" max="8196" width="9.21875" style="2"/>
    <col min="8197" max="8197" width="5.77734375" style="2" customWidth="1"/>
    <col min="8198" max="8198" width="8.77734375" style="2" customWidth="1"/>
    <col min="8199" max="8199" width="3.21875" style="2" customWidth="1"/>
    <col min="8200" max="8200" width="10.21875" style="2" customWidth="1"/>
    <col min="8201" max="8201" width="3.77734375" style="2" customWidth="1"/>
    <col min="8202" max="8202" width="8.21875" style="2" customWidth="1"/>
    <col min="8203" max="8203" width="6.21875" style="2" customWidth="1"/>
    <col min="8204" max="8204" width="5.5546875" style="2" customWidth="1"/>
    <col min="8205" max="8205" width="10.77734375" style="2" customWidth="1"/>
    <col min="8206" max="8206" width="8.21875" style="2" customWidth="1"/>
    <col min="8207" max="8207" width="12.21875" style="2" customWidth="1"/>
    <col min="8208" max="8208" width="10.21875" style="2" customWidth="1"/>
    <col min="8209" max="8209" width="9.21875" style="2" customWidth="1"/>
    <col min="8210" max="8448" width="9.21875" style="2"/>
    <col min="8449" max="8449" width="4.21875" style="2" customWidth="1"/>
    <col min="8450" max="8450" width="2.5546875" style="2" customWidth="1"/>
    <col min="8451" max="8452" width="9.21875" style="2"/>
    <col min="8453" max="8453" width="5.77734375" style="2" customWidth="1"/>
    <col min="8454" max="8454" width="8.77734375" style="2" customWidth="1"/>
    <col min="8455" max="8455" width="3.21875" style="2" customWidth="1"/>
    <col min="8456" max="8456" width="10.21875" style="2" customWidth="1"/>
    <col min="8457" max="8457" width="3.77734375" style="2" customWidth="1"/>
    <col min="8458" max="8458" width="8.21875" style="2" customWidth="1"/>
    <col min="8459" max="8459" width="6.21875" style="2" customWidth="1"/>
    <col min="8460" max="8460" width="5.5546875" style="2" customWidth="1"/>
    <col min="8461" max="8461" width="10.77734375" style="2" customWidth="1"/>
    <col min="8462" max="8462" width="8.21875" style="2" customWidth="1"/>
    <col min="8463" max="8463" width="12.21875" style="2" customWidth="1"/>
    <col min="8464" max="8464" width="10.21875" style="2" customWidth="1"/>
    <col min="8465" max="8465" width="9.21875" style="2" customWidth="1"/>
    <col min="8466" max="8704" width="9.21875" style="2"/>
    <col min="8705" max="8705" width="4.21875" style="2" customWidth="1"/>
    <col min="8706" max="8706" width="2.5546875" style="2" customWidth="1"/>
    <col min="8707" max="8708" width="9.21875" style="2"/>
    <col min="8709" max="8709" width="5.77734375" style="2" customWidth="1"/>
    <col min="8710" max="8710" width="8.77734375" style="2" customWidth="1"/>
    <col min="8711" max="8711" width="3.21875" style="2" customWidth="1"/>
    <col min="8712" max="8712" width="10.21875" style="2" customWidth="1"/>
    <col min="8713" max="8713" width="3.77734375" style="2" customWidth="1"/>
    <col min="8714" max="8714" width="8.21875" style="2" customWidth="1"/>
    <col min="8715" max="8715" width="6.21875" style="2" customWidth="1"/>
    <col min="8716" max="8716" width="5.5546875" style="2" customWidth="1"/>
    <col min="8717" max="8717" width="10.77734375" style="2" customWidth="1"/>
    <col min="8718" max="8718" width="8.21875" style="2" customWidth="1"/>
    <col min="8719" max="8719" width="12.21875" style="2" customWidth="1"/>
    <col min="8720" max="8720" width="10.21875" style="2" customWidth="1"/>
    <col min="8721" max="8721" width="9.21875" style="2" customWidth="1"/>
    <col min="8722" max="8960" width="9.21875" style="2"/>
    <col min="8961" max="8961" width="4.21875" style="2" customWidth="1"/>
    <col min="8962" max="8962" width="2.5546875" style="2" customWidth="1"/>
    <col min="8963" max="8964" width="9.21875" style="2"/>
    <col min="8965" max="8965" width="5.77734375" style="2" customWidth="1"/>
    <col min="8966" max="8966" width="8.77734375" style="2" customWidth="1"/>
    <col min="8967" max="8967" width="3.21875" style="2" customWidth="1"/>
    <col min="8968" max="8968" width="10.21875" style="2" customWidth="1"/>
    <col min="8969" max="8969" width="3.77734375" style="2" customWidth="1"/>
    <col min="8970" max="8970" width="8.21875" style="2" customWidth="1"/>
    <col min="8971" max="8971" width="6.21875" style="2" customWidth="1"/>
    <col min="8972" max="8972" width="5.5546875" style="2" customWidth="1"/>
    <col min="8973" max="8973" width="10.77734375" style="2" customWidth="1"/>
    <col min="8974" max="8974" width="8.21875" style="2" customWidth="1"/>
    <col min="8975" max="8975" width="12.21875" style="2" customWidth="1"/>
    <col min="8976" max="8976" width="10.21875" style="2" customWidth="1"/>
    <col min="8977" max="8977" width="9.21875" style="2" customWidth="1"/>
    <col min="8978" max="9216" width="9.21875" style="2"/>
    <col min="9217" max="9217" width="4.21875" style="2" customWidth="1"/>
    <col min="9218" max="9218" width="2.5546875" style="2" customWidth="1"/>
    <col min="9219" max="9220" width="9.21875" style="2"/>
    <col min="9221" max="9221" width="5.77734375" style="2" customWidth="1"/>
    <col min="9222" max="9222" width="8.77734375" style="2" customWidth="1"/>
    <col min="9223" max="9223" width="3.21875" style="2" customWidth="1"/>
    <col min="9224" max="9224" width="10.21875" style="2" customWidth="1"/>
    <col min="9225" max="9225" width="3.77734375" style="2" customWidth="1"/>
    <col min="9226" max="9226" width="8.21875" style="2" customWidth="1"/>
    <col min="9227" max="9227" width="6.21875" style="2" customWidth="1"/>
    <col min="9228" max="9228" width="5.5546875" style="2" customWidth="1"/>
    <col min="9229" max="9229" width="10.77734375" style="2" customWidth="1"/>
    <col min="9230" max="9230" width="8.21875" style="2" customWidth="1"/>
    <col min="9231" max="9231" width="12.21875" style="2" customWidth="1"/>
    <col min="9232" max="9232" width="10.21875" style="2" customWidth="1"/>
    <col min="9233" max="9233" width="9.21875" style="2" customWidth="1"/>
    <col min="9234" max="9472" width="9.21875" style="2"/>
    <col min="9473" max="9473" width="4.21875" style="2" customWidth="1"/>
    <col min="9474" max="9474" width="2.5546875" style="2" customWidth="1"/>
    <col min="9475" max="9476" width="9.21875" style="2"/>
    <col min="9477" max="9477" width="5.77734375" style="2" customWidth="1"/>
    <col min="9478" max="9478" width="8.77734375" style="2" customWidth="1"/>
    <col min="9479" max="9479" width="3.21875" style="2" customWidth="1"/>
    <col min="9480" max="9480" width="10.21875" style="2" customWidth="1"/>
    <col min="9481" max="9481" width="3.77734375" style="2" customWidth="1"/>
    <col min="9482" max="9482" width="8.21875" style="2" customWidth="1"/>
    <col min="9483" max="9483" width="6.21875" style="2" customWidth="1"/>
    <col min="9484" max="9484" width="5.5546875" style="2" customWidth="1"/>
    <col min="9485" max="9485" width="10.77734375" style="2" customWidth="1"/>
    <col min="9486" max="9486" width="8.21875" style="2" customWidth="1"/>
    <col min="9487" max="9487" width="12.21875" style="2" customWidth="1"/>
    <col min="9488" max="9488" width="10.21875" style="2" customWidth="1"/>
    <col min="9489" max="9489" width="9.21875" style="2" customWidth="1"/>
    <col min="9490" max="9728" width="9.21875" style="2"/>
    <col min="9729" max="9729" width="4.21875" style="2" customWidth="1"/>
    <col min="9730" max="9730" width="2.5546875" style="2" customWidth="1"/>
    <col min="9731" max="9732" width="9.21875" style="2"/>
    <col min="9733" max="9733" width="5.77734375" style="2" customWidth="1"/>
    <col min="9734" max="9734" width="8.77734375" style="2" customWidth="1"/>
    <col min="9735" max="9735" width="3.21875" style="2" customWidth="1"/>
    <col min="9736" max="9736" width="10.21875" style="2" customWidth="1"/>
    <col min="9737" max="9737" width="3.77734375" style="2" customWidth="1"/>
    <col min="9738" max="9738" width="8.21875" style="2" customWidth="1"/>
    <col min="9739" max="9739" width="6.21875" style="2" customWidth="1"/>
    <col min="9740" max="9740" width="5.5546875" style="2" customWidth="1"/>
    <col min="9741" max="9741" width="10.77734375" style="2" customWidth="1"/>
    <col min="9742" max="9742" width="8.21875" style="2" customWidth="1"/>
    <col min="9743" max="9743" width="12.21875" style="2" customWidth="1"/>
    <col min="9744" max="9744" width="10.21875" style="2" customWidth="1"/>
    <col min="9745" max="9745" width="9.21875" style="2" customWidth="1"/>
    <col min="9746" max="9984" width="9.21875" style="2"/>
    <col min="9985" max="9985" width="4.21875" style="2" customWidth="1"/>
    <col min="9986" max="9986" width="2.5546875" style="2" customWidth="1"/>
    <col min="9987" max="9988" width="9.21875" style="2"/>
    <col min="9989" max="9989" width="5.77734375" style="2" customWidth="1"/>
    <col min="9990" max="9990" width="8.77734375" style="2" customWidth="1"/>
    <col min="9991" max="9991" width="3.21875" style="2" customWidth="1"/>
    <col min="9992" max="9992" width="10.21875" style="2" customWidth="1"/>
    <col min="9993" max="9993" width="3.77734375" style="2" customWidth="1"/>
    <col min="9994" max="9994" width="8.21875" style="2" customWidth="1"/>
    <col min="9995" max="9995" width="6.21875" style="2" customWidth="1"/>
    <col min="9996" max="9996" width="5.5546875" style="2" customWidth="1"/>
    <col min="9997" max="9997" width="10.77734375" style="2" customWidth="1"/>
    <col min="9998" max="9998" width="8.21875" style="2" customWidth="1"/>
    <col min="9999" max="9999" width="12.21875" style="2" customWidth="1"/>
    <col min="10000" max="10000" width="10.21875" style="2" customWidth="1"/>
    <col min="10001" max="10001" width="9.21875" style="2" customWidth="1"/>
    <col min="10002" max="10240" width="9.21875" style="2"/>
    <col min="10241" max="10241" width="4.21875" style="2" customWidth="1"/>
    <col min="10242" max="10242" width="2.5546875" style="2" customWidth="1"/>
    <col min="10243" max="10244" width="9.21875" style="2"/>
    <col min="10245" max="10245" width="5.77734375" style="2" customWidth="1"/>
    <col min="10246" max="10246" width="8.77734375" style="2" customWidth="1"/>
    <col min="10247" max="10247" width="3.21875" style="2" customWidth="1"/>
    <col min="10248" max="10248" width="10.21875" style="2" customWidth="1"/>
    <col min="10249" max="10249" width="3.77734375" style="2" customWidth="1"/>
    <col min="10250" max="10250" width="8.21875" style="2" customWidth="1"/>
    <col min="10251" max="10251" width="6.21875" style="2" customWidth="1"/>
    <col min="10252" max="10252" width="5.5546875" style="2" customWidth="1"/>
    <col min="10253" max="10253" width="10.77734375" style="2" customWidth="1"/>
    <col min="10254" max="10254" width="8.21875" style="2" customWidth="1"/>
    <col min="10255" max="10255" width="12.21875" style="2" customWidth="1"/>
    <col min="10256" max="10256" width="10.21875" style="2" customWidth="1"/>
    <col min="10257" max="10257" width="9.21875" style="2" customWidth="1"/>
    <col min="10258" max="10496" width="9.21875" style="2"/>
    <col min="10497" max="10497" width="4.21875" style="2" customWidth="1"/>
    <col min="10498" max="10498" width="2.5546875" style="2" customWidth="1"/>
    <col min="10499" max="10500" width="9.21875" style="2"/>
    <col min="10501" max="10501" width="5.77734375" style="2" customWidth="1"/>
    <col min="10502" max="10502" width="8.77734375" style="2" customWidth="1"/>
    <col min="10503" max="10503" width="3.21875" style="2" customWidth="1"/>
    <col min="10504" max="10504" width="10.21875" style="2" customWidth="1"/>
    <col min="10505" max="10505" width="3.77734375" style="2" customWidth="1"/>
    <col min="10506" max="10506" width="8.21875" style="2" customWidth="1"/>
    <col min="10507" max="10507" width="6.21875" style="2" customWidth="1"/>
    <col min="10508" max="10508" width="5.5546875" style="2" customWidth="1"/>
    <col min="10509" max="10509" width="10.77734375" style="2" customWidth="1"/>
    <col min="10510" max="10510" width="8.21875" style="2" customWidth="1"/>
    <col min="10511" max="10511" width="12.21875" style="2" customWidth="1"/>
    <col min="10512" max="10512" width="10.21875" style="2" customWidth="1"/>
    <col min="10513" max="10513" width="9.21875" style="2" customWidth="1"/>
    <col min="10514" max="10752" width="9.21875" style="2"/>
    <col min="10753" max="10753" width="4.21875" style="2" customWidth="1"/>
    <col min="10754" max="10754" width="2.5546875" style="2" customWidth="1"/>
    <col min="10755" max="10756" width="9.21875" style="2"/>
    <col min="10757" max="10757" width="5.77734375" style="2" customWidth="1"/>
    <col min="10758" max="10758" width="8.77734375" style="2" customWidth="1"/>
    <col min="10759" max="10759" width="3.21875" style="2" customWidth="1"/>
    <col min="10760" max="10760" width="10.21875" style="2" customWidth="1"/>
    <col min="10761" max="10761" width="3.77734375" style="2" customWidth="1"/>
    <col min="10762" max="10762" width="8.21875" style="2" customWidth="1"/>
    <col min="10763" max="10763" width="6.21875" style="2" customWidth="1"/>
    <col min="10764" max="10764" width="5.5546875" style="2" customWidth="1"/>
    <col min="10765" max="10765" width="10.77734375" style="2" customWidth="1"/>
    <col min="10766" max="10766" width="8.21875" style="2" customWidth="1"/>
    <col min="10767" max="10767" width="12.21875" style="2" customWidth="1"/>
    <col min="10768" max="10768" width="10.21875" style="2" customWidth="1"/>
    <col min="10769" max="10769" width="9.21875" style="2" customWidth="1"/>
    <col min="10770" max="11008" width="9.21875" style="2"/>
    <col min="11009" max="11009" width="4.21875" style="2" customWidth="1"/>
    <col min="11010" max="11010" width="2.5546875" style="2" customWidth="1"/>
    <col min="11011" max="11012" width="9.21875" style="2"/>
    <col min="11013" max="11013" width="5.77734375" style="2" customWidth="1"/>
    <col min="11014" max="11014" width="8.77734375" style="2" customWidth="1"/>
    <col min="11015" max="11015" width="3.21875" style="2" customWidth="1"/>
    <col min="11016" max="11016" width="10.21875" style="2" customWidth="1"/>
    <col min="11017" max="11017" width="3.77734375" style="2" customWidth="1"/>
    <col min="11018" max="11018" width="8.21875" style="2" customWidth="1"/>
    <col min="11019" max="11019" width="6.21875" style="2" customWidth="1"/>
    <col min="11020" max="11020" width="5.5546875" style="2" customWidth="1"/>
    <col min="11021" max="11021" width="10.77734375" style="2" customWidth="1"/>
    <col min="11022" max="11022" width="8.21875" style="2" customWidth="1"/>
    <col min="11023" max="11023" width="12.21875" style="2" customWidth="1"/>
    <col min="11024" max="11024" width="10.21875" style="2" customWidth="1"/>
    <col min="11025" max="11025" width="9.21875" style="2" customWidth="1"/>
    <col min="11026" max="11264" width="9.21875" style="2"/>
    <col min="11265" max="11265" width="4.21875" style="2" customWidth="1"/>
    <col min="11266" max="11266" width="2.5546875" style="2" customWidth="1"/>
    <col min="11267" max="11268" width="9.21875" style="2"/>
    <col min="11269" max="11269" width="5.77734375" style="2" customWidth="1"/>
    <col min="11270" max="11270" width="8.77734375" style="2" customWidth="1"/>
    <col min="11271" max="11271" width="3.21875" style="2" customWidth="1"/>
    <col min="11272" max="11272" width="10.21875" style="2" customWidth="1"/>
    <col min="11273" max="11273" width="3.77734375" style="2" customWidth="1"/>
    <col min="11274" max="11274" width="8.21875" style="2" customWidth="1"/>
    <col min="11275" max="11275" width="6.21875" style="2" customWidth="1"/>
    <col min="11276" max="11276" width="5.5546875" style="2" customWidth="1"/>
    <col min="11277" max="11277" width="10.77734375" style="2" customWidth="1"/>
    <col min="11278" max="11278" width="8.21875" style="2" customWidth="1"/>
    <col min="11279" max="11279" width="12.21875" style="2" customWidth="1"/>
    <col min="11280" max="11280" width="10.21875" style="2" customWidth="1"/>
    <col min="11281" max="11281" width="9.21875" style="2" customWidth="1"/>
    <col min="11282" max="11520" width="9.21875" style="2"/>
    <col min="11521" max="11521" width="4.21875" style="2" customWidth="1"/>
    <col min="11522" max="11522" width="2.5546875" style="2" customWidth="1"/>
    <col min="11523" max="11524" width="9.21875" style="2"/>
    <col min="11525" max="11525" width="5.77734375" style="2" customWidth="1"/>
    <col min="11526" max="11526" width="8.77734375" style="2" customWidth="1"/>
    <col min="11527" max="11527" width="3.21875" style="2" customWidth="1"/>
    <col min="11528" max="11528" width="10.21875" style="2" customWidth="1"/>
    <col min="11529" max="11529" width="3.77734375" style="2" customWidth="1"/>
    <col min="11530" max="11530" width="8.21875" style="2" customWidth="1"/>
    <col min="11531" max="11531" width="6.21875" style="2" customWidth="1"/>
    <col min="11532" max="11532" width="5.5546875" style="2" customWidth="1"/>
    <col min="11533" max="11533" width="10.77734375" style="2" customWidth="1"/>
    <col min="11534" max="11534" width="8.21875" style="2" customWidth="1"/>
    <col min="11535" max="11535" width="12.21875" style="2" customWidth="1"/>
    <col min="11536" max="11536" width="10.21875" style="2" customWidth="1"/>
    <col min="11537" max="11537" width="9.21875" style="2" customWidth="1"/>
    <col min="11538" max="11776" width="9.21875" style="2"/>
    <col min="11777" max="11777" width="4.21875" style="2" customWidth="1"/>
    <col min="11778" max="11778" width="2.5546875" style="2" customWidth="1"/>
    <col min="11779" max="11780" width="9.21875" style="2"/>
    <col min="11781" max="11781" width="5.77734375" style="2" customWidth="1"/>
    <col min="11782" max="11782" width="8.77734375" style="2" customWidth="1"/>
    <col min="11783" max="11783" width="3.21875" style="2" customWidth="1"/>
    <col min="11784" max="11784" width="10.21875" style="2" customWidth="1"/>
    <col min="11785" max="11785" width="3.77734375" style="2" customWidth="1"/>
    <col min="11786" max="11786" width="8.21875" style="2" customWidth="1"/>
    <col min="11787" max="11787" width="6.21875" style="2" customWidth="1"/>
    <col min="11788" max="11788" width="5.5546875" style="2" customWidth="1"/>
    <col min="11789" max="11789" width="10.77734375" style="2" customWidth="1"/>
    <col min="11790" max="11790" width="8.21875" style="2" customWidth="1"/>
    <col min="11791" max="11791" width="12.21875" style="2" customWidth="1"/>
    <col min="11792" max="11792" width="10.21875" style="2" customWidth="1"/>
    <col min="11793" max="11793" width="9.21875" style="2" customWidth="1"/>
    <col min="11794" max="12032" width="9.21875" style="2"/>
    <col min="12033" max="12033" width="4.21875" style="2" customWidth="1"/>
    <col min="12034" max="12034" width="2.5546875" style="2" customWidth="1"/>
    <col min="12035" max="12036" width="9.21875" style="2"/>
    <col min="12037" max="12037" width="5.77734375" style="2" customWidth="1"/>
    <col min="12038" max="12038" width="8.77734375" style="2" customWidth="1"/>
    <col min="12039" max="12039" width="3.21875" style="2" customWidth="1"/>
    <col min="12040" max="12040" width="10.21875" style="2" customWidth="1"/>
    <col min="12041" max="12041" width="3.77734375" style="2" customWidth="1"/>
    <col min="12042" max="12042" width="8.21875" style="2" customWidth="1"/>
    <col min="12043" max="12043" width="6.21875" style="2" customWidth="1"/>
    <col min="12044" max="12044" width="5.5546875" style="2" customWidth="1"/>
    <col min="12045" max="12045" width="10.77734375" style="2" customWidth="1"/>
    <col min="12046" max="12046" width="8.21875" style="2" customWidth="1"/>
    <col min="12047" max="12047" width="12.21875" style="2" customWidth="1"/>
    <col min="12048" max="12048" width="10.21875" style="2" customWidth="1"/>
    <col min="12049" max="12049" width="9.21875" style="2" customWidth="1"/>
    <col min="12050" max="12288" width="9.21875" style="2"/>
    <col min="12289" max="12289" width="4.21875" style="2" customWidth="1"/>
    <col min="12290" max="12290" width="2.5546875" style="2" customWidth="1"/>
    <col min="12291" max="12292" width="9.21875" style="2"/>
    <col min="12293" max="12293" width="5.77734375" style="2" customWidth="1"/>
    <col min="12294" max="12294" width="8.77734375" style="2" customWidth="1"/>
    <col min="12295" max="12295" width="3.21875" style="2" customWidth="1"/>
    <col min="12296" max="12296" width="10.21875" style="2" customWidth="1"/>
    <col min="12297" max="12297" width="3.77734375" style="2" customWidth="1"/>
    <col min="12298" max="12298" width="8.21875" style="2" customWidth="1"/>
    <col min="12299" max="12299" width="6.21875" style="2" customWidth="1"/>
    <col min="12300" max="12300" width="5.5546875" style="2" customWidth="1"/>
    <col min="12301" max="12301" width="10.77734375" style="2" customWidth="1"/>
    <col min="12302" max="12302" width="8.21875" style="2" customWidth="1"/>
    <col min="12303" max="12303" width="12.21875" style="2" customWidth="1"/>
    <col min="12304" max="12304" width="10.21875" style="2" customWidth="1"/>
    <col min="12305" max="12305" width="9.21875" style="2" customWidth="1"/>
    <col min="12306" max="12544" width="9.21875" style="2"/>
    <col min="12545" max="12545" width="4.21875" style="2" customWidth="1"/>
    <col min="12546" max="12546" width="2.5546875" style="2" customWidth="1"/>
    <col min="12547" max="12548" width="9.21875" style="2"/>
    <col min="12549" max="12549" width="5.77734375" style="2" customWidth="1"/>
    <col min="12550" max="12550" width="8.77734375" style="2" customWidth="1"/>
    <col min="12551" max="12551" width="3.21875" style="2" customWidth="1"/>
    <col min="12552" max="12552" width="10.21875" style="2" customWidth="1"/>
    <col min="12553" max="12553" width="3.77734375" style="2" customWidth="1"/>
    <col min="12554" max="12554" width="8.21875" style="2" customWidth="1"/>
    <col min="12555" max="12555" width="6.21875" style="2" customWidth="1"/>
    <col min="12556" max="12556" width="5.5546875" style="2" customWidth="1"/>
    <col min="12557" max="12557" width="10.77734375" style="2" customWidth="1"/>
    <col min="12558" max="12558" width="8.21875" style="2" customWidth="1"/>
    <col min="12559" max="12559" width="12.21875" style="2" customWidth="1"/>
    <col min="12560" max="12560" width="10.21875" style="2" customWidth="1"/>
    <col min="12561" max="12561" width="9.21875" style="2" customWidth="1"/>
    <col min="12562" max="12800" width="9.21875" style="2"/>
    <col min="12801" max="12801" width="4.21875" style="2" customWidth="1"/>
    <col min="12802" max="12802" width="2.5546875" style="2" customWidth="1"/>
    <col min="12803" max="12804" width="9.21875" style="2"/>
    <col min="12805" max="12805" width="5.77734375" style="2" customWidth="1"/>
    <col min="12806" max="12806" width="8.77734375" style="2" customWidth="1"/>
    <col min="12807" max="12807" width="3.21875" style="2" customWidth="1"/>
    <col min="12808" max="12808" width="10.21875" style="2" customWidth="1"/>
    <col min="12809" max="12809" width="3.77734375" style="2" customWidth="1"/>
    <col min="12810" max="12810" width="8.21875" style="2" customWidth="1"/>
    <col min="12811" max="12811" width="6.21875" style="2" customWidth="1"/>
    <col min="12812" max="12812" width="5.5546875" style="2" customWidth="1"/>
    <col min="12813" max="12813" width="10.77734375" style="2" customWidth="1"/>
    <col min="12814" max="12814" width="8.21875" style="2" customWidth="1"/>
    <col min="12815" max="12815" width="12.21875" style="2" customWidth="1"/>
    <col min="12816" max="12816" width="10.21875" style="2" customWidth="1"/>
    <col min="12817" max="12817" width="9.21875" style="2" customWidth="1"/>
    <col min="12818" max="13056" width="9.21875" style="2"/>
    <col min="13057" max="13057" width="4.21875" style="2" customWidth="1"/>
    <col min="13058" max="13058" width="2.5546875" style="2" customWidth="1"/>
    <col min="13059" max="13060" width="9.21875" style="2"/>
    <col min="13061" max="13061" width="5.77734375" style="2" customWidth="1"/>
    <col min="13062" max="13062" width="8.77734375" style="2" customWidth="1"/>
    <col min="13063" max="13063" width="3.21875" style="2" customWidth="1"/>
    <col min="13064" max="13064" width="10.21875" style="2" customWidth="1"/>
    <col min="13065" max="13065" width="3.77734375" style="2" customWidth="1"/>
    <col min="13066" max="13066" width="8.21875" style="2" customWidth="1"/>
    <col min="13067" max="13067" width="6.21875" style="2" customWidth="1"/>
    <col min="13068" max="13068" width="5.5546875" style="2" customWidth="1"/>
    <col min="13069" max="13069" width="10.77734375" style="2" customWidth="1"/>
    <col min="13070" max="13070" width="8.21875" style="2" customWidth="1"/>
    <col min="13071" max="13071" width="12.21875" style="2" customWidth="1"/>
    <col min="13072" max="13072" width="10.21875" style="2" customWidth="1"/>
    <col min="13073" max="13073" width="9.21875" style="2" customWidth="1"/>
    <col min="13074" max="13312" width="9.21875" style="2"/>
    <col min="13313" max="13313" width="4.21875" style="2" customWidth="1"/>
    <col min="13314" max="13314" width="2.5546875" style="2" customWidth="1"/>
    <col min="13315" max="13316" width="9.21875" style="2"/>
    <col min="13317" max="13317" width="5.77734375" style="2" customWidth="1"/>
    <col min="13318" max="13318" width="8.77734375" style="2" customWidth="1"/>
    <col min="13319" max="13319" width="3.21875" style="2" customWidth="1"/>
    <col min="13320" max="13320" width="10.21875" style="2" customWidth="1"/>
    <col min="13321" max="13321" width="3.77734375" style="2" customWidth="1"/>
    <col min="13322" max="13322" width="8.21875" style="2" customWidth="1"/>
    <col min="13323" max="13323" width="6.21875" style="2" customWidth="1"/>
    <col min="13324" max="13324" width="5.5546875" style="2" customWidth="1"/>
    <col min="13325" max="13325" width="10.77734375" style="2" customWidth="1"/>
    <col min="13326" max="13326" width="8.21875" style="2" customWidth="1"/>
    <col min="13327" max="13327" width="12.21875" style="2" customWidth="1"/>
    <col min="13328" max="13328" width="10.21875" style="2" customWidth="1"/>
    <col min="13329" max="13329" width="9.21875" style="2" customWidth="1"/>
    <col min="13330" max="13568" width="9.21875" style="2"/>
    <col min="13569" max="13569" width="4.21875" style="2" customWidth="1"/>
    <col min="13570" max="13570" width="2.5546875" style="2" customWidth="1"/>
    <col min="13571" max="13572" width="9.21875" style="2"/>
    <col min="13573" max="13573" width="5.77734375" style="2" customWidth="1"/>
    <col min="13574" max="13574" width="8.77734375" style="2" customWidth="1"/>
    <col min="13575" max="13575" width="3.21875" style="2" customWidth="1"/>
    <col min="13576" max="13576" width="10.21875" style="2" customWidth="1"/>
    <col min="13577" max="13577" width="3.77734375" style="2" customWidth="1"/>
    <col min="13578" max="13578" width="8.21875" style="2" customWidth="1"/>
    <col min="13579" max="13579" width="6.21875" style="2" customWidth="1"/>
    <col min="13580" max="13580" width="5.5546875" style="2" customWidth="1"/>
    <col min="13581" max="13581" width="10.77734375" style="2" customWidth="1"/>
    <col min="13582" max="13582" width="8.21875" style="2" customWidth="1"/>
    <col min="13583" max="13583" width="12.21875" style="2" customWidth="1"/>
    <col min="13584" max="13584" width="10.21875" style="2" customWidth="1"/>
    <col min="13585" max="13585" width="9.21875" style="2" customWidth="1"/>
    <col min="13586" max="13824" width="9.21875" style="2"/>
    <col min="13825" max="13825" width="4.21875" style="2" customWidth="1"/>
    <col min="13826" max="13826" width="2.5546875" style="2" customWidth="1"/>
    <col min="13827" max="13828" width="9.21875" style="2"/>
    <col min="13829" max="13829" width="5.77734375" style="2" customWidth="1"/>
    <col min="13830" max="13830" width="8.77734375" style="2" customWidth="1"/>
    <col min="13831" max="13831" width="3.21875" style="2" customWidth="1"/>
    <col min="13832" max="13832" width="10.21875" style="2" customWidth="1"/>
    <col min="13833" max="13833" width="3.77734375" style="2" customWidth="1"/>
    <col min="13834" max="13834" width="8.21875" style="2" customWidth="1"/>
    <col min="13835" max="13835" width="6.21875" style="2" customWidth="1"/>
    <col min="13836" max="13836" width="5.5546875" style="2" customWidth="1"/>
    <col min="13837" max="13837" width="10.77734375" style="2" customWidth="1"/>
    <col min="13838" max="13838" width="8.21875" style="2" customWidth="1"/>
    <col min="13839" max="13839" width="12.21875" style="2" customWidth="1"/>
    <col min="13840" max="13840" width="10.21875" style="2" customWidth="1"/>
    <col min="13841" max="13841" width="9.21875" style="2" customWidth="1"/>
    <col min="13842" max="14080" width="9.21875" style="2"/>
    <col min="14081" max="14081" width="4.21875" style="2" customWidth="1"/>
    <col min="14082" max="14082" width="2.5546875" style="2" customWidth="1"/>
    <col min="14083" max="14084" width="9.21875" style="2"/>
    <col min="14085" max="14085" width="5.77734375" style="2" customWidth="1"/>
    <col min="14086" max="14086" width="8.77734375" style="2" customWidth="1"/>
    <col min="14087" max="14087" width="3.21875" style="2" customWidth="1"/>
    <col min="14088" max="14088" width="10.21875" style="2" customWidth="1"/>
    <col min="14089" max="14089" width="3.77734375" style="2" customWidth="1"/>
    <col min="14090" max="14090" width="8.21875" style="2" customWidth="1"/>
    <col min="14091" max="14091" width="6.21875" style="2" customWidth="1"/>
    <col min="14092" max="14092" width="5.5546875" style="2" customWidth="1"/>
    <col min="14093" max="14093" width="10.77734375" style="2" customWidth="1"/>
    <col min="14094" max="14094" width="8.21875" style="2" customWidth="1"/>
    <col min="14095" max="14095" width="12.21875" style="2" customWidth="1"/>
    <col min="14096" max="14096" width="10.21875" style="2" customWidth="1"/>
    <col min="14097" max="14097" width="9.21875" style="2" customWidth="1"/>
    <col min="14098" max="14336" width="9.21875" style="2"/>
    <col min="14337" max="14337" width="4.21875" style="2" customWidth="1"/>
    <col min="14338" max="14338" width="2.5546875" style="2" customWidth="1"/>
    <col min="14339" max="14340" width="9.21875" style="2"/>
    <col min="14341" max="14341" width="5.77734375" style="2" customWidth="1"/>
    <col min="14342" max="14342" width="8.77734375" style="2" customWidth="1"/>
    <col min="14343" max="14343" width="3.21875" style="2" customWidth="1"/>
    <col min="14344" max="14344" width="10.21875" style="2" customWidth="1"/>
    <col min="14345" max="14345" width="3.77734375" style="2" customWidth="1"/>
    <col min="14346" max="14346" width="8.21875" style="2" customWidth="1"/>
    <col min="14347" max="14347" width="6.21875" style="2" customWidth="1"/>
    <col min="14348" max="14348" width="5.5546875" style="2" customWidth="1"/>
    <col min="14349" max="14349" width="10.77734375" style="2" customWidth="1"/>
    <col min="14350" max="14350" width="8.21875" style="2" customWidth="1"/>
    <col min="14351" max="14351" width="12.21875" style="2" customWidth="1"/>
    <col min="14352" max="14352" width="10.21875" style="2" customWidth="1"/>
    <col min="14353" max="14353" width="9.21875" style="2" customWidth="1"/>
    <col min="14354" max="14592" width="9.21875" style="2"/>
    <col min="14593" max="14593" width="4.21875" style="2" customWidth="1"/>
    <col min="14594" max="14594" width="2.5546875" style="2" customWidth="1"/>
    <col min="14595" max="14596" width="9.21875" style="2"/>
    <col min="14597" max="14597" width="5.77734375" style="2" customWidth="1"/>
    <col min="14598" max="14598" width="8.77734375" style="2" customWidth="1"/>
    <col min="14599" max="14599" width="3.21875" style="2" customWidth="1"/>
    <col min="14600" max="14600" width="10.21875" style="2" customWidth="1"/>
    <col min="14601" max="14601" width="3.77734375" style="2" customWidth="1"/>
    <col min="14602" max="14602" width="8.21875" style="2" customWidth="1"/>
    <col min="14603" max="14603" width="6.21875" style="2" customWidth="1"/>
    <col min="14604" max="14604" width="5.5546875" style="2" customWidth="1"/>
    <col min="14605" max="14605" width="10.77734375" style="2" customWidth="1"/>
    <col min="14606" max="14606" width="8.21875" style="2" customWidth="1"/>
    <col min="14607" max="14607" width="12.21875" style="2" customWidth="1"/>
    <col min="14608" max="14608" width="10.21875" style="2" customWidth="1"/>
    <col min="14609" max="14609" width="9.21875" style="2" customWidth="1"/>
    <col min="14610" max="14848" width="9.21875" style="2"/>
    <col min="14849" max="14849" width="4.21875" style="2" customWidth="1"/>
    <col min="14850" max="14850" width="2.5546875" style="2" customWidth="1"/>
    <col min="14851" max="14852" width="9.21875" style="2"/>
    <col min="14853" max="14853" width="5.77734375" style="2" customWidth="1"/>
    <col min="14854" max="14854" width="8.77734375" style="2" customWidth="1"/>
    <col min="14855" max="14855" width="3.21875" style="2" customWidth="1"/>
    <col min="14856" max="14856" width="10.21875" style="2" customWidth="1"/>
    <col min="14857" max="14857" width="3.77734375" style="2" customWidth="1"/>
    <col min="14858" max="14858" width="8.21875" style="2" customWidth="1"/>
    <col min="14859" max="14859" width="6.21875" style="2" customWidth="1"/>
    <col min="14860" max="14860" width="5.5546875" style="2" customWidth="1"/>
    <col min="14861" max="14861" width="10.77734375" style="2" customWidth="1"/>
    <col min="14862" max="14862" width="8.21875" style="2" customWidth="1"/>
    <col min="14863" max="14863" width="12.21875" style="2" customWidth="1"/>
    <col min="14864" max="14864" width="10.21875" style="2" customWidth="1"/>
    <col min="14865" max="14865" width="9.21875" style="2" customWidth="1"/>
    <col min="14866" max="15104" width="9.21875" style="2"/>
    <col min="15105" max="15105" width="4.21875" style="2" customWidth="1"/>
    <col min="15106" max="15106" width="2.5546875" style="2" customWidth="1"/>
    <col min="15107" max="15108" width="9.21875" style="2"/>
    <col min="15109" max="15109" width="5.77734375" style="2" customWidth="1"/>
    <col min="15110" max="15110" width="8.77734375" style="2" customWidth="1"/>
    <col min="15111" max="15111" width="3.21875" style="2" customWidth="1"/>
    <col min="15112" max="15112" width="10.21875" style="2" customWidth="1"/>
    <col min="15113" max="15113" width="3.77734375" style="2" customWidth="1"/>
    <col min="15114" max="15114" width="8.21875" style="2" customWidth="1"/>
    <col min="15115" max="15115" width="6.21875" style="2" customWidth="1"/>
    <col min="15116" max="15116" width="5.5546875" style="2" customWidth="1"/>
    <col min="15117" max="15117" width="10.77734375" style="2" customWidth="1"/>
    <col min="15118" max="15118" width="8.21875" style="2" customWidth="1"/>
    <col min="15119" max="15119" width="12.21875" style="2" customWidth="1"/>
    <col min="15120" max="15120" width="10.21875" style="2" customWidth="1"/>
    <col min="15121" max="15121" width="9.21875" style="2" customWidth="1"/>
    <col min="15122" max="15360" width="9.21875" style="2"/>
    <col min="15361" max="15361" width="4.21875" style="2" customWidth="1"/>
    <col min="15362" max="15362" width="2.5546875" style="2" customWidth="1"/>
    <col min="15363" max="15364" width="9.21875" style="2"/>
    <col min="15365" max="15365" width="5.77734375" style="2" customWidth="1"/>
    <col min="15366" max="15366" width="8.77734375" style="2" customWidth="1"/>
    <col min="15367" max="15367" width="3.21875" style="2" customWidth="1"/>
    <col min="15368" max="15368" width="10.21875" style="2" customWidth="1"/>
    <col min="15369" max="15369" width="3.77734375" style="2" customWidth="1"/>
    <col min="15370" max="15370" width="8.21875" style="2" customWidth="1"/>
    <col min="15371" max="15371" width="6.21875" style="2" customWidth="1"/>
    <col min="15372" max="15372" width="5.5546875" style="2" customWidth="1"/>
    <col min="15373" max="15373" width="10.77734375" style="2" customWidth="1"/>
    <col min="15374" max="15374" width="8.21875" style="2" customWidth="1"/>
    <col min="15375" max="15375" width="12.21875" style="2" customWidth="1"/>
    <col min="15376" max="15376" width="10.21875" style="2" customWidth="1"/>
    <col min="15377" max="15377" width="9.21875" style="2" customWidth="1"/>
    <col min="15378" max="15616" width="9.21875" style="2"/>
    <col min="15617" max="15617" width="4.21875" style="2" customWidth="1"/>
    <col min="15618" max="15618" width="2.5546875" style="2" customWidth="1"/>
    <col min="15619" max="15620" width="9.21875" style="2"/>
    <col min="15621" max="15621" width="5.77734375" style="2" customWidth="1"/>
    <col min="15622" max="15622" width="8.77734375" style="2" customWidth="1"/>
    <col min="15623" max="15623" width="3.21875" style="2" customWidth="1"/>
    <col min="15624" max="15624" width="10.21875" style="2" customWidth="1"/>
    <col min="15625" max="15625" width="3.77734375" style="2" customWidth="1"/>
    <col min="15626" max="15626" width="8.21875" style="2" customWidth="1"/>
    <col min="15627" max="15627" width="6.21875" style="2" customWidth="1"/>
    <col min="15628" max="15628" width="5.5546875" style="2" customWidth="1"/>
    <col min="15629" max="15629" width="10.77734375" style="2" customWidth="1"/>
    <col min="15630" max="15630" width="8.21875" style="2" customWidth="1"/>
    <col min="15631" max="15631" width="12.21875" style="2" customWidth="1"/>
    <col min="15632" max="15632" width="10.21875" style="2" customWidth="1"/>
    <col min="15633" max="15633" width="9.21875" style="2" customWidth="1"/>
    <col min="15634" max="15872" width="9.21875" style="2"/>
    <col min="15873" max="15873" width="4.21875" style="2" customWidth="1"/>
    <col min="15874" max="15874" width="2.5546875" style="2" customWidth="1"/>
    <col min="15875" max="15876" width="9.21875" style="2"/>
    <col min="15877" max="15877" width="5.77734375" style="2" customWidth="1"/>
    <col min="15878" max="15878" width="8.77734375" style="2" customWidth="1"/>
    <col min="15879" max="15879" width="3.21875" style="2" customWidth="1"/>
    <col min="15880" max="15880" width="10.21875" style="2" customWidth="1"/>
    <col min="15881" max="15881" width="3.77734375" style="2" customWidth="1"/>
    <col min="15882" max="15882" width="8.21875" style="2" customWidth="1"/>
    <col min="15883" max="15883" width="6.21875" style="2" customWidth="1"/>
    <col min="15884" max="15884" width="5.5546875" style="2" customWidth="1"/>
    <col min="15885" max="15885" width="10.77734375" style="2" customWidth="1"/>
    <col min="15886" max="15886" width="8.21875" style="2" customWidth="1"/>
    <col min="15887" max="15887" width="12.21875" style="2" customWidth="1"/>
    <col min="15888" max="15888" width="10.21875" style="2" customWidth="1"/>
    <col min="15889" max="15889" width="9.21875" style="2" customWidth="1"/>
    <col min="15890" max="16128" width="9.21875" style="2"/>
    <col min="16129" max="16129" width="4.21875" style="2" customWidth="1"/>
    <col min="16130" max="16130" width="2.5546875" style="2" customWidth="1"/>
    <col min="16131" max="16132" width="9.21875" style="2"/>
    <col min="16133" max="16133" width="5.77734375" style="2" customWidth="1"/>
    <col min="16134" max="16134" width="8.77734375" style="2" customWidth="1"/>
    <col min="16135" max="16135" width="3.21875" style="2" customWidth="1"/>
    <col min="16136" max="16136" width="10.21875" style="2" customWidth="1"/>
    <col min="16137" max="16137" width="3.77734375" style="2" customWidth="1"/>
    <col min="16138" max="16138" width="8.21875" style="2" customWidth="1"/>
    <col min="16139" max="16139" width="6.21875" style="2" customWidth="1"/>
    <col min="16140" max="16140" width="5.5546875" style="2" customWidth="1"/>
    <col min="16141" max="16141" width="10.77734375" style="2" customWidth="1"/>
    <col min="16142" max="16142" width="8.21875" style="2" customWidth="1"/>
    <col min="16143" max="16143" width="12.21875" style="2" customWidth="1"/>
    <col min="16144" max="16144" width="10.21875" style="2" customWidth="1"/>
    <col min="16145" max="16145" width="9.21875" style="2" customWidth="1"/>
    <col min="16146" max="16384" width="9.21875" style="2"/>
  </cols>
  <sheetData>
    <row r="1" spans="1:17" ht="14.25" customHeight="1">
      <c r="P1" s="31"/>
    </row>
    <row r="2" spans="1:17" ht="15.6">
      <c r="A2" s="1220" t="s">
        <v>20</v>
      </c>
      <c r="B2" s="1220"/>
      <c r="C2" s="1220"/>
      <c r="D2" s="1220"/>
      <c r="E2" s="1220"/>
      <c r="F2" s="1220"/>
      <c r="G2" s="1220"/>
      <c r="H2" s="1220"/>
      <c r="I2" s="1220"/>
      <c r="J2" s="1220"/>
      <c r="K2" s="1220"/>
      <c r="L2" s="1220"/>
      <c r="M2" s="1220"/>
      <c r="N2" s="1220"/>
      <c r="O2" s="1220"/>
    </row>
    <row r="3" spans="1:17" ht="15.6">
      <c r="A3" s="1220" t="s">
        <v>21</v>
      </c>
      <c r="B3" s="1220"/>
      <c r="C3" s="1220"/>
      <c r="D3" s="1220"/>
      <c r="E3" s="1220"/>
      <c r="F3" s="1220"/>
      <c r="G3" s="1220"/>
      <c r="H3" s="1220"/>
      <c r="I3" s="1220"/>
      <c r="J3" s="1220"/>
      <c r="K3" s="1220"/>
      <c r="L3" s="1220"/>
      <c r="M3" s="1220"/>
      <c r="N3" s="1220"/>
      <c r="O3" s="1220"/>
    </row>
    <row r="4" spans="1:17" ht="7.5" customHeight="1"/>
    <row r="5" spans="1:17" ht="31.5" customHeight="1">
      <c r="A5" s="33" t="s">
        <v>22</v>
      </c>
      <c r="F5" s="34" t="s">
        <v>23</v>
      </c>
      <c r="H5" s="35" t="s">
        <v>24</v>
      </c>
      <c r="I5" s="36"/>
      <c r="J5" s="1221" t="s">
        <v>25</v>
      </c>
      <c r="K5" s="1217"/>
      <c r="M5" s="3" t="s">
        <v>26</v>
      </c>
      <c r="O5" s="37" t="s">
        <v>27</v>
      </c>
    </row>
    <row r="6" spans="1:17" ht="6.75" customHeight="1"/>
    <row r="7" spans="1:17" ht="15">
      <c r="B7" s="5" t="s">
        <v>6</v>
      </c>
      <c r="F7" s="38">
        <f>IF('Input (3)'!$E$4=0,"0",'Input (3)'!$E$4)</f>
        <v>20.68</v>
      </c>
      <c r="G7" s="39"/>
      <c r="J7" s="1222">
        <f>IF('Input (3)'!$E$4=0,"0",'Input (3)'!$E$4)</f>
        <v>20.68</v>
      </c>
      <c r="K7" s="1222"/>
      <c r="L7" s="40" t="s">
        <v>28</v>
      </c>
      <c r="M7" s="41">
        <f>IF('Input (3)'!E4=0,0,LOOKUP(J7,'criteria (3)'!$A$3:$A$10,'criteria (3)'!$B$3:$B$10))</f>
        <v>40</v>
      </c>
      <c r="N7" s="42" t="s">
        <v>29</v>
      </c>
      <c r="O7" s="38">
        <f>IF(Q7=0,0,IF(Q7&lt;LOOKUP(J7,'criteria (3)'!$A$3:$A$10,'criteria (3)'!$C$3:$C$10),LOOKUP(J7,'criteria (3)'!$A$3:$A$10,'criteria (3)'!$C$3:$C$10),IF(LOOKUP(J7,'criteria (3)'!$A$3:$A$10,'criteria (3)'!$C$3:$C$10)=0,0,Q7)))</f>
        <v>0.6</v>
      </c>
      <c r="P7" s="28" t="str">
        <f>IF('Input (3)'!E4=0," ",IF(O7=0,"ADD to 1-6",IF(O7=Q7," ","Minimum")))</f>
        <v>Minimum</v>
      </c>
      <c r="Q7" s="32">
        <f>ROUND(IF('Input (3)'!E4=0,0,IF(M7=0,0,(J7/M7))),2)</f>
        <v>0.52</v>
      </c>
    </row>
    <row r="8" spans="1:17" ht="6.75" customHeight="1">
      <c r="J8" s="43"/>
      <c r="K8" s="43"/>
      <c r="O8" s="43"/>
    </row>
    <row r="9" spans="1:17">
      <c r="B9" s="5" t="s">
        <v>7</v>
      </c>
      <c r="J9" s="43"/>
      <c r="K9" s="43"/>
      <c r="O9" s="43"/>
    </row>
    <row r="10" spans="1:17">
      <c r="B10" s="28" t="s">
        <v>30</v>
      </c>
      <c r="J10" s="43"/>
      <c r="K10" s="43"/>
      <c r="O10" s="43"/>
    </row>
    <row r="11" spans="1:17" ht="16.5" customHeight="1">
      <c r="C11" s="12" t="s">
        <v>8</v>
      </c>
      <c r="F11" s="41" t="str">
        <f>IF(J11=0," ",IF($J$16&gt;300," ",'Input (3)'!E7))</f>
        <v xml:space="preserve"> </v>
      </c>
      <c r="G11" s="44" t="s">
        <v>31</v>
      </c>
      <c r="H11" s="38" t="str">
        <f>IF(J11=0," ",'C (3)'!H25)</f>
        <v xml:space="preserve"> </v>
      </c>
      <c r="I11" s="42" t="s">
        <v>29</v>
      </c>
      <c r="J11" s="1222">
        <f>IF('Input (3)'!E7=0,0,IF(SUM('Input (3)'!E7-'C (3)'!H25)+SUM('Input (3)'!E8-'C (3)'!H26)&gt;299.99,SUM('Input (3)'!E7-'C (3)'!H25),0))</f>
        <v>0</v>
      </c>
      <c r="K11" s="1222"/>
      <c r="L11" s="40" t="s">
        <v>28</v>
      </c>
      <c r="M11" s="41">
        <f>IF(SUM('Input (3)'!$E$7-'C (3)'!$H$25)+SUM('Input (3)'!$E$8-'C (3)'!$H$26)&gt;299.99,20,0)</f>
        <v>0</v>
      </c>
      <c r="N11" s="42" t="s">
        <v>29</v>
      </c>
      <c r="O11" s="38">
        <f>ROUND(IF(SUM('Input (3)'!$E$7-'C (3)'!$H$25)+SUM('Input (3)'!$E$8-'C (3)'!$H$26)&lt;299.99,0,IF(Q11+Q13&lt;15,0,(J11/M11))),2)</f>
        <v>0</v>
      </c>
      <c r="P11" s="2" t="str">
        <f>IF(O11=0," ",IF(O11=Q11," ","Minimum"))</f>
        <v xml:space="preserve"> </v>
      </c>
      <c r="Q11" s="32">
        <f>ROUND(IF(SUM('Input (3)'!$E$7-'C (3)'!$H$25)+SUM('Input (3)'!$E$8-'C (3)'!$H$26)&lt;299.99,0,(J11/M11)),2)</f>
        <v>0</v>
      </c>
    </row>
    <row r="12" spans="1:17" ht="9" customHeight="1">
      <c r="B12" s="12"/>
      <c r="J12" s="43"/>
      <c r="K12" s="43"/>
      <c r="O12" s="43"/>
    </row>
    <row r="13" spans="1:17" ht="15">
      <c r="C13" s="12" t="s">
        <v>9</v>
      </c>
      <c r="F13" s="41" t="str">
        <f>IF(J13=0," ",IF($J$16&gt;300," ",'Input (3)'!E8))</f>
        <v xml:space="preserve"> </v>
      </c>
      <c r="G13" s="44" t="s">
        <v>31</v>
      </c>
      <c r="H13" s="38" t="str">
        <f>IF(J13=0," ",'C (3)'!H26)</f>
        <v xml:space="preserve"> </v>
      </c>
      <c r="I13" s="42" t="s">
        <v>29</v>
      </c>
      <c r="J13" s="1222">
        <f>IF('Input (3)'!E8=0,0,IF(SUM('Input (3)'!E7-'C (3)'!H25)+SUM('Input (3)'!E8-'C (3)'!H26)&gt;299.99,SUM('Input (3)'!E8-'C (3)'!H26),0))</f>
        <v>0</v>
      </c>
      <c r="K13" s="1222"/>
      <c r="L13" s="40" t="s">
        <v>28</v>
      </c>
      <c r="M13" s="41">
        <f>IF(SUM('Input (3)'!$E$7-'C (3)'!$H$25)+SUM('Input (3)'!$E$8-'C (3)'!$H$26)&gt;299.99,23,0)</f>
        <v>0</v>
      </c>
      <c r="N13" s="42" t="s">
        <v>29</v>
      </c>
      <c r="O13" s="38">
        <f>ROUND(IF(SUM('Input (3)'!$E$7-'C (3)'!$H$25)+SUM('Input (3)'!$E$8-'C (3)'!$H$26)&lt;299.99,0,IF(Q11+Q13&lt;15,0,($J$13/$M$13))),2)</f>
        <v>0</v>
      </c>
      <c r="P13" s="2" t="str">
        <f>IF(O13=0," ",IF(O13=Q13," ","Minimum"))</f>
        <v xml:space="preserve"> </v>
      </c>
      <c r="Q13" s="32">
        <f>ROUND(IF(SUM('Input (3)'!$E$7-'C (3)'!$H$25)+SUM('Input (3)'!$E$8-'C (3)'!$H$26)&lt;299.99,0,($J$13/$M$13)),2)</f>
        <v>0</v>
      </c>
    </row>
    <row r="14" spans="1:17" ht="17.25" customHeight="1">
      <c r="B14" s="5" t="s">
        <v>7</v>
      </c>
      <c r="F14" s="36"/>
      <c r="G14" s="44"/>
      <c r="H14" s="39"/>
      <c r="I14" s="42"/>
      <c r="J14" s="39"/>
      <c r="K14" s="39"/>
      <c r="M14" s="36"/>
      <c r="N14" s="42"/>
      <c r="O14" s="39"/>
    </row>
    <row r="15" spans="1:17">
      <c r="B15" s="28" t="s">
        <v>32</v>
      </c>
      <c r="O15" s="39" t="str">
        <f>IF(P15="Minimum",15," ")</f>
        <v xml:space="preserve"> </v>
      </c>
      <c r="P15" s="2" t="str">
        <f>IF(Q11+Q13=0," ",IF(Q11+Q13&lt;15,"Minimum"," "))</f>
        <v xml:space="preserve"> </v>
      </c>
    </row>
    <row r="16" spans="1:17" ht="15">
      <c r="C16" s="12" t="s">
        <v>33</v>
      </c>
      <c r="F16" s="41">
        <f>IF(J16=0," ",IF(J16&lt;300,SUM('Input (3)'!E7+'Input (3)'!E8)," "))</f>
        <v>79.900000000000006</v>
      </c>
      <c r="G16" s="44" t="s">
        <v>31</v>
      </c>
      <c r="H16" s="38">
        <f>IF(J16=0," ",'C (3)'!H22)</f>
        <v>6.42</v>
      </c>
      <c r="I16" s="42" t="s">
        <v>29</v>
      </c>
      <c r="J16" s="1222">
        <f>IF('Input (3)'!E9=0,0,IF(SUM('Input (3)'!E7-'C (3)'!H25)+SUM('Input (3)'!E8-'C (3)'!H26)&lt;300,IF(P7="ADD to 1-6",SUM('Input (3)'!E7-'C (3)'!H25)+SUM('Input (3)'!E8-'C (3)'!H26)+'Input (3)'!E4,SUM('Input (3)'!E7-'C (3)'!H25)+SUM('Input (3)'!E8-'C (3)'!H26)),0))</f>
        <v>73.48</v>
      </c>
      <c r="K16" s="1222"/>
      <c r="L16" s="40" t="s">
        <v>28</v>
      </c>
      <c r="M16" s="41">
        <f>IF(J16=0,0,LOOKUP(J16,'criteria (3)'!$M$3:$M$11,'criteria (3)'!$N$3:$N$11))</f>
        <v>16</v>
      </c>
      <c r="N16" s="42" t="s">
        <v>29</v>
      </c>
      <c r="O16" s="38">
        <f>IF(Q16=0,0,IF(Q16&lt;LOOKUP(J16,'criteria (3)'!$M$3:$M$10,'criteria (3)'!$O$3:$O$10),LOOKUP(J16,'criteria (3)'!$M$3:$M$10,'criteria (3)'!$O$3:$O$10),Q16))</f>
        <v>4.7</v>
      </c>
      <c r="P16" s="2" t="str">
        <f>IF(O16=0," ",IF(O16=Q16," ","Minimum"))</f>
        <v>Minimum</v>
      </c>
      <c r="Q16" s="32">
        <f>ROUND(IF('Input (3)'!E9=0,0,IF(SUM('Input (3)'!$E$7-'C (3)'!$H$25)+SUM('Input (3)'!$E$8-'C (3)'!$H$26)&gt;299.99,0,(J16/M16))),2)</f>
        <v>4.59</v>
      </c>
    </row>
    <row r="17" spans="1:17" ht="6" customHeight="1">
      <c r="J17" s="43"/>
      <c r="K17" s="43"/>
      <c r="O17" s="43"/>
    </row>
    <row r="18" spans="1:17" ht="15">
      <c r="B18" s="5" t="s">
        <v>10</v>
      </c>
      <c r="F18" s="41">
        <f>IF(J18=0," ",'Input (3)'!E10)</f>
        <v>95.88</v>
      </c>
      <c r="G18" s="44" t="s">
        <v>31</v>
      </c>
      <c r="H18" s="38">
        <f>IF('C (3)'!$H$43=0," ",'C (3)'!$H$43)</f>
        <v>5.61</v>
      </c>
      <c r="I18" s="42" t="s">
        <v>29</v>
      </c>
      <c r="J18" s="1222">
        <f>IF('Input (3)'!E10=0,0,SUM('Input (3)'!E10-'C (3)'!H43))</f>
        <v>90.27</v>
      </c>
      <c r="K18" s="1222"/>
      <c r="L18" s="40" t="s">
        <v>28</v>
      </c>
      <c r="M18" s="41">
        <f>IF('Input (3)'!C10=0,0,IF(J18&gt;99.99,LOOKUP(J18,'criteria (3)'!Q3:Q10,'criteria (3)'!R3:R10),12))</f>
        <v>12</v>
      </c>
      <c r="N18" s="42" t="s">
        <v>29</v>
      </c>
      <c r="O18" s="38">
        <f>ROUND(IF(J18=0,0,IF(J18&lt;99.99,IF(M18=0,8,(J18/M18)),IF(Q18&lt;LOOKUP(J18,'criteria (3)'!$Q$3:$Q$10,'criteria (3)'!$S$3:$S$10),LOOKUP(J18,'criteria (3)'!$Q$3:$Q$10,'criteria (3)'!$S$3:$S$10),Q18))),2)</f>
        <v>7.52</v>
      </c>
      <c r="P18" s="2" t="str">
        <f>IF(O18=0," ",IF(O18=Q18," ","Minimum"))</f>
        <v xml:space="preserve"> </v>
      </c>
      <c r="Q18" s="32">
        <f>ROUND(IF(M18=0,0,(J18/M18)),2)</f>
        <v>7.52</v>
      </c>
    </row>
    <row r="19" spans="1:17" ht="9" customHeight="1">
      <c r="B19" s="5"/>
      <c r="F19" s="36"/>
      <c r="G19" s="44"/>
      <c r="H19" s="39"/>
      <c r="I19" s="42"/>
      <c r="J19" s="39"/>
      <c r="K19" s="39"/>
      <c r="M19" s="36"/>
      <c r="N19" s="42"/>
      <c r="O19" s="36"/>
    </row>
    <row r="20" spans="1:17" ht="15">
      <c r="A20" s="45" t="s">
        <v>34</v>
      </c>
      <c r="J20" s="43"/>
      <c r="K20" s="43"/>
    </row>
    <row r="21" spans="1:17" ht="3.75" customHeight="1">
      <c r="J21" s="43"/>
      <c r="K21" s="43"/>
    </row>
    <row r="22" spans="1:17">
      <c r="B22" s="2" t="s">
        <v>35</v>
      </c>
      <c r="J22" s="1222" t="str">
        <f>IF('C (3)'!H55=0," ",'C (3)'!H55)</f>
        <v xml:space="preserve"> </v>
      </c>
      <c r="K22" s="1222"/>
    </row>
    <row r="23" spans="1:17" ht="9" customHeight="1">
      <c r="J23" s="43"/>
      <c r="K23" s="43"/>
    </row>
    <row r="24" spans="1:17">
      <c r="B24" s="2" t="s">
        <v>36</v>
      </c>
      <c r="J24" s="1222">
        <f>IF('C (3)'!H22=0," ",'C (3)'!H22)</f>
        <v>6.42</v>
      </c>
      <c r="K24" s="1222"/>
    </row>
    <row r="25" spans="1:17" ht="9" customHeight="1">
      <c r="J25" s="43"/>
      <c r="K25" s="43"/>
    </row>
    <row r="26" spans="1:17">
      <c r="B26" s="2" t="s">
        <v>37</v>
      </c>
      <c r="J26" s="1222">
        <f>IF('C (3)'!$H$43=0," ",'C (3)'!$H$43)</f>
        <v>5.61</v>
      </c>
      <c r="K26" s="1222"/>
    </row>
    <row r="27" spans="1:17" ht="8.25" customHeight="1">
      <c r="J27" s="43"/>
      <c r="K27" s="43"/>
    </row>
    <row r="28" spans="1:17" ht="6" customHeight="1">
      <c r="J28" s="39"/>
      <c r="K28" s="39"/>
    </row>
    <row r="29" spans="1:17" ht="15.6" thickBot="1">
      <c r="B29" s="46" t="s">
        <v>38</v>
      </c>
      <c r="J29" s="1219">
        <f>SUM(J22:K27)</f>
        <v>12.030000000000001</v>
      </c>
      <c r="K29" s="1219"/>
      <c r="L29" s="40" t="s">
        <v>28</v>
      </c>
      <c r="M29" s="41">
        <f>IF(SUM('Input (3)'!C4:C10)=0,0,IF(J29&gt;=14,LOOKUP(J29,'criteria (3)'!$U$3:$U$10,'criteria (3)'!$V$3:$V$10),0))</f>
        <v>0</v>
      </c>
      <c r="N29" s="42" t="s">
        <v>29</v>
      </c>
      <c r="O29" s="38">
        <f>IF(J29=0,0,IF(Q29&lt;LOOKUP(J29,'criteria (3)'!$U$3:$U$10,'criteria (3)'!$W$3:$W$10),LOOKUP(J29,'criteria (3)'!$U$3:$U$10,'criteria (3)'!$W$3:$W$10),Q29))</f>
        <v>1</v>
      </c>
      <c r="P29" s="2" t="str">
        <f>IF(O29=0," ",IF(O29=Q29," ","Minimum"))</f>
        <v>Minimum</v>
      </c>
      <c r="Q29" s="32">
        <f>ROUND(IF(SUM('Input (3)'!C4:C10)=0,0,IF(M29=0,0,(J29/M29))),2)</f>
        <v>0</v>
      </c>
    </row>
    <row r="30" spans="1:17" ht="21" customHeight="1" thickTop="1">
      <c r="B30" s="47"/>
      <c r="C30" s="47"/>
      <c r="D30" s="47"/>
      <c r="E30" s="47"/>
      <c r="F30" s="47"/>
      <c r="G30" s="47"/>
      <c r="H30" s="47"/>
      <c r="J30" s="12"/>
      <c r="N30" s="42"/>
      <c r="O30" s="36"/>
      <c r="P30" s="46"/>
    </row>
    <row r="31" spans="1:17" ht="19.5" customHeight="1">
      <c r="A31" s="48" t="s">
        <v>39</v>
      </c>
    </row>
    <row r="32" spans="1:17" ht="15">
      <c r="B32" s="1223" t="str">
        <f>IF('Input (3)'!E14=0," ","Alternative Secondary High School")</f>
        <v xml:space="preserve"> </v>
      </c>
      <c r="C32" s="1223"/>
      <c r="D32" s="1223"/>
      <c r="E32" s="1223"/>
      <c r="F32" s="1223"/>
      <c r="G32" s="1223"/>
      <c r="J32" s="1222">
        <f>'Input (3)'!E14</f>
        <v>0</v>
      </c>
      <c r="K32" s="1222"/>
      <c r="L32" s="40" t="s">
        <v>28</v>
      </c>
      <c r="M32" s="41">
        <f>IF(J32=0,0,IF(Q32&lt;1,M18,12))</f>
        <v>0</v>
      </c>
      <c r="N32" s="42" t="s">
        <v>29</v>
      </c>
      <c r="O32" s="38">
        <f>ROUND(IF(J32=0,0,J32/M32),2)</f>
        <v>0</v>
      </c>
      <c r="P32" s="45"/>
      <c r="Q32" s="32">
        <f>ROUND(IF(J32=0,0,J32/12),2)</f>
        <v>0</v>
      </c>
    </row>
    <row r="33" spans="1:17" ht="11.25" customHeight="1">
      <c r="J33" s="43"/>
      <c r="K33" s="43"/>
      <c r="O33" s="43"/>
    </row>
    <row r="34" spans="1:17" ht="11.25" customHeight="1">
      <c r="B34" s="1223" t="str">
        <f>IF('Input (3)'!E15=0," ","Summer Alternative Secondary High School")</f>
        <v xml:space="preserve"> </v>
      </c>
      <c r="C34" s="1223"/>
      <c r="D34" s="1223"/>
      <c r="E34" s="1223"/>
      <c r="F34" s="1223"/>
      <c r="G34" s="1223"/>
      <c r="J34" s="1222">
        <f>'Input (3)'!E15</f>
        <v>0</v>
      </c>
      <c r="K34" s="1222"/>
      <c r="L34" s="40" t="s">
        <v>28</v>
      </c>
      <c r="M34" s="41">
        <f>IF(J34=0,0,40)</f>
        <v>0</v>
      </c>
      <c r="N34" s="42" t="s">
        <v>29</v>
      </c>
      <c r="O34" s="38">
        <f>ROUND(IF(J34=0,0,J34/M34),2)</f>
        <v>0</v>
      </c>
      <c r="P34" s="45"/>
      <c r="Q34" s="32">
        <f>ROUND(IF(J34=0,0,J34/12),2)</f>
        <v>0</v>
      </c>
    </row>
    <row r="35" spans="1:17" ht="13.5" customHeight="1">
      <c r="J35" s="36"/>
      <c r="K35" s="36"/>
      <c r="L35" s="40"/>
      <c r="M35" s="36"/>
      <c r="N35" s="42"/>
      <c r="O35" s="36"/>
      <c r="P35" s="46"/>
    </row>
    <row r="36" spans="1:17" ht="18.75" customHeight="1" thickBot="1">
      <c r="A36" s="45"/>
      <c r="B36" s="12" t="s">
        <v>40</v>
      </c>
      <c r="C36" s="46"/>
      <c r="D36" s="46"/>
      <c r="E36" s="46"/>
      <c r="F36" s="46"/>
      <c r="G36" s="46"/>
      <c r="H36" s="46"/>
      <c r="I36" s="46"/>
      <c r="J36" s="46"/>
      <c r="K36" s="46"/>
      <c r="M36" s="36" t="s">
        <v>29</v>
      </c>
      <c r="N36" s="1224">
        <f>ROUND(IF(SUM(O7:O34)=0,0,SUM(O7:O34)),2)</f>
        <v>13.82</v>
      </c>
      <c r="O36" s="1224"/>
    </row>
    <row r="37" spans="1:17" ht="13.8" thickTop="1"/>
  </sheetData>
  <sheetProtection password="CC16" sheet="1" objects="1" scenarios="1"/>
  <mergeCells count="17">
    <mergeCell ref="B32:G32"/>
    <mergeCell ref="J32:K32"/>
    <mergeCell ref="B34:G34"/>
    <mergeCell ref="J34:K34"/>
    <mergeCell ref="N36:O36"/>
    <mergeCell ref="J29:K29"/>
    <mergeCell ref="A2:O2"/>
    <mergeCell ref="A3:O3"/>
    <mergeCell ref="J5:K5"/>
    <mergeCell ref="J7:K7"/>
    <mergeCell ref="J11:K11"/>
    <mergeCell ref="J13:K13"/>
    <mergeCell ref="J16:K16"/>
    <mergeCell ref="J18:K18"/>
    <mergeCell ref="J22:K22"/>
    <mergeCell ref="J24:K24"/>
    <mergeCell ref="J26:K26"/>
  </mergeCells>
  <pageMargins left="0.5" right="0.5" top="0.5" bottom="0.5" header="0.25" footer="0.25"/>
  <pageSetup scale="81" orientation="portrait" r:id="rId1"/>
  <headerFooter alignWithMargins="0">
    <oddFooter>&amp;L&amp;F</oddFooter>
  </headerFooter>
  <colBreaks count="1" manualBreakCount="1">
    <brk id="16"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dimension ref="A1:R37"/>
  <sheetViews>
    <sheetView showGridLines="0" zoomScale="90" zoomScaleNormal="100" workbookViewId="0">
      <selection activeCell="A2" sqref="A2:O2"/>
    </sheetView>
  </sheetViews>
  <sheetFormatPr defaultRowHeight="13.2"/>
  <cols>
    <col min="1" max="1" width="4.21875" style="30" customWidth="1"/>
    <col min="2" max="2" width="2.5546875" style="2" customWidth="1"/>
    <col min="3" max="6" width="9.21875" style="2"/>
    <col min="7" max="7" width="4.5546875" style="2" customWidth="1"/>
    <col min="8" max="8" width="10.21875" style="2" customWidth="1"/>
    <col min="9" max="9" width="3.21875" style="2" customWidth="1"/>
    <col min="10" max="10" width="9.21875" style="2"/>
    <col min="11" max="11" width="6.21875" style="2" customWidth="1"/>
    <col min="12" max="12" width="3.77734375" style="2" customWidth="1"/>
    <col min="13" max="13" width="10.77734375" style="2" customWidth="1"/>
    <col min="14" max="14" width="4.21875" style="2" customWidth="1"/>
    <col min="15" max="15" width="12.21875" style="2" customWidth="1"/>
    <col min="16" max="16" width="10.21875" style="2" customWidth="1"/>
    <col min="17" max="17" width="9.21875" style="32" customWidth="1"/>
    <col min="18" max="256" width="9.21875" style="2"/>
    <col min="257" max="257" width="4.21875" style="2" customWidth="1"/>
    <col min="258" max="258" width="2.5546875" style="2" customWidth="1"/>
    <col min="259" max="262" width="9.21875" style="2"/>
    <col min="263" max="263" width="4.5546875" style="2" customWidth="1"/>
    <col min="264" max="264" width="10.21875" style="2" customWidth="1"/>
    <col min="265" max="265" width="3.21875" style="2" customWidth="1"/>
    <col min="266" max="266" width="9.21875" style="2"/>
    <col min="267" max="267" width="6.21875" style="2" customWidth="1"/>
    <col min="268" max="268" width="3.77734375" style="2" customWidth="1"/>
    <col min="269" max="269" width="10.77734375" style="2" customWidth="1"/>
    <col min="270" max="270" width="4.21875" style="2" customWidth="1"/>
    <col min="271" max="271" width="12.21875" style="2" customWidth="1"/>
    <col min="272" max="272" width="10.21875" style="2" customWidth="1"/>
    <col min="273" max="273" width="9.21875" style="2" customWidth="1"/>
    <col min="274" max="512" width="9.21875" style="2"/>
    <col min="513" max="513" width="4.21875" style="2" customWidth="1"/>
    <col min="514" max="514" width="2.5546875" style="2" customWidth="1"/>
    <col min="515" max="518" width="9.21875" style="2"/>
    <col min="519" max="519" width="4.5546875" style="2" customWidth="1"/>
    <col min="520" max="520" width="10.21875" style="2" customWidth="1"/>
    <col min="521" max="521" width="3.21875" style="2" customWidth="1"/>
    <col min="522" max="522" width="9.21875" style="2"/>
    <col min="523" max="523" width="6.21875" style="2" customWidth="1"/>
    <col min="524" max="524" width="3.77734375" style="2" customWidth="1"/>
    <col min="525" max="525" width="10.77734375" style="2" customWidth="1"/>
    <col min="526" max="526" width="4.21875" style="2" customWidth="1"/>
    <col min="527" max="527" width="12.21875" style="2" customWidth="1"/>
    <col min="528" max="528" width="10.21875" style="2" customWidth="1"/>
    <col min="529" max="529" width="9.21875" style="2" customWidth="1"/>
    <col min="530" max="768" width="9.21875" style="2"/>
    <col min="769" max="769" width="4.21875" style="2" customWidth="1"/>
    <col min="770" max="770" width="2.5546875" style="2" customWidth="1"/>
    <col min="771" max="774" width="9.21875" style="2"/>
    <col min="775" max="775" width="4.5546875" style="2" customWidth="1"/>
    <col min="776" max="776" width="10.21875" style="2" customWidth="1"/>
    <col min="777" max="777" width="3.21875" style="2" customWidth="1"/>
    <col min="778" max="778" width="9.21875" style="2"/>
    <col min="779" max="779" width="6.21875" style="2" customWidth="1"/>
    <col min="780" max="780" width="3.77734375" style="2" customWidth="1"/>
    <col min="781" max="781" width="10.77734375" style="2" customWidth="1"/>
    <col min="782" max="782" width="4.21875" style="2" customWidth="1"/>
    <col min="783" max="783" width="12.21875" style="2" customWidth="1"/>
    <col min="784" max="784" width="10.21875" style="2" customWidth="1"/>
    <col min="785" max="785" width="9.21875" style="2" customWidth="1"/>
    <col min="786" max="1024" width="9.21875" style="2"/>
    <col min="1025" max="1025" width="4.21875" style="2" customWidth="1"/>
    <col min="1026" max="1026" width="2.5546875" style="2" customWidth="1"/>
    <col min="1027" max="1030" width="9.21875" style="2"/>
    <col min="1031" max="1031" width="4.5546875" style="2" customWidth="1"/>
    <col min="1032" max="1032" width="10.21875" style="2" customWidth="1"/>
    <col min="1033" max="1033" width="3.21875" style="2" customWidth="1"/>
    <col min="1034" max="1034" width="9.21875" style="2"/>
    <col min="1035" max="1035" width="6.21875" style="2" customWidth="1"/>
    <col min="1036" max="1036" width="3.77734375" style="2" customWidth="1"/>
    <col min="1037" max="1037" width="10.77734375" style="2" customWidth="1"/>
    <col min="1038" max="1038" width="4.21875" style="2" customWidth="1"/>
    <col min="1039" max="1039" width="12.21875" style="2" customWidth="1"/>
    <col min="1040" max="1040" width="10.21875" style="2" customWidth="1"/>
    <col min="1041" max="1041" width="9.21875" style="2" customWidth="1"/>
    <col min="1042" max="1280" width="9.21875" style="2"/>
    <col min="1281" max="1281" width="4.21875" style="2" customWidth="1"/>
    <col min="1282" max="1282" width="2.5546875" style="2" customWidth="1"/>
    <col min="1283" max="1286" width="9.21875" style="2"/>
    <col min="1287" max="1287" width="4.5546875" style="2" customWidth="1"/>
    <col min="1288" max="1288" width="10.21875" style="2" customWidth="1"/>
    <col min="1289" max="1289" width="3.21875" style="2" customWidth="1"/>
    <col min="1290" max="1290" width="9.21875" style="2"/>
    <col min="1291" max="1291" width="6.21875" style="2" customWidth="1"/>
    <col min="1292" max="1292" width="3.77734375" style="2" customWidth="1"/>
    <col min="1293" max="1293" width="10.77734375" style="2" customWidth="1"/>
    <col min="1294" max="1294" width="4.21875" style="2" customWidth="1"/>
    <col min="1295" max="1295" width="12.21875" style="2" customWidth="1"/>
    <col min="1296" max="1296" width="10.21875" style="2" customWidth="1"/>
    <col min="1297" max="1297" width="9.21875" style="2" customWidth="1"/>
    <col min="1298" max="1536" width="9.21875" style="2"/>
    <col min="1537" max="1537" width="4.21875" style="2" customWidth="1"/>
    <col min="1538" max="1538" width="2.5546875" style="2" customWidth="1"/>
    <col min="1539" max="1542" width="9.21875" style="2"/>
    <col min="1543" max="1543" width="4.5546875" style="2" customWidth="1"/>
    <col min="1544" max="1544" width="10.21875" style="2" customWidth="1"/>
    <col min="1545" max="1545" width="3.21875" style="2" customWidth="1"/>
    <col min="1546" max="1546" width="9.21875" style="2"/>
    <col min="1547" max="1547" width="6.21875" style="2" customWidth="1"/>
    <col min="1548" max="1548" width="3.77734375" style="2" customWidth="1"/>
    <col min="1549" max="1549" width="10.77734375" style="2" customWidth="1"/>
    <col min="1550" max="1550" width="4.21875" style="2" customWidth="1"/>
    <col min="1551" max="1551" width="12.21875" style="2" customWidth="1"/>
    <col min="1552" max="1552" width="10.21875" style="2" customWidth="1"/>
    <col min="1553" max="1553" width="9.21875" style="2" customWidth="1"/>
    <col min="1554" max="1792" width="9.21875" style="2"/>
    <col min="1793" max="1793" width="4.21875" style="2" customWidth="1"/>
    <col min="1794" max="1794" width="2.5546875" style="2" customWidth="1"/>
    <col min="1795" max="1798" width="9.21875" style="2"/>
    <col min="1799" max="1799" width="4.5546875" style="2" customWidth="1"/>
    <col min="1800" max="1800" width="10.21875" style="2" customWidth="1"/>
    <col min="1801" max="1801" width="3.21875" style="2" customWidth="1"/>
    <col min="1802" max="1802" width="9.21875" style="2"/>
    <col min="1803" max="1803" width="6.21875" style="2" customWidth="1"/>
    <col min="1804" max="1804" width="3.77734375" style="2" customWidth="1"/>
    <col min="1805" max="1805" width="10.77734375" style="2" customWidth="1"/>
    <col min="1806" max="1806" width="4.21875" style="2" customWidth="1"/>
    <col min="1807" max="1807" width="12.21875" style="2" customWidth="1"/>
    <col min="1808" max="1808" width="10.21875" style="2" customWidth="1"/>
    <col min="1809" max="1809" width="9.21875" style="2" customWidth="1"/>
    <col min="1810" max="2048" width="9.21875" style="2"/>
    <col min="2049" max="2049" width="4.21875" style="2" customWidth="1"/>
    <col min="2050" max="2050" width="2.5546875" style="2" customWidth="1"/>
    <col min="2051" max="2054" width="9.21875" style="2"/>
    <col min="2055" max="2055" width="4.5546875" style="2" customWidth="1"/>
    <col min="2056" max="2056" width="10.21875" style="2" customWidth="1"/>
    <col min="2057" max="2057" width="3.21875" style="2" customWidth="1"/>
    <col min="2058" max="2058" width="9.21875" style="2"/>
    <col min="2059" max="2059" width="6.21875" style="2" customWidth="1"/>
    <col min="2060" max="2060" width="3.77734375" style="2" customWidth="1"/>
    <col min="2061" max="2061" width="10.77734375" style="2" customWidth="1"/>
    <col min="2062" max="2062" width="4.21875" style="2" customWidth="1"/>
    <col min="2063" max="2063" width="12.21875" style="2" customWidth="1"/>
    <col min="2064" max="2064" width="10.21875" style="2" customWidth="1"/>
    <col min="2065" max="2065" width="9.21875" style="2" customWidth="1"/>
    <col min="2066" max="2304" width="9.21875" style="2"/>
    <col min="2305" max="2305" width="4.21875" style="2" customWidth="1"/>
    <col min="2306" max="2306" width="2.5546875" style="2" customWidth="1"/>
    <col min="2307" max="2310" width="9.21875" style="2"/>
    <col min="2311" max="2311" width="4.5546875" style="2" customWidth="1"/>
    <col min="2312" max="2312" width="10.21875" style="2" customWidth="1"/>
    <col min="2313" max="2313" width="3.21875" style="2" customWidth="1"/>
    <col min="2314" max="2314" width="9.21875" style="2"/>
    <col min="2315" max="2315" width="6.21875" style="2" customWidth="1"/>
    <col min="2316" max="2316" width="3.77734375" style="2" customWidth="1"/>
    <col min="2317" max="2317" width="10.77734375" style="2" customWidth="1"/>
    <col min="2318" max="2318" width="4.21875" style="2" customWidth="1"/>
    <col min="2319" max="2319" width="12.21875" style="2" customWidth="1"/>
    <col min="2320" max="2320" width="10.21875" style="2" customWidth="1"/>
    <col min="2321" max="2321" width="9.21875" style="2" customWidth="1"/>
    <col min="2322" max="2560" width="9.21875" style="2"/>
    <col min="2561" max="2561" width="4.21875" style="2" customWidth="1"/>
    <col min="2562" max="2562" width="2.5546875" style="2" customWidth="1"/>
    <col min="2563" max="2566" width="9.21875" style="2"/>
    <col min="2567" max="2567" width="4.5546875" style="2" customWidth="1"/>
    <col min="2568" max="2568" width="10.21875" style="2" customWidth="1"/>
    <col min="2569" max="2569" width="3.21875" style="2" customWidth="1"/>
    <col min="2570" max="2570" width="9.21875" style="2"/>
    <col min="2571" max="2571" width="6.21875" style="2" customWidth="1"/>
    <col min="2572" max="2572" width="3.77734375" style="2" customWidth="1"/>
    <col min="2573" max="2573" width="10.77734375" style="2" customWidth="1"/>
    <col min="2574" max="2574" width="4.21875" style="2" customWidth="1"/>
    <col min="2575" max="2575" width="12.21875" style="2" customWidth="1"/>
    <col min="2576" max="2576" width="10.21875" style="2" customWidth="1"/>
    <col min="2577" max="2577" width="9.21875" style="2" customWidth="1"/>
    <col min="2578" max="2816" width="9.21875" style="2"/>
    <col min="2817" max="2817" width="4.21875" style="2" customWidth="1"/>
    <col min="2818" max="2818" width="2.5546875" style="2" customWidth="1"/>
    <col min="2819" max="2822" width="9.21875" style="2"/>
    <col min="2823" max="2823" width="4.5546875" style="2" customWidth="1"/>
    <col min="2824" max="2824" width="10.21875" style="2" customWidth="1"/>
    <col min="2825" max="2825" width="3.21875" style="2" customWidth="1"/>
    <col min="2826" max="2826" width="9.21875" style="2"/>
    <col min="2827" max="2827" width="6.21875" style="2" customWidth="1"/>
    <col min="2828" max="2828" width="3.77734375" style="2" customWidth="1"/>
    <col min="2829" max="2829" width="10.77734375" style="2" customWidth="1"/>
    <col min="2830" max="2830" width="4.21875" style="2" customWidth="1"/>
    <col min="2831" max="2831" width="12.21875" style="2" customWidth="1"/>
    <col min="2832" max="2832" width="10.21875" style="2" customWidth="1"/>
    <col min="2833" max="2833" width="9.21875" style="2" customWidth="1"/>
    <col min="2834" max="3072" width="9.21875" style="2"/>
    <col min="3073" max="3073" width="4.21875" style="2" customWidth="1"/>
    <col min="3074" max="3074" width="2.5546875" style="2" customWidth="1"/>
    <col min="3075" max="3078" width="9.21875" style="2"/>
    <col min="3079" max="3079" width="4.5546875" style="2" customWidth="1"/>
    <col min="3080" max="3080" width="10.21875" style="2" customWidth="1"/>
    <col min="3081" max="3081" width="3.21875" style="2" customWidth="1"/>
    <col min="3082" max="3082" width="9.21875" style="2"/>
    <col min="3083" max="3083" width="6.21875" style="2" customWidth="1"/>
    <col min="3084" max="3084" width="3.77734375" style="2" customWidth="1"/>
    <col min="3085" max="3085" width="10.77734375" style="2" customWidth="1"/>
    <col min="3086" max="3086" width="4.21875" style="2" customWidth="1"/>
    <col min="3087" max="3087" width="12.21875" style="2" customWidth="1"/>
    <col min="3088" max="3088" width="10.21875" style="2" customWidth="1"/>
    <col min="3089" max="3089" width="9.21875" style="2" customWidth="1"/>
    <col min="3090" max="3328" width="9.21875" style="2"/>
    <col min="3329" max="3329" width="4.21875" style="2" customWidth="1"/>
    <col min="3330" max="3330" width="2.5546875" style="2" customWidth="1"/>
    <col min="3331" max="3334" width="9.21875" style="2"/>
    <col min="3335" max="3335" width="4.5546875" style="2" customWidth="1"/>
    <col min="3336" max="3336" width="10.21875" style="2" customWidth="1"/>
    <col min="3337" max="3337" width="3.21875" style="2" customWidth="1"/>
    <col min="3338" max="3338" width="9.21875" style="2"/>
    <col min="3339" max="3339" width="6.21875" style="2" customWidth="1"/>
    <col min="3340" max="3340" width="3.77734375" style="2" customWidth="1"/>
    <col min="3341" max="3341" width="10.77734375" style="2" customWidth="1"/>
    <col min="3342" max="3342" width="4.21875" style="2" customWidth="1"/>
    <col min="3343" max="3343" width="12.21875" style="2" customWidth="1"/>
    <col min="3344" max="3344" width="10.21875" style="2" customWidth="1"/>
    <col min="3345" max="3345" width="9.21875" style="2" customWidth="1"/>
    <col min="3346" max="3584" width="9.21875" style="2"/>
    <col min="3585" max="3585" width="4.21875" style="2" customWidth="1"/>
    <col min="3586" max="3586" width="2.5546875" style="2" customWidth="1"/>
    <col min="3587" max="3590" width="9.21875" style="2"/>
    <col min="3591" max="3591" width="4.5546875" style="2" customWidth="1"/>
    <col min="3592" max="3592" width="10.21875" style="2" customWidth="1"/>
    <col min="3593" max="3593" width="3.21875" style="2" customWidth="1"/>
    <col min="3594" max="3594" width="9.21875" style="2"/>
    <col min="3595" max="3595" width="6.21875" style="2" customWidth="1"/>
    <col min="3596" max="3596" width="3.77734375" style="2" customWidth="1"/>
    <col min="3597" max="3597" width="10.77734375" style="2" customWidth="1"/>
    <col min="3598" max="3598" width="4.21875" style="2" customWidth="1"/>
    <col min="3599" max="3599" width="12.21875" style="2" customWidth="1"/>
    <col min="3600" max="3600" width="10.21875" style="2" customWidth="1"/>
    <col min="3601" max="3601" width="9.21875" style="2" customWidth="1"/>
    <col min="3602" max="3840" width="9.21875" style="2"/>
    <col min="3841" max="3841" width="4.21875" style="2" customWidth="1"/>
    <col min="3842" max="3842" width="2.5546875" style="2" customWidth="1"/>
    <col min="3843" max="3846" width="9.21875" style="2"/>
    <col min="3847" max="3847" width="4.5546875" style="2" customWidth="1"/>
    <col min="3848" max="3848" width="10.21875" style="2" customWidth="1"/>
    <col min="3849" max="3849" width="3.21875" style="2" customWidth="1"/>
    <col min="3850" max="3850" width="9.21875" style="2"/>
    <col min="3851" max="3851" width="6.21875" style="2" customWidth="1"/>
    <col min="3852" max="3852" width="3.77734375" style="2" customWidth="1"/>
    <col min="3853" max="3853" width="10.77734375" style="2" customWidth="1"/>
    <col min="3854" max="3854" width="4.21875" style="2" customWidth="1"/>
    <col min="3855" max="3855" width="12.21875" style="2" customWidth="1"/>
    <col min="3856" max="3856" width="10.21875" style="2" customWidth="1"/>
    <col min="3857" max="3857" width="9.21875" style="2" customWidth="1"/>
    <col min="3858" max="4096" width="9.21875" style="2"/>
    <col min="4097" max="4097" width="4.21875" style="2" customWidth="1"/>
    <col min="4098" max="4098" width="2.5546875" style="2" customWidth="1"/>
    <col min="4099" max="4102" width="9.21875" style="2"/>
    <col min="4103" max="4103" width="4.5546875" style="2" customWidth="1"/>
    <col min="4104" max="4104" width="10.21875" style="2" customWidth="1"/>
    <col min="4105" max="4105" width="3.21875" style="2" customWidth="1"/>
    <col min="4106" max="4106" width="9.21875" style="2"/>
    <col min="4107" max="4107" width="6.21875" style="2" customWidth="1"/>
    <col min="4108" max="4108" width="3.77734375" style="2" customWidth="1"/>
    <col min="4109" max="4109" width="10.77734375" style="2" customWidth="1"/>
    <col min="4110" max="4110" width="4.21875" style="2" customWidth="1"/>
    <col min="4111" max="4111" width="12.21875" style="2" customWidth="1"/>
    <col min="4112" max="4112" width="10.21875" style="2" customWidth="1"/>
    <col min="4113" max="4113" width="9.21875" style="2" customWidth="1"/>
    <col min="4114" max="4352" width="9.21875" style="2"/>
    <col min="4353" max="4353" width="4.21875" style="2" customWidth="1"/>
    <col min="4354" max="4354" width="2.5546875" style="2" customWidth="1"/>
    <col min="4355" max="4358" width="9.21875" style="2"/>
    <col min="4359" max="4359" width="4.5546875" style="2" customWidth="1"/>
    <col min="4360" max="4360" width="10.21875" style="2" customWidth="1"/>
    <col min="4361" max="4361" width="3.21875" style="2" customWidth="1"/>
    <col min="4362" max="4362" width="9.21875" style="2"/>
    <col min="4363" max="4363" width="6.21875" style="2" customWidth="1"/>
    <col min="4364" max="4364" width="3.77734375" style="2" customWidth="1"/>
    <col min="4365" max="4365" width="10.77734375" style="2" customWidth="1"/>
    <col min="4366" max="4366" width="4.21875" style="2" customWidth="1"/>
    <col min="4367" max="4367" width="12.21875" style="2" customWidth="1"/>
    <col min="4368" max="4368" width="10.21875" style="2" customWidth="1"/>
    <col min="4369" max="4369" width="9.21875" style="2" customWidth="1"/>
    <col min="4370" max="4608" width="9.21875" style="2"/>
    <col min="4609" max="4609" width="4.21875" style="2" customWidth="1"/>
    <col min="4610" max="4610" width="2.5546875" style="2" customWidth="1"/>
    <col min="4611" max="4614" width="9.21875" style="2"/>
    <col min="4615" max="4615" width="4.5546875" style="2" customWidth="1"/>
    <col min="4616" max="4616" width="10.21875" style="2" customWidth="1"/>
    <col min="4617" max="4617" width="3.21875" style="2" customWidth="1"/>
    <col min="4618" max="4618" width="9.21875" style="2"/>
    <col min="4619" max="4619" width="6.21875" style="2" customWidth="1"/>
    <col min="4620" max="4620" width="3.77734375" style="2" customWidth="1"/>
    <col min="4621" max="4621" width="10.77734375" style="2" customWidth="1"/>
    <col min="4622" max="4622" width="4.21875" style="2" customWidth="1"/>
    <col min="4623" max="4623" width="12.21875" style="2" customWidth="1"/>
    <col min="4624" max="4624" width="10.21875" style="2" customWidth="1"/>
    <col min="4625" max="4625" width="9.21875" style="2" customWidth="1"/>
    <col min="4626" max="4864" width="9.21875" style="2"/>
    <col min="4865" max="4865" width="4.21875" style="2" customWidth="1"/>
    <col min="4866" max="4866" width="2.5546875" style="2" customWidth="1"/>
    <col min="4867" max="4870" width="9.21875" style="2"/>
    <col min="4871" max="4871" width="4.5546875" style="2" customWidth="1"/>
    <col min="4872" max="4872" width="10.21875" style="2" customWidth="1"/>
    <col min="4873" max="4873" width="3.21875" style="2" customWidth="1"/>
    <col min="4874" max="4874" width="9.21875" style="2"/>
    <col min="4875" max="4875" width="6.21875" style="2" customWidth="1"/>
    <col min="4876" max="4876" width="3.77734375" style="2" customWidth="1"/>
    <col min="4877" max="4877" width="10.77734375" style="2" customWidth="1"/>
    <col min="4878" max="4878" width="4.21875" style="2" customWidth="1"/>
    <col min="4879" max="4879" width="12.21875" style="2" customWidth="1"/>
    <col min="4880" max="4880" width="10.21875" style="2" customWidth="1"/>
    <col min="4881" max="4881" width="9.21875" style="2" customWidth="1"/>
    <col min="4882" max="5120" width="9.21875" style="2"/>
    <col min="5121" max="5121" width="4.21875" style="2" customWidth="1"/>
    <col min="5122" max="5122" width="2.5546875" style="2" customWidth="1"/>
    <col min="5123" max="5126" width="9.21875" style="2"/>
    <col min="5127" max="5127" width="4.5546875" style="2" customWidth="1"/>
    <col min="5128" max="5128" width="10.21875" style="2" customWidth="1"/>
    <col min="5129" max="5129" width="3.21875" style="2" customWidth="1"/>
    <col min="5130" max="5130" width="9.21875" style="2"/>
    <col min="5131" max="5131" width="6.21875" style="2" customWidth="1"/>
    <col min="5132" max="5132" width="3.77734375" style="2" customWidth="1"/>
    <col min="5133" max="5133" width="10.77734375" style="2" customWidth="1"/>
    <col min="5134" max="5134" width="4.21875" style="2" customWidth="1"/>
    <col min="5135" max="5135" width="12.21875" style="2" customWidth="1"/>
    <col min="5136" max="5136" width="10.21875" style="2" customWidth="1"/>
    <col min="5137" max="5137" width="9.21875" style="2" customWidth="1"/>
    <col min="5138" max="5376" width="9.21875" style="2"/>
    <col min="5377" max="5377" width="4.21875" style="2" customWidth="1"/>
    <col min="5378" max="5378" width="2.5546875" style="2" customWidth="1"/>
    <col min="5379" max="5382" width="9.21875" style="2"/>
    <col min="5383" max="5383" width="4.5546875" style="2" customWidth="1"/>
    <col min="5384" max="5384" width="10.21875" style="2" customWidth="1"/>
    <col min="5385" max="5385" width="3.21875" style="2" customWidth="1"/>
    <col min="5386" max="5386" width="9.21875" style="2"/>
    <col min="5387" max="5387" width="6.21875" style="2" customWidth="1"/>
    <col min="5388" max="5388" width="3.77734375" style="2" customWidth="1"/>
    <col min="5389" max="5389" width="10.77734375" style="2" customWidth="1"/>
    <col min="5390" max="5390" width="4.21875" style="2" customWidth="1"/>
    <col min="5391" max="5391" width="12.21875" style="2" customWidth="1"/>
    <col min="5392" max="5392" width="10.21875" style="2" customWidth="1"/>
    <col min="5393" max="5393" width="9.21875" style="2" customWidth="1"/>
    <col min="5394" max="5632" width="9.21875" style="2"/>
    <col min="5633" max="5633" width="4.21875" style="2" customWidth="1"/>
    <col min="5634" max="5634" width="2.5546875" style="2" customWidth="1"/>
    <col min="5635" max="5638" width="9.21875" style="2"/>
    <col min="5639" max="5639" width="4.5546875" style="2" customWidth="1"/>
    <col min="5640" max="5640" width="10.21875" style="2" customWidth="1"/>
    <col min="5641" max="5641" width="3.21875" style="2" customWidth="1"/>
    <col min="5642" max="5642" width="9.21875" style="2"/>
    <col min="5643" max="5643" width="6.21875" style="2" customWidth="1"/>
    <col min="5644" max="5644" width="3.77734375" style="2" customWidth="1"/>
    <col min="5645" max="5645" width="10.77734375" style="2" customWidth="1"/>
    <col min="5646" max="5646" width="4.21875" style="2" customWidth="1"/>
    <col min="5647" max="5647" width="12.21875" style="2" customWidth="1"/>
    <col min="5648" max="5648" width="10.21875" style="2" customWidth="1"/>
    <col min="5649" max="5649" width="9.21875" style="2" customWidth="1"/>
    <col min="5650" max="5888" width="9.21875" style="2"/>
    <col min="5889" max="5889" width="4.21875" style="2" customWidth="1"/>
    <col min="5890" max="5890" width="2.5546875" style="2" customWidth="1"/>
    <col min="5891" max="5894" width="9.21875" style="2"/>
    <col min="5895" max="5895" width="4.5546875" style="2" customWidth="1"/>
    <col min="5896" max="5896" width="10.21875" style="2" customWidth="1"/>
    <col min="5897" max="5897" width="3.21875" style="2" customWidth="1"/>
    <col min="5898" max="5898" width="9.21875" style="2"/>
    <col min="5899" max="5899" width="6.21875" style="2" customWidth="1"/>
    <col min="5900" max="5900" width="3.77734375" style="2" customWidth="1"/>
    <col min="5901" max="5901" width="10.77734375" style="2" customWidth="1"/>
    <col min="5902" max="5902" width="4.21875" style="2" customWidth="1"/>
    <col min="5903" max="5903" width="12.21875" style="2" customWidth="1"/>
    <col min="5904" max="5904" width="10.21875" style="2" customWidth="1"/>
    <col min="5905" max="5905" width="9.21875" style="2" customWidth="1"/>
    <col min="5906" max="6144" width="9.21875" style="2"/>
    <col min="6145" max="6145" width="4.21875" style="2" customWidth="1"/>
    <col min="6146" max="6146" width="2.5546875" style="2" customWidth="1"/>
    <col min="6147" max="6150" width="9.21875" style="2"/>
    <col min="6151" max="6151" width="4.5546875" style="2" customWidth="1"/>
    <col min="6152" max="6152" width="10.21875" style="2" customWidth="1"/>
    <col min="6153" max="6153" width="3.21875" style="2" customWidth="1"/>
    <col min="6154" max="6154" width="9.21875" style="2"/>
    <col min="6155" max="6155" width="6.21875" style="2" customWidth="1"/>
    <col min="6156" max="6156" width="3.77734375" style="2" customWidth="1"/>
    <col min="6157" max="6157" width="10.77734375" style="2" customWidth="1"/>
    <col min="6158" max="6158" width="4.21875" style="2" customWidth="1"/>
    <col min="6159" max="6159" width="12.21875" style="2" customWidth="1"/>
    <col min="6160" max="6160" width="10.21875" style="2" customWidth="1"/>
    <col min="6161" max="6161" width="9.21875" style="2" customWidth="1"/>
    <col min="6162" max="6400" width="9.21875" style="2"/>
    <col min="6401" max="6401" width="4.21875" style="2" customWidth="1"/>
    <col min="6402" max="6402" width="2.5546875" style="2" customWidth="1"/>
    <col min="6403" max="6406" width="9.21875" style="2"/>
    <col min="6407" max="6407" width="4.5546875" style="2" customWidth="1"/>
    <col min="6408" max="6408" width="10.21875" style="2" customWidth="1"/>
    <col min="6409" max="6409" width="3.21875" style="2" customWidth="1"/>
    <col min="6410" max="6410" width="9.21875" style="2"/>
    <col min="6411" max="6411" width="6.21875" style="2" customWidth="1"/>
    <col min="6412" max="6412" width="3.77734375" style="2" customWidth="1"/>
    <col min="6413" max="6413" width="10.77734375" style="2" customWidth="1"/>
    <col min="6414" max="6414" width="4.21875" style="2" customWidth="1"/>
    <col min="6415" max="6415" width="12.21875" style="2" customWidth="1"/>
    <col min="6416" max="6416" width="10.21875" style="2" customWidth="1"/>
    <col min="6417" max="6417" width="9.21875" style="2" customWidth="1"/>
    <col min="6418" max="6656" width="9.21875" style="2"/>
    <col min="6657" max="6657" width="4.21875" style="2" customWidth="1"/>
    <col min="6658" max="6658" width="2.5546875" style="2" customWidth="1"/>
    <col min="6659" max="6662" width="9.21875" style="2"/>
    <col min="6663" max="6663" width="4.5546875" style="2" customWidth="1"/>
    <col min="6664" max="6664" width="10.21875" style="2" customWidth="1"/>
    <col min="6665" max="6665" width="3.21875" style="2" customWidth="1"/>
    <col min="6666" max="6666" width="9.21875" style="2"/>
    <col min="6667" max="6667" width="6.21875" style="2" customWidth="1"/>
    <col min="6668" max="6668" width="3.77734375" style="2" customWidth="1"/>
    <col min="6669" max="6669" width="10.77734375" style="2" customWidth="1"/>
    <col min="6670" max="6670" width="4.21875" style="2" customWidth="1"/>
    <col min="6671" max="6671" width="12.21875" style="2" customWidth="1"/>
    <col min="6672" max="6672" width="10.21875" style="2" customWidth="1"/>
    <col min="6673" max="6673" width="9.21875" style="2" customWidth="1"/>
    <col min="6674" max="6912" width="9.21875" style="2"/>
    <col min="6913" max="6913" width="4.21875" style="2" customWidth="1"/>
    <col min="6914" max="6914" width="2.5546875" style="2" customWidth="1"/>
    <col min="6915" max="6918" width="9.21875" style="2"/>
    <col min="6919" max="6919" width="4.5546875" style="2" customWidth="1"/>
    <col min="6920" max="6920" width="10.21875" style="2" customWidth="1"/>
    <col min="6921" max="6921" width="3.21875" style="2" customWidth="1"/>
    <col min="6922" max="6922" width="9.21875" style="2"/>
    <col min="6923" max="6923" width="6.21875" style="2" customWidth="1"/>
    <col min="6924" max="6924" width="3.77734375" style="2" customWidth="1"/>
    <col min="6925" max="6925" width="10.77734375" style="2" customWidth="1"/>
    <col min="6926" max="6926" width="4.21875" style="2" customWidth="1"/>
    <col min="6927" max="6927" width="12.21875" style="2" customWidth="1"/>
    <col min="6928" max="6928" width="10.21875" style="2" customWidth="1"/>
    <col min="6929" max="6929" width="9.21875" style="2" customWidth="1"/>
    <col min="6930" max="7168" width="9.21875" style="2"/>
    <col min="7169" max="7169" width="4.21875" style="2" customWidth="1"/>
    <col min="7170" max="7170" width="2.5546875" style="2" customWidth="1"/>
    <col min="7171" max="7174" width="9.21875" style="2"/>
    <col min="7175" max="7175" width="4.5546875" style="2" customWidth="1"/>
    <col min="7176" max="7176" width="10.21875" style="2" customWidth="1"/>
    <col min="7177" max="7177" width="3.21875" style="2" customWidth="1"/>
    <col min="7178" max="7178" width="9.21875" style="2"/>
    <col min="7179" max="7179" width="6.21875" style="2" customWidth="1"/>
    <col min="7180" max="7180" width="3.77734375" style="2" customWidth="1"/>
    <col min="7181" max="7181" width="10.77734375" style="2" customWidth="1"/>
    <col min="7182" max="7182" width="4.21875" style="2" customWidth="1"/>
    <col min="7183" max="7183" width="12.21875" style="2" customWidth="1"/>
    <col min="7184" max="7184" width="10.21875" style="2" customWidth="1"/>
    <col min="7185" max="7185" width="9.21875" style="2" customWidth="1"/>
    <col min="7186" max="7424" width="9.21875" style="2"/>
    <col min="7425" max="7425" width="4.21875" style="2" customWidth="1"/>
    <col min="7426" max="7426" width="2.5546875" style="2" customWidth="1"/>
    <col min="7427" max="7430" width="9.21875" style="2"/>
    <col min="7431" max="7431" width="4.5546875" style="2" customWidth="1"/>
    <col min="7432" max="7432" width="10.21875" style="2" customWidth="1"/>
    <col min="7433" max="7433" width="3.21875" style="2" customWidth="1"/>
    <col min="7434" max="7434" width="9.21875" style="2"/>
    <col min="7435" max="7435" width="6.21875" style="2" customWidth="1"/>
    <col min="7436" max="7436" width="3.77734375" style="2" customWidth="1"/>
    <col min="7437" max="7437" width="10.77734375" style="2" customWidth="1"/>
    <col min="7438" max="7438" width="4.21875" style="2" customWidth="1"/>
    <col min="7439" max="7439" width="12.21875" style="2" customWidth="1"/>
    <col min="7440" max="7440" width="10.21875" style="2" customWidth="1"/>
    <col min="7441" max="7441" width="9.21875" style="2" customWidth="1"/>
    <col min="7442" max="7680" width="9.21875" style="2"/>
    <col min="7681" max="7681" width="4.21875" style="2" customWidth="1"/>
    <col min="7682" max="7682" width="2.5546875" style="2" customWidth="1"/>
    <col min="7683" max="7686" width="9.21875" style="2"/>
    <col min="7687" max="7687" width="4.5546875" style="2" customWidth="1"/>
    <col min="7688" max="7688" width="10.21875" style="2" customWidth="1"/>
    <col min="7689" max="7689" width="3.21875" style="2" customWidth="1"/>
    <col min="7690" max="7690" width="9.21875" style="2"/>
    <col min="7691" max="7691" width="6.21875" style="2" customWidth="1"/>
    <col min="7692" max="7692" width="3.77734375" style="2" customWidth="1"/>
    <col min="7693" max="7693" width="10.77734375" style="2" customWidth="1"/>
    <col min="7694" max="7694" width="4.21875" style="2" customWidth="1"/>
    <col min="7695" max="7695" width="12.21875" style="2" customWidth="1"/>
    <col min="7696" max="7696" width="10.21875" style="2" customWidth="1"/>
    <col min="7697" max="7697" width="9.21875" style="2" customWidth="1"/>
    <col min="7698" max="7936" width="9.21875" style="2"/>
    <col min="7937" max="7937" width="4.21875" style="2" customWidth="1"/>
    <col min="7938" max="7938" width="2.5546875" style="2" customWidth="1"/>
    <col min="7939" max="7942" width="9.21875" style="2"/>
    <col min="7943" max="7943" width="4.5546875" style="2" customWidth="1"/>
    <col min="7944" max="7944" width="10.21875" style="2" customWidth="1"/>
    <col min="7945" max="7945" width="3.21875" style="2" customWidth="1"/>
    <col min="7946" max="7946" width="9.21875" style="2"/>
    <col min="7947" max="7947" width="6.21875" style="2" customWidth="1"/>
    <col min="7948" max="7948" width="3.77734375" style="2" customWidth="1"/>
    <col min="7949" max="7949" width="10.77734375" style="2" customWidth="1"/>
    <col min="7950" max="7950" width="4.21875" style="2" customWidth="1"/>
    <col min="7951" max="7951" width="12.21875" style="2" customWidth="1"/>
    <col min="7952" max="7952" width="10.21875" style="2" customWidth="1"/>
    <col min="7953" max="7953" width="9.21875" style="2" customWidth="1"/>
    <col min="7954" max="8192" width="9.21875" style="2"/>
    <col min="8193" max="8193" width="4.21875" style="2" customWidth="1"/>
    <col min="8194" max="8194" width="2.5546875" style="2" customWidth="1"/>
    <col min="8195" max="8198" width="9.21875" style="2"/>
    <col min="8199" max="8199" width="4.5546875" style="2" customWidth="1"/>
    <col min="8200" max="8200" width="10.21875" style="2" customWidth="1"/>
    <col min="8201" max="8201" width="3.21875" style="2" customWidth="1"/>
    <col min="8202" max="8202" width="9.21875" style="2"/>
    <col min="8203" max="8203" width="6.21875" style="2" customWidth="1"/>
    <col min="8204" max="8204" width="3.77734375" style="2" customWidth="1"/>
    <col min="8205" max="8205" width="10.77734375" style="2" customWidth="1"/>
    <col min="8206" max="8206" width="4.21875" style="2" customWidth="1"/>
    <col min="8207" max="8207" width="12.21875" style="2" customWidth="1"/>
    <col min="8208" max="8208" width="10.21875" style="2" customWidth="1"/>
    <col min="8209" max="8209" width="9.21875" style="2" customWidth="1"/>
    <col min="8210" max="8448" width="9.21875" style="2"/>
    <col min="8449" max="8449" width="4.21875" style="2" customWidth="1"/>
    <col min="8450" max="8450" width="2.5546875" style="2" customWidth="1"/>
    <col min="8451" max="8454" width="9.21875" style="2"/>
    <col min="8455" max="8455" width="4.5546875" style="2" customWidth="1"/>
    <col min="8456" max="8456" width="10.21875" style="2" customWidth="1"/>
    <col min="8457" max="8457" width="3.21875" style="2" customWidth="1"/>
    <col min="8458" max="8458" width="9.21875" style="2"/>
    <col min="8459" max="8459" width="6.21875" style="2" customWidth="1"/>
    <col min="8460" max="8460" width="3.77734375" style="2" customWidth="1"/>
    <col min="8461" max="8461" width="10.77734375" style="2" customWidth="1"/>
    <col min="8462" max="8462" width="4.21875" style="2" customWidth="1"/>
    <col min="8463" max="8463" width="12.21875" style="2" customWidth="1"/>
    <col min="8464" max="8464" width="10.21875" style="2" customWidth="1"/>
    <col min="8465" max="8465" width="9.21875" style="2" customWidth="1"/>
    <col min="8466" max="8704" width="9.21875" style="2"/>
    <col min="8705" max="8705" width="4.21875" style="2" customWidth="1"/>
    <col min="8706" max="8706" width="2.5546875" style="2" customWidth="1"/>
    <col min="8707" max="8710" width="9.21875" style="2"/>
    <col min="8711" max="8711" width="4.5546875" style="2" customWidth="1"/>
    <col min="8712" max="8712" width="10.21875" style="2" customWidth="1"/>
    <col min="8713" max="8713" width="3.21875" style="2" customWidth="1"/>
    <col min="8714" max="8714" width="9.21875" style="2"/>
    <col min="8715" max="8715" width="6.21875" style="2" customWidth="1"/>
    <col min="8716" max="8716" width="3.77734375" style="2" customWidth="1"/>
    <col min="8717" max="8717" width="10.77734375" style="2" customWidth="1"/>
    <col min="8718" max="8718" width="4.21875" style="2" customWidth="1"/>
    <col min="8719" max="8719" width="12.21875" style="2" customWidth="1"/>
    <col min="8720" max="8720" width="10.21875" style="2" customWidth="1"/>
    <col min="8721" max="8721" width="9.21875" style="2" customWidth="1"/>
    <col min="8722" max="8960" width="9.21875" style="2"/>
    <col min="8961" max="8961" width="4.21875" style="2" customWidth="1"/>
    <col min="8962" max="8962" width="2.5546875" style="2" customWidth="1"/>
    <col min="8963" max="8966" width="9.21875" style="2"/>
    <col min="8967" max="8967" width="4.5546875" style="2" customWidth="1"/>
    <col min="8968" max="8968" width="10.21875" style="2" customWidth="1"/>
    <col min="8969" max="8969" width="3.21875" style="2" customWidth="1"/>
    <col min="8970" max="8970" width="9.21875" style="2"/>
    <col min="8971" max="8971" width="6.21875" style="2" customWidth="1"/>
    <col min="8972" max="8972" width="3.77734375" style="2" customWidth="1"/>
    <col min="8973" max="8973" width="10.77734375" style="2" customWidth="1"/>
    <col min="8974" max="8974" width="4.21875" style="2" customWidth="1"/>
    <col min="8975" max="8975" width="12.21875" style="2" customWidth="1"/>
    <col min="8976" max="8976" width="10.21875" style="2" customWidth="1"/>
    <col min="8977" max="8977" width="9.21875" style="2" customWidth="1"/>
    <col min="8978" max="9216" width="9.21875" style="2"/>
    <col min="9217" max="9217" width="4.21875" style="2" customWidth="1"/>
    <col min="9218" max="9218" width="2.5546875" style="2" customWidth="1"/>
    <col min="9219" max="9222" width="9.21875" style="2"/>
    <col min="9223" max="9223" width="4.5546875" style="2" customWidth="1"/>
    <col min="9224" max="9224" width="10.21875" style="2" customWidth="1"/>
    <col min="9225" max="9225" width="3.21875" style="2" customWidth="1"/>
    <col min="9226" max="9226" width="9.21875" style="2"/>
    <col min="9227" max="9227" width="6.21875" style="2" customWidth="1"/>
    <col min="9228" max="9228" width="3.77734375" style="2" customWidth="1"/>
    <col min="9229" max="9229" width="10.77734375" style="2" customWidth="1"/>
    <col min="9230" max="9230" width="4.21875" style="2" customWidth="1"/>
    <col min="9231" max="9231" width="12.21875" style="2" customWidth="1"/>
    <col min="9232" max="9232" width="10.21875" style="2" customWidth="1"/>
    <col min="9233" max="9233" width="9.21875" style="2" customWidth="1"/>
    <col min="9234" max="9472" width="9.21875" style="2"/>
    <col min="9473" max="9473" width="4.21875" style="2" customWidth="1"/>
    <col min="9474" max="9474" width="2.5546875" style="2" customWidth="1"/>
    <col min="9475" max="9478" width="9.21875" style="2"/>
    <col min="9479" max="9479" width="4.5546875" style="2" customWidth="1"/>
    <col min="9480" max="9480" width="10.21875" style="2" customWidth="1"/>
    <col min="9481" max="9481" width="3.21875" style="2" customWidth="1"/>
    <col min="9482" max="9482" width="9.21875" style="2"/>
    <col min="9483" max="9483" width="6.21875" style="2" customWidth="1"/>
    <col min="9484" max="9484" width="3.77734375" style="2" customWidth="1"/>
    <col min="9485" max="9485" width="10.77734375" style="2" customWidth="1"/>
    <col min="9486" max="9486" width="4.21875" style="2" customWidth="1"/>
    <col min="9487" max="9487" width="12.21875" style="2" customWidth="1"/>
    <col min="9488" max="9488" width="10.21875" style="2" customWidth="1"/>
    <col min="9489" max="9489" width="9.21875" style="2" customWidth="1"/>
    <col min="9490" max="9728" width="9.21875" style="2"/>
    <col min="9729" max="9729" width="4.21875" style="2" customWidth="1"/>
    <col min="9730" max="9730" width="2.5546875" style="2" customWidth="1"/>
    <col min="9731" max="9734" width="9.21875" style="2"/>
    <col min="9735" max="9735" width="4.5546875" style="2" customWidth="1"/>
    <col min="9736" max="9736" width="10.21875" style="2" customWidth="1"/>
    <col min="9737" max="9737" width="3.21875" style="2" customWidth="1"/>
    <col min="9738" max="9738" width="9.21875" style="2"/>
    <col min="9739" max="9739" width="6.21875" style="2" customWidth="1"/>
    <col min="9740" max="9740" width="3.77734375" style="2" customWidth="1"/>
    <col min="9741" max="9741" width="10.77734375" style="2" customWidth="1"/>
    <col min="9742" max="9742" width="4.21875" style="2" customWidth="1"/>
    <col min="9743" max="9743" width="12.21875" style="2" customWidth="1"/>
    <col min="9744" max="9744" width="10.21875" style="2" customWidth="1"/>
    <col min="9745" max="9745" width="9.21875" style="2" customWidth="1"/>
    <col min="9746" max="9984" width="9.21875" style="2"/>
    <col min="9985" max="9985" width="4.21875" style="2" customWidth="1"/>
    <col min="9986" max="9986" width="2.5546875" style="2" customWidth="1"/>
    <col min="9987" max="9990" width="9.21875" style="2"/>
    <col min="9991" max="9991" width="4.5546875" style="2" customWidth="1"/>
    <col min="9992" max="9992" width="10.21875" style="2" customWidth="1"/>
    <col min="9993" max="9993" width="3.21875" style="2" customWidth="1"/>
    <col min="9994" max="9994" width="9.21875" style="2"/>
    <col min="9995" max="9995" width="6.21875" style="2" customWidth="1"/>
    <col min="9996" max="9996" width="3.77734375" style="2" customWidth="1"/>
    <col min="9997" max="9997" width="10.77734375" style="2" customWidth="1"/>
    <col min="9998" max="9998" width="4.21875" style="2" customWidth="1"/>
    <col min="9999" max="9999" width="12.21875" style="2" customWidth="1"/>
    <col min="10000" max="10000" width="10.21875" style="2" customWidth="1"/>
    <col min="10001" max="10001" width="9.21875" style="2" customWidth="1"/>
    <col min="10002" max="10240" width="9.21875" style="2"/>
    <col min="10241" max="10241" width="4.21875" style="2" customWidth="1"/>
    <col min="10242" max="10242" width="2.5546875" style="2" customWidth="1"/>
    <col min="10243" max="10246" width="9.21875" style="2"/>
    <col min="10247" max="10247" width="4.5546875" style="2" customWidth="1"/>
    <col min="10248" max="10248" width="10.21875" style="2" customWidth="1"/>
    <col min="10249" max="10249" width="3.21875" style="2" customWidth="1"/>
    <col min="10250" max="10250" width="9.21875" style="2"/>
    <col min="10251" max="10251" width="6.21875" style="2" customWidth="1"/>
    <col min="10252" max="10252" width="3.77734375" style="2" customWidth="1"/>
    <col min="10253" max="10253" width="10.77734375" style="2" customWidth="1"/>
    <col min="10254" max="10254" width="4.21875" style="2" customWidth="1"/>
    <col min="10255" max="10255" width="12.21875" style="2" customWidth="1"/>
    <col min="10256" max="10256" width="10.21875" style="2" customWidth="1"/>
    <col min="10257" max="10257" width="9.21875" style="2" customWidth="1"/>
    <col min="10258" max="10496" width="9.21875" style="2"/>
    <col min="10497" max="10497" width="4.21875" style="2" customWidth="1"/>
    <col min="10498" max="10498" width="2.5546875" style="2" customWidth="1"/>
    <col min="10499" max="10502" width="9.21875" style="2"/>
    <col min="10503" max="10503" width="4.5546875" style="2" customWidth="1"/>
    <col min="10504" max="10504" width="10.21875" style="2" customWidth="1"/>
    <col min="10505" max="10505" width="3.21875" style="2" customWidth="1"/>
    <col min="10506" max="10506" width="9.21875" style="2"/>
    <col min="10507" max="10507" width="6.21875" style="2" customWidth="1"/>
    <col min="10508" max="10508" width="3.77734375" style="2" customWidth="1"/>
    <col min="10509" max="10509" width="10.77734375" style="2" customWidth="1"/>
    <col min="10510" max="10510" width="4.21875" style="2" customWidth="1"/>
    <col min="10511" max="10511" width="12.21875" style="2" customWidth="1"/>
    <col min="10512" max="10512" width="10.21875" style="2" customWidth="1"/>
    <col min="10513" max="10513" width="9.21875" style="2" customWidth="1"/>
    <col min="10514" max="10752" width="9.21875" style="2"/>
    <col min="10753" max="10753" width="4.21875" style="2" customWidth="1"/>
    <col min="10754" max="10754" width="2.5546875" style="2" customWidth="1"/>
    <col min="10755" max="10758" width="9.21875" style="2"/>
    <col min="10759" max="10759" width="4.5546875" style="2" customWidth="1"/>
    <col min="10760" max="10760" width="10.21875" style="2" customWidth="1"/>
    <col min="10761" max="10761" width="3.21875" style="2" customWidth="1"/>
    <col min="10762" max="10762" width="9.21875" style="2"/>
    <col min="10763" max="10763" width="6.21875" style="2" customWidth="1"/>
    <col min="10764" max="10764" width="3.77734375" style="2" customWidth="1"/>
    <col min="10765" max="10765" width="10.77734375" style="2" customWidth="1"/>
    <col min="10766" max="10766" width="4.21875" style="2" customWidth="1"/>
    <col min="10767" max="10767" width="12.21875" style="2" customWidth="1"/>
    <col min="10768" max="10768" width="10.21875" style="2" customWidth="1"/>
    <col min="10769" max="10769" width="9.21875" style="2" customWidth="1"/>
    <col min="10770" max="11008" width="9.21875" style="2"/>
    <col min="11009" max="11009" width="4.21875" style="2" customWidth="1"/>
    <col min="11010" max="11010" width="2.5546875" style="2" customWidth="1"/>
    <col min="11011" max="11014" width="9.21875" style="2"/>
    <col min="11015" max="11015" width="4.5546875" style="2" customWidth="1"/>
    <col min="11016" max="11016" width="10.21875" style="2" customWidth="1"/>
    <col min="11017" max="11017" width="3.21875" style="2" customWidth="1"/>
    <col min="11018" max="11018" width="9.21875" style="2"/>
    <col min="11019" max="11019" width="6.21875" style="2" customWidth="1"/>
    <col min="11020" max="11020" width="3.77734375" style="2" customWidth="1"/>
    <col min="11021" max="11021" width="10.77734375" style="2" customWidth="1"/>
    <col min="11022" max="11022" width="4.21875" style="2" customWidth="1"/>
    <col min="11023" max="11023" width="12.21875" style="2" customWidth="1"/>
    <col min="11024" max="11024" width="10.21875" style="2" customWidth="1"/>
    <col min="11025" max="11025" width="9.21875" style="2" customWidth="1"/>
    <col min="11026" max="11264" width="9.21875" style="2"/>
    <col min="11265" max="11265" width="4.21875" style="2" customWidth="1"/>
    <col min="11266" max="11266" width="2.5546875" style="2" customWidth="1"/>
    <col min="11267" max="11270" width="9.21875" style="2"/>
    <col min="11271" max="11271" width="4.5546875" style="2" customWidth="1"/>
    <col min="11272" max="11272" width="10.21875" style="2" customWidth="1"/>
    <col min="11273" max="11273" width="3.21875" style="2" customWidth="1"/>
    <col min="11274" max="11274" width="9.21875" style="2"/>
    <col min="11275" max="11275" width="6.21875" style="2" customWidth="1"/>
    <col min="11276" max="11276" width="3.77734375" style="2" customWidth="1"/>
    <col min="11277" max="11277" width="10.77734375" style="2" customWidth="1"/>
    <col min="11278" max="11278" width="4.21875" style="2" customWidth="1"/>
    <col min="11279" max="11279" width="12.21875" style="2" customWidth="1"/>
    <col min="11280" max="11280" width="10.21875" style="2" customWidth="1"/>
    <col min="11281" max="11281" width="9.21875" style="2" customWidth="1"/>
    <col min="11282" max="11520" width="9.21875" style="2"/>
    <col min="11521" max="11521" width="4.21875" style="2" customWidth="1"/>
    <col min="11522" max="11522" width="2.5546875" style="2" customWidth="1"/>
    <col min="11523" max="11526" width="9.21875" style="2"/>
    <col min="11527" max="11527" width="4.5546875" style="2" customWidth="1"/>
    <col min="11528" max="11528" width="10.21875" style="2" customWidth="1"/>
    <col min="11529" max="11529" width="3.21875" style="2" customWidth="1"/>
    <col min="11530" max="11530" width="9.21875" style="2"/>
    <col min="11531" max="11531" width="6.21875" style="2" customWidth="1"/>
    <col min="11532" max="11532" width="3.77734375" style="2" customWidth="1"/>
    <col min="11533" max="11533" width="10.77734375" style="2" customWidth="1"/>
    <col min="11534" max="11534" width="4.21875" style="2" customWidth="1"/>
    <col min="11535" max="11535" width="12.21875" style="2" customWidth="1"/>
    <col min="11536" max="11536" width="10.21875" style="2" customWidth="1"/>
    <col min="11537" max="11537" width="9.21875" style="2" customWidth="1"/>
    <col min="11538" max="11776" width="9.21875" style="2"/>
    <col min="11777" max="11777" width="4.21875" style="2" customWidth="1"/>
    <col min="11778" max="11778" width="2.5546875" style="2" customWidth="1"/>
    <col min="11779" max="11782" width="9.21875" style="2"/>
    <col min="11783" max="11783" width="4.5546875" style="2" customWidth="1"/>
    <col min="11784" max="11784" width="10.21875" style="2" customWidth="1"/>
    <col min="11785" max="11785" width="3.21875" style="2" customWidth="1"/>
    <col min="11786" max="11786" width="9.21875" style="2"/>
    <col min="11787" max="11787" width="6.21875" style="2" customWidth="1"/>
    <col min="11788" max="11788" width="3.77734375" style="2" customWidth="1"/>
    <col min="11789" max="11789" width="10.77734375" style="2" customWidth="1"/>
    <col min="11790" max="11790" width="4.21875" style="2" customWidth="1"/>
    <col min="11791" max="11791" width="12.21875" style="2" customWidth="1"/>
    <col min="11792" max="11792" width="10.21875" style="2" customWidth="1"/>
    <col min="11793" max="11793" width="9.21875" style="2" customWidth="1"/>
    <col min="11794" max="12032" width="9.21875" style="2"/>
    <col min="12033" max="12033" width="4.21875" style="2" customWidth="1"/>
    <col min="12034" max="12034" width="2.5546875" style="2" customWidth="1"/>
    <col min="12035" max="12038" width="9.21875" style="2"/>
    <col min="12039" max="12039" width="4.5546875" style="2" customWidth="1"/>
    <col min="12040" max="12040" width="10.21875" style="2" customWidth="1"/>
    <col min="12041" max="12041" width="3.21875" style="2" customWidth="1"/>
    <col min="12042" max="12042" width="9.21875" style="2"/>
    <col min="12043" max="12043" width="6.21875" style="2" customWidth="1"/>
    <col min="12044" max="12044" width="3.77734375" style="2" customWidth="1"/>
    <col min="12045" max="12045" width="10.77734375" style="2" customWidth="1"/>
    <col min="12046" max="12046" width="4.21875" style="2" customWidth="1"/>
    <col min="12047" max="12047" width="12.21875" style="2" customWidth="1"/>
    <col min="12048" max="12048" width="10.21875" style="2" customWidth="1"/>
    <col min="12049" max="12049" width="9.21875" style="2" customWidth="1"/>
    <col min="12050" max="12288" width="9.21875" style="2"/>
    <col min="12289" max="12289" width="4.21875" style="2" customWidth="1"/>
    <col min="12290" max="12290" width="2.5546875" style="2" customWidth="1"/>
    <col min="12291" max="12294" width="9.21875" style="2"/>
    <col min="12295" max="12295" width="4.5546875" style="2" customWidth="1"/>
    <col min="12296" max="12296" width="10.21875" style="2" customWidth="1"/>
    <col min="12297" max="12297" width="3.21875" style="2" customWidth="1"/>
    <col min="12298" max="12298" width="9.21875" style="2"/>
    <col min="12299" max="12299" width="6.21875" style="2" customWidth="1"/>
    <col min="12300" max="12300" width="3.77734375" style="2" customWidth="1"/>
    <col min="12301" max="12301" width="10.77734375" style="2" customWidth="1"/>
    <col min="12302" max="12302" width="4.21875" style="2" customWidth="1"/>
    <col min="12303" max="12303" width="12.21875" style="2" customWidth="1"/>
    <col min="12304" max="12304" width="10.21875" style="2" customWidth="1"/>
    <col min="12305" max="12305" width="9.21875" style="2" customWidth="1"/>
    <col min="12306" max="12544" width="9.21875" style="2"/>
    <col min="12545" max="12545" width="4.21875" style="2" customWidth="1"/>
    <col min="12546" max="12546" width="2.5546875" style="2" customWidth="1"/>
    <col min="12547" max="12550" width="9.21875" style="2"/>
    <col min="12551" max="12551" width="4.5546875" style="2" customWidth="1"/>
    <col min="12552" max="12552" width="10.21875" style="2" customWidth="1"/>
    <col min="12553" max="12553" width="3.21875" style="2" customWidth="1"/>
    <col min="12554" max="12554" width="9.21875" style="2"/>
    <col min="12555" max="12555" width="6.21875" style="2" customWidth="1"/>
    <col min="12556" max="12556" width="3.77734375" style="2" customWidth="1"/>
    <col min="12557" max="12557" width="10.77734375" style="2" customWidth="1"/>
    <col min="12558" max="12558" width="4.21875" style="2" customWidth="1"/>
    <col min="12559" max="12559" width="12.21875" style="2" customWidth="1"/>
    <col min="12560" max="12560" width="10.21875" style="2" customWidth="1"/>
    <col min="12561" max="12561" width="9.21875" style="2" customWidth="1"/>
    <col min="12562" max="12800" width="9.21875" style="2"/>
    <col min="12801" max="12801" width="4.21875" style="2" customWidth="1"/>
    <col min="12802" max="12802" width="2.5546875" style="2" customWidth="1"/>
    <col min="12803" max="12806" width="9.21875" style="2"/>
    <col min="12807" max="12807" width="4.5546875" style="2" customWidth="1"/>
    <col min="12808" max="12808" width="10.21875" style="2" customWidth="1"/>
    <col min="12809" max="12809" width="3.21875" style="2" customWidth="1"/>
    <col min="12810" max="12810" width="9.21875" style="2"/>
    <col min="12811" max="12811" width="6.21875" style="2" customWidth="1"/>
    <col min="12812" max="12812" width="3.77734375" style="2" customWidth="1"/>
    <col min="12813" max="12813" width="10.77734375" style="2" customWidth="1"/>
    <col min="12814" max="12814" width="4.21875" style="2" customWidth="1"/>
    <col min="12815" max="12815" width="12.21875" style="2" customWidth="1"/>
    <col min="12816" max="12816" width="10.21875" style="2" customWidth="1"/>
    <col min="12817" max="12817" width="9.21875" style="2" customWidth="1"/>
    <col min="12818" max="13056" width="9.21875" style="2"/>
    <col min="13057" max="13057" width="4.21875" style="2" customWidth="1"/>
    <col min="13058" max="13058" width="2.5546875" style="2" customWidth="1"/>
    <col min="13059" max="13062" width="9.21875" style="2"/>
    <col min="13063" max="13063" width="4.5546875" style="2" customWidth="1"/>
    <col min="13064" max="13064" width="10.21875" style="2" customWidth="1"/>
    <col min="13065" max="13065" width="3.21875" style="2" customWidth="1"/>
    <col min="13066" max="13066" width="9.21875" style="2"/>
    <col min="13067" max="13067" width="6.21875" style="2" customWidth="1"/>
    <col min="13068" max="13068" width="3.77734375" style="2" customWidth="1"/>
    <col min="13069" max="13069" width="10.77734375" style="2" customWidth="1"/>
    <col min="13070" max="13070" width="4.21875" style="2" customWidth="1"/>
    <col min="13071" max="13071" width="12.21875" style="2" customWidth="1"/>
    <col min="13072" max="13072" width="10.21875" style="2" customWidth="1"/>
    <col min="13073" max="13073" width="9.21875" style="2" customWidth="1"/>
    <col min="13074" max="13312" width="9.21875" style="2"/>
    <col min="13313" max="13313" width="4.21875" style="2" customWidth="1"/>
    <col min="13314" max="13314" width="2.5546875" style="2" customWidth="1"/>
    <col min="13315" max="13318" width="9.21875" style="2"/>
    <col min="13319" max="13319" width="4.5546875" style="2" customWidth="1"/>
    <col min="13320" max="13320" width="10.21875" style="2" customWidth="1"/>
    <col min="13321" max="13321" width="3.21875" style="2" customWidth="1"/>
    <col min="13322" max="13322" width="9.21875" style="2"/>
    <col min="13323" max="13323" width="6.21875" style="2" customWidth="1"/>
    <col min="13324" max="13324" width="3.77734375" style="2" customWidth="1"/>
    <col min="13325" max="13325" width="10.77734375" style="2" customWidth="1"/>
    <col min="13326" max="13326" width="4.21875" style="2" customWidth="1"/>
    <col min="13327" max="13327" width="12.21875" style="2" customWidth="1"/>
    <col min="13328" max="13328" width="10.21875" style="2" customWidth="1"/>
    <col min="13329" max="13329" width="9.21875" style="2" customWidth="1"/>
    <col min="13330" max="13568" width="9.21875" style="2"/>
    <col min="13569" max="13569" width="4.21875" style="2" customWidth="1"/>
    <col min="13570" max="13570" width="2.5546875" style="2" customWidth="1"/>
    <col min="13571" max="13574" width="9.21875" style="2"/>
    <col min="13575" max="13575" width="4.5546875" style="2" customWidth="1"/>
    <col min="13576" max="13576" width="10.21875" style="2" customWidth="1"/>
    <col min="13577" max="13577" width="3.21875" style="2" customWidth="1"/>
    <col min="13578" max="13578" width="9.21875" style="2"/>
    <col min="13579" max="13579" width="6.21875" style="2" customWidth="1"/>
    <col min="13580" max="13580" width="3.77734375" style="2" customWidth="1"/>
    <col min="13581" max="13581" width="10.77734375" style="2" customWidth="1"/>
    <col min="13582" max="13582" width="4.21875" style="2" customWidth="1"/>
    <col min="13583" max="13583" width="12.21875" style="2" customWidth="1"/>
    <col min="13584" max="13584" width="10.21875" style="2" customWidth="1"/>
    <col min="13585" max="13585" width="9.21875" style="2" customWidth="1"/>
    <col min="13586" max="13824" width="9.21875" style="2"/>
    <col min="13825" max="13825" width="4.21875" style="2" customWidth="1"/>
    <col min="13826" max="13826" width="2.5546875" style="2" customWidth="1"/>
    <col min="13827" max="13830" width="9.21875" style="2"/>
    <col min="13831" max="13831" width="4.5546875" style="2" customWidth="1"/>
    <col min="13832" max="13832" width="10.21875" style="2" customWidth="1"/>
    <col min="13833" max="13833" width="3.21875" style="2" customWidth="1"/>
    <col min="13834" max="13834" width="9.21875" style="2"/>
    <col min="13835" max="13835" width="6.21875" style="2" customWidth="1"/>
    <col min="13836" max="13836" width="3.77734375" style="2" customWidth="1"/>
    <col min="13837" max="13837" width="10.77734375" style="2" customWidth="1"/>
    <col min="13838" max="13838" width="4.21875" style="2" customWidth="1"/>
    <col min="13839" max="13839" width="12.21875" style="2" customWidth="1"/>
    <col min="13840" max="13840" width="10.21875" style="2" customWidth="1"/>
    <col min="13841" max="13841" width="9.21875" style="2" customWidth="1"/>
    <col min="13842" max="14080" width="9.21875" style="2"/>
    <col min="14081" max="14081" width="4.21875" style="2" customWidth="1"/>
    <col min="14082" max="14082" width="2.5546875" style="2" customWidth="1"/>
    <col min="14083" max="14086" width="9.21875" style="2"/>
    <col min="14087" max="14087" width="4.5546875" style="2" customWidth="1"/>
    <col min="14088" max="14088" width="10.21875" style="2" customWidth="1"/>
    <col min="14089" max="14089" width="3.21875" style="2" customWidth="1"/>
    <col min="14090" max="14090" width="9.21875" style="2"/>
    <col min="14091" max="14091" width="6.21875" style="2" customWidth="1"/>
    <col min="14092" max="14092" width="3.77734375" style="2" customWidth="1"/>
    <col min="14093" max="14093" width="10.77734375" style="2" customWidth="1"/>
    <col min="14094" max="14094" width="4.21875" style="2" customWidth="1"/>
    <col min="14095" max="14095" width="12.21875" style="2" customWidth="1"/>
    <col min="14096" max="14096" width="10.21875" style="2" customWidth="1"/>
    <col min="14097" max="14097" width="9.21875" style="2" customWidth="1"/>
    <col min="14098" max="14336" width="9.21875" style="2"/>
    <col min="14337" max="14337" width="4.21875" style="2" customWidth="1"/>
    <col min="14338" max="14338" width="2.5546875" style="2" customWidth="1"/>
    <col min="14339" max="14342" width="9.21875" style="2"/>
    <col min="14343" max="14343" width="4.5546875" style="2" customWidth="1"/>
    <col min="14344" max="14344" width="10.21875" style="2" customWidth="1"/>
    <col min="14345" max="14345" width="3.21875" style="2" customWidth="1"/>
    <col min="14346" max="14346" width="9.21875" style="2"/>
    <col min="14347" max="14347" width="6.21875" style="2" customWidth="1"/>
    <col min="14348" max="14348" width="3.77734375" style="2" customWidth="1"/>
    <col min="14349" max="14349" width="10.77734375" style="2" customWidth="1"/>
    <col min="14350" max="14350" width="4.21875" style="2" customWidth="1"/>
    <col min="14351" max="14351" width="12.21875" style="2" customWidth="1"/>
    <col min="14352" max="14352" width="10.21875" style="2" customWidth="1"/>
    <col min="14353" max="14353" width="9.21875" style="2" customWidth="1"/>
    <col min="14354" max="14592" width="9.21875" style="2"/>
    <col min="14593" max="14593" width="4.21875" style="2" customWidth="1"/>
    <col min="14594" max="14594" width="2.5546875" style="2" customWidth="1"/>
    <col min="14595" max="14598" width="9.21875" style="2"/>
    <col min="14599" max="14599" width="4.5546875" style="2" customWidth="1"/>
    <col min="14600" max="14600" width="10.21875" style="2" customWidth="1"/>
    <col min="14601" max="14601" width="3.21875" style="2" customWidth="1"/>
    <col min="14602" max="14602" width="9.21875" style="2"/>
    <col min="14603" max="14603" width="6.21875" style="2" customWidth="1"/>
    <col min="14604" max="14604" width="3.77734375" style="2" customWidth="1"/>
    <col min="14605" max="14605" width="10.77734375" style="2" customWidth="1"/>
    <col min="14606" max="14606" width="4.21875" style="2" customWidth="1"/>
    <col min="14607" max="14607" width="12.21875" style="2" customWidth="1"/>
    <col min="14608" max="14608" width="10.21875" style="2" customWidth="1"/>
    <col min="14609" max="14609" width="9.21875" style="2" customWidth="1"/>
    <col min="14610" max="14848" width="9.21875" style="2"/>
    <col min="14849" max="14849" width="4.21875" style="2" customWidth="1"/>
    <col min="14850" max="14850" width="2.5546875" style="2" customWidth="1"/>
    <col min="14851" max="14854" width="9.21875" style="2"/>
    <col min="14855" max="14855" width="4.5546875" style="2" customWidth="1"/>
    <col min="14856" max="14856" width="10.21875" style="2" customWidth="1"/>
    <col min="14857" max="14857" width="3.21875" style="2" customWidth="1"/>
    <col min="14858" max="14858" width="9.21875" style="2"/>
    <col min="14859" max="14859" width="6.21875" style="2" customWidth="1"/>
    <col min="14860" max="14860" width="3.77734375" style="2" customWidth="1"/>
    <col min="14861" max="14861" width="10.77734375" style="2" customWidth="1"/>
    <col min="14862" max="14862" width="4.21875" style="2" customWidth="1"/>
    <col min="14863" max="14863" width="12.21875" style="2" customWidth="1"/>
    <col min="14864" max="14864" width="10.21875" style="2" customWidth="1"/>
    <col min="14865" max="14865" width="9.21875" style="2" customWidth="1"/>
    <col min="14866" max="15104" width="9.21875" style="2"/>
    <col min="15105" max="15105" width="4.21875" style="2" customWidth="1"/>
    <col min="15106" max="15106" width="2.5546875" style="2" customWidth="1"/>
    <col min="15107" max="15110" width="9.21875" style="2"/>
    <col min="15111" max="15111" width="4.5546875" style="2" customWidth="1"/>
    <col min="15112" max="15112" width="10.21875" style="2" customWidth="1"/>
    <col min="15113" max="15113" width="3.21875" style="2" customWidth="1"/>
    <col min="15114" max="15114" width="9.21875" style="2"/>
    <col min="15115" max="15115" width="6.21875" style="2" customWidth="1"/>
    <col min="15116" max="15116" width="3.77734375" style="2" customWidth="1"/>
    <col min="15117" max="15117" width="10.77734375" style="2" customWidth="1"/>
    <col min="15118" max="15118" width="4.21875" style="2" customWidth="1"/>
    <col min="15119" max="15119" width="12.21875" style="2" customWidth="1"/>
    <col min="15120" max="15120" width="10.21875" style="2" customWidth="1"/>
    <col min="15121" max="15121" width="9.21875" style="2" customWidth="1"/>
    <col min="15122" max="15360" width="9.21875" style="2"/>
    <col min="15361" max="15361" width="4.21875" style="2" customWidth="1"/>
    <col min="15362" max="15362" width="2.5546875" style="2" customWidth="1"/>
    <col min="15363" max="15366" width="9.21875" style="2"/>
    <col min="15367" max="15367" width="4.5546875" style="2" customWidth="1"/>
    <col min="15368" max="15368" width="10.21875" style="2" customWidth="1"/>
    <col min="15369" max="15369" width="3.21875" style="2" customWidth="1"/>
    <col min="15370" max="15370" width="9.21875" style="2"/>
    <col min="15371" max="15371" width="6.21875" style="2" customWidth="1"/>
    <col min="15372" max="15372" width="3.77734375" style="2" customWidth="1"/>
    <col min="15373" max="15373" width="10.77734375" style="2" customWidth="1"/>
    <col min="15374" max="15374" width="4.21875" style="2" customWidth="1"/>
    <col min="15375" max="15375" width="12.21875" style="2" customWidth="1"/>
    <col min="15376" max="15376" width="10.21875" style="2" customWidth="1"/>
    <col min="15377" max="15377" width="9.21875" style="2" customWidth="1"/>
    <col min="15378" max="15616" width="9.21875" style="2"/>
    <col min="15617" max="15617" width="4.21875" style="2" customWidth="1"/>
    <col min="15618" max="15618" width="2.5546875" style="2" customWidth="1"/>
    <col min="15619" max="15622" width="9.21875" style="2"/>
    <col min="15623" max="15623" width="4.5546875" style="2" customWidth="1"/>
    <col min="15624" max="15624" width="10.21875" style="2" customWidth="1"/>
    <col min="15625" max="15625" width="3.21875" style="2" customWidth="1"/>
    <col min="15626" max="15626" width="9.21875" style="2"/>
    <col min="15627" max="15627" width="6.21875" style="2" customWidth="1"/>
    <col min="15628" max="15628" width="3.77734375" style="2" customWidth="1"/>
    <col min="15629" max="15629" width="10.77734375" style="2" customWidth="1"/>
    <col min="15630" max="15630" width="4.21875" style="2" customWidth="1"/>
    <col min="15631" max="15631" width="12.21875" style="2" customWidth="1"/>
    <col min="15632" max="15632" width="10.21875" style="2" customWidth="1"/>
    <col min="15633" max="15633" width="9.21875" style="2" customWidth="1"/>
    <col min="15634" max="15872" width="9.21875" style="2"/>
    <col min="15873" max="15873" width="4.21875" style="2" customWidth="1"/>
    <col min="15874" max="15874" width="2.5546875" style="2" customWidth="1"/>
    <col min="15875" max="15878" width="9.21875" style="2"/>
    <col min="15879" max="15879" width="4.5546875" style="2" customWidth="1"/>
    <col min="15880" max="15880" width="10.21875" style="2" customWidth="1"/>
    <col min="15881" max="15881" width="3.21875" style="2" customWidth="1"/>
    <col min="15882" max="15882" width="9.21875" style="2"/>
    <col min="15883" max="15883" width="6.21875" style="2" customWidth="1"/>
    <col min="15884" max="15884" width="3.77734375" style="2" customWidth="1"/>
    <col min="15885" max="15885" width="10.77734375" style="2" customWidth="1"/>
    <col min="15886" max="15886" width="4.21875" style="2" customWidth="1"/>
    <col min="15887" max="15887" width="12.21875" style="2" customWidth="1"/>
    <col min="15888" max="15888" width="10.21875" style="2" customWidth="1"/>
    <col min="15889" max="15889" width="9.21875" style="2" customWidth="1"/>
    <col min="15890" max="16128" width="9.21875" style="2"/>
    <col min="16129" max="16129" width="4.21875" style="2" customWidth="1"/>
    <col min="16130" max="16130" width="2.5546875" style="2" customWidth="1"/>
    <col min="16131" max="16134" width="9.21875" style="2"/>
    <col min="16135" max="16135" width="4.5546875" style="2" customWidth="1"/>
    <col min="16136" max="16136" width="10.21875" style="2" customWidth="1"/>
    <col min="16137" max="16137" width="3.21875" style="2" customWidth="1"/>
    <col min="16138" max="16138" width="9.21875" style="2"/>
    <col min="16139" max="16139" width="6.21875" style="2" customWidth="1"/>
    <col min="16140" max="16140" width="3.77734375" style="2" customWidth="1"/>
    <col min="16141" max="16141" width="10.77734375" style="2" customWidth="1"/>
    <col min="16142" max="16142" width="4.21875" style="2" customWidth="1"/>
    <col min="16143" max="16143" width="12.21875" style="2" customWidth="1"/>
    <col min="16144" max="16144" width="10.21875" style="2" customWidth="1"/>
    <col min="16145" max="16145" width="9.21875" style="2" customWidth="1"/>
    <col min="16146" max="16384" width="9.21875" style="2"/>
  </cols>
  <sheetData>
    <row r="1" spans="1:18" ht="14.25" customHeight="1">
      <c r="A1" s="1220" t="s">
        <v>20</v>
      </c>
      <c r="B1" s="1220"/>
      <c r="C1" s="1220"/>
      <c r="D1" s="1220"/>
      <c r="E1" s="1220"/>
      <c r="F1" s="1220"/>
      <c r="G1" s="1220"/>
      <c r="H1" s="1220"/>
      <c r="I1" s="1220"/>
      <c r="J1" s="1220"/>
      <c r="K1" s="1220"/>
      <c r="L1" s="1220"/>
      <c r="M1" s="1220"/>
      <c r="N1" s="1220"/>
      <c r="O1" s="1220"/>
      <c r="P1" s="49"/>
      <c r="Q1" s="50"/>
      <c r="R1" s="49"/>
    </row>
    <row r="2" spans="1:18" ht="15.6">
      <c r="A2" s="1220" t="s">
        <v>21</v>
      </c>
      <c r="B2" s="1220"/>
      <c r="C2" s="1220"/>
      <c r="D2" s="1220"/>
      <c r="E2" s="1220"/>
      <c r="F2" s="1220"/>
      <c r="G2" s="1220"/>
      <c r="H2" s="1220"/>
      <c r="I2" s="1220"/>
      <c r="J2" s="1220"/>
      <c r="K2" s="1220"/>
      <c r="L2" s="1220"/>
      <c r="M2" s="1220"/>
      <c r="N2" s="1220"/>
      <c r="O2" s="1220"/>
      <c r="P2" s="49"/>
      <c r="Q2" s="50"/>
      <c r="R2" s="49"/>
    </row>
    <row r="3" spans="1:18" ht="15.6">
      <c r="A3" s="1225" t="s">
        <v>41</v>
      </c>
      <c r="B3" s="1225"/>
      <c r="C3" s="1225"/>
      <c r="D3" s="1225"/>
      <c r="E3" s="1225"/>
      <c r="F3" s="1225"/>
      <c r="G3" s="1225"/>
      <c r="H3" s="1225"/>
      <c r="I3" s="1225"/>
      <c r="J3" s="1225"/>
      <c r="K3" s="1225"/>
      <c r="L3" s="1225"/>
      <c r="M3" s="1225"/>
      <c r="N3" s="1225"/>
      <c r="O3" s="1225"/>
    </row>
    <row r="4" spans="1:18" ht="39" customHeight="1">
      <c r="A4" s="33" t="s">
        <v>22</v>
      </c>
      <c r="F4" s="34" t="s">
        <v>23</v>
      </c>
      <c r="H4" s="35" t="s">
        <v>24</v>
      </c>
      <c r="I4" s="36"/>
      <c r="J4" s="1221" t="s">
        <v>25</v>
      </c>
      <c r="K4" s="1217"/>
      <c r="M4" s="3" t="s">
        <v>26</v>
      </c>
      <c r="O4" s="37" t="s">
        <v>27</v>
      </c>
    </row>
    <row r="5" spans="1:18" ht="6.75" customHeight="1"/>
    <row r="6" spans="1:18" ht="15">
      <c r="B6" s="5" t="s">
        <v>6</v>
      </c>
      <c r="F6" s="38">
        <f>IF('Input (3)'!$E$4=0,"0",'Input (3)'!$E$4)</f>
        <v>20.68</v>
      </c>
      <c r="J6" s="1222">
        <f>IF('Input (3)'!E4=0,"0",'Input (3)'!E4)</f>
        <v>20.68</v>
      </c>
      <c r="K6" s="1222"/>
      <c r="L6" s="40" t="s">
        <v>28</v>
      </c>
      <c r="M6" s="41">
        <f>IF('Input (3)'!E4=0,0,LOOKUP(J6,'criteria (3)'!$A$3:$A$10,'criteria (3)'!$B$3:$B$10))</f>
        <v>40</v>
      </c>
      <c r="N6" s="42" t="s">
        <v>29</v>
      </c>
      <c r="O6" s="38">
        <f>IF(Q6=0,0,IF(Q6&lt;LOOKUP(J6,'criteria (3)'!$A$3:$A$10,'criteria (3)'!$C$3:$C$10),LOOKUP(J6,'criteria (3)'!$A$3:$A$10,'criteria (3)'!$C$3:$C$10),IF(LOOKUP(J6,'criteria (3)'!$A$3:$A$10,'criteria (3)'!$C$3:$C$10)=0,0,Q6)))</f>
        <v>0.6</v>
      </c>
      <c r="P6" s="28" t="str">
        <f>IF('Input (3)'!E4=0," ",IF(O6=0,"ADD to 1-6",IF(O6=Q6," ","Minimum")))</f>
        <v>Minimum</v>
      </c>
      <c r="Q6" s="32">
        <f>ROUND(IF('Input (3)'!E4=0,0,IF(M6=0,0,(J6/M6))),2)</f>
        <v>0.52</v>
      </c>
    </row>
    <row r="7" spans="1:18" ht="6.75" customHeight="1">
      <c r="J7" s="43"/>
      <c r="K7" s="43"/>
    </row>
    <row r="8" spans="1:18">
      <c r="B8" s="5" t="s">
        <v>7</v>
      </c>
      <c r="J8" s="43"/>
      <c r="K8" s="43"/>
    </row>
    <row r="9" spans="1:18">
      <c r="B9" s="28" t="s">
        <v>30</v>
      </c>
      <c r="J9" s="43"/>
      <c r="K9" s="43"/>
    </row>
    <row r="10" spans="1:18" ht="16.5" customHeight="1">
      <c r="C10" s="12" t="s">
        <v>8</v>
      </c>
      <c r="F10" s="41" t="str">
        <f>IF(J10=0," ",IF($J$15&gt;300," ",'Input (3)'!E7))</f>
        <v xml:space="preserve"> </v>
      </c>
      <c r="G10" s="44" t="s">
        <v>31</v>
      </c>
      <c r="H10" s="38" t="str">
        <f>IF(J10=0," ",'C (3)'!H25)</f>
        <v xml:space="preserve"> </v>
      </c>
      <c r="I10" s="42" t="s">
        <v>29</v>
      </c>
      <c r="J10" s="1222">
        <f>IF('Input (3)'!E7=0,0,IF(SUM('Input (3)'!E7-'C (3)'!H25)+SUM('Input (3)'!E8-'C (3)'!H26)&gt;299.99,SUM('Input (3)'!E7-'C (3)'!H25),0))</f>
        <v>0</v>
      </c>
      <c r="K10" s="1222"/>
      <c r="L10" s="40" t="s">
        <v>28</v>
      </c>
      <c r="M10" s="41">
        <f>IF(SUM('Input (3)'!$E$7-'C (3)'!$H$25)+SUM('Input (3)'!$E$8-'C (3)'!$H$26)&gt;299.99,20,0)</f>
        <v>0</v>
      </c>
      <c r="N10" s="42" t="s">
        <v>29</v>
      </c>
      <c r="O10" s="41">
        <f>ROUND(IF(SUM('Input (3)'!$E$7-'C (3)'!$H$25)+SUM('Input (3)'!$E$8-'C (3)'!$H$26)&lt;299.99,0,IF(Q10+Q12&lt;15,0,(J10/M10))),2)</f>
        <v>0</v>
      </c>
      <c r="P10" s="2" t="str">
        <f>IF(O10=0," ",IF(O10=Q10," ","Minimum"))</f>
        <v xml:space="preserve"> </v>
      </c>
      <c r="Q10" s="32">
        <f>ROUND(IF(SUM('Input (3)'!$E$7-'C (3)'!$H$25)+SUM('Input (3)'!$E$8-'C (3)'!$H$26)&lt;299.99,0,(J10/M10)),2)</f>
        <v>0</v>
      </c>
    </row>
    <row r="11" spans="1:18" ht="10.5" customHeight="1">
      <c r="B11" s="12"/>
      <c r="J11" s="43"/>
      <c r="K11" s="43"/>
    </row>
    <row r="12" spans="1:18" ht="15">
      <c r="C12" s="12" t="s">
        <v>9</v>
      </c>
      <c r="F12" s="41" t="str">
        <f>IF(J12=0," ",IF($J$15&gt;300," ",'Input (3)'!E8))</f>
        <v xml:space="preserve"> </v>
      </c>
      <c r="G12" s="44" t="s">
        <v>31</v>
      </c>
      <c r="H12" s="38" t="str">
        <f>IF(J12=0," ",'C (3)'!H26)</f>
        <v xml:space="preserve"> </v>
      </c>
      <c r="I12" s="42" t="s">
        <v>29</v>
      </c>
      <c r="J12" s="1222">
        <f>IF('Input (3)'!E8=0,0,IF(SUM('Input (3)'!E7-'C (3)'!H25)+SUM('Input (3)'!E8-'C (3)'!H26)&gt;299.99,SUM('Input (3)'!E8-'C (3)'!H26),0))</f>
        <v>0</v>
      </c>
      <c r="K12" s="1222"/>
      <c r="L12" s="40" t="s">
        <v>28</v>
      </c>
      <c r="M12" s="41">
        <f>IF(SUM('Input (3)'!$E$7-'C (3)'!$H$25)+SUM('Input (3)'!$E$8-'C (3)'!$H$26)&gt;299.99,23,0)</f>
        <v>0</v>
      </c>
      <c r="N12" s="42" t="s">
        <v>29</v>
      </c>
      <c r="O12" s="41">
        <f>ROUND(IF(SUM('Input (3)'!$E$7-'C (3)'!$H$25)+SUM('Input (3)'!$E$8-'C (3)'!$H$26)&lt;299.99,0,IF(Q10+Q12&lt;15,0,($J$12/$M$12))),2)</f>
        <v>0</v>
      </c>
      <c r="P12" s="2" t="str">
        <f>IF(O12=0," ",IF(O12=Q12," ","Minimum"))</f>
        <v xml:space="preserve"> </v>
      </c>
      <c r="Q12" s="32">
        <f>ROUND(IF(SUM('Input (3)'!$E$7-'C (3)'!$H$25)+SUM('Input (3)'!$E$8-'C (3)'!$H$26)&lt;299.99,0,($J$12/$M$12)),2)</f>
        <v>0</v>
      </c>
    </row>
    <row r="13" spans="1:18">
      <c r="O13" s="36" t="str">
        <f>IF(P13="Minimum",15," ")</f>
        <v xml:space="preserve"> </v>
      </c>
      <c r="P13" s="2" t="str">
        <f>IF(Q10+Q12=0," ",IF(Q10+Q12&lt;15,"Minimum"," "))</f>
        <v xml:space="preserve"> </v>
      </c>
    </row>
    <row r="14" spans="1:18">
      <c r="B14" s="5" t="s">
        <v>7</v>
      </c>
    </row>
    <row r="15" spans="1:18">
      <c r="B15" s="28" t="s">
        <v>32</v>
      </c>
    </row>
    <row r="16" spans="1:18" ht="15">
      <c r="C16" s="12" t="s">
        <v>33</v>
      </c>
      <c r="F16" s="41">
        <f>IF(J16=0," ",IF(J16&lt;300,SUM('Input (3)'!E7+'Input (3)'!E8)," "))</f>
        <v>79.900000000000006</v>
      </c>
      <c r="G16" s="44" t="s">
        <v>31</v>
      </c>
      <c r="H16" s="38">
        <f>IF(J16=0," ",'C (3)'!H22)</f>
        <v>6.42</v>
      </c>
      <c r="I16" s="42" t="s">
        <v>29</v>
      </c>
      <c r="J16" s="1222">
        <f>IF('Input (3)'!E9=0,0,IF(SUM('Input (3)'!E7-'C (3)'!H25)+SUM('Input (3)'!E8-'C (3)'!H26)&lt;300,IF(P6="ADD to 1-6",SUM('Input (3)'!E7-'C (3)'!H25)+SUM('Input (3)'!E8-'C (3)'!H26)+'Input (3)'!E4,SUM('Input (3)'!E7-'C (3)'!H25)+SUM('Input (3)'!E8-'C (3)'!H26)),0))</f>
        <v>73.48</v>
      </c>
      <c r="K16" s="1222"/>
      <c r="L16" s="40" t="s">
        <v>28</v>
      </c>
      <c r="M16" s="41">
        <f>IF(J16=0,0,LOOKUP(J16,'criteria (3)'!$M$3:$M$11,'criteria (3)'!$N$3:$N$11))</f>
        <v>16</v>
      </c>
      <c r="N16" s="42" t="s">
        <v>29</v>
      </c>
      <c r="O16" s="38">
        <f>IF(Q16=0,0,IF(Q16&lt;LOOKUP(J16,'criteria (3)'!$M$3:$M$10,'criteria (3)'!$O$3:$O$10),LOOKUP(J16,'criteria (3)'!$M$3:$M$10,'criteria (3)'!$O$3:$O$10),Q16))</f>
        <v>4.7</v>
      </c>
      <c r="P16" s="2" t="str">
        <f>IF(O16=0," ",IF(O16=Q16," ","Minimum"))</f>
        <v>Minimum</v>
      </c>
      <c r="Q16" s="32">
        <f>ROUND(IF('Input (3)'!E9=0,0,IF(SUM('Input (3)'!$E$7-'C (3)'!$H$25)+SUM('Input (3)'!$E$8-'C (3)'!$H$26)&gt;299.99,0,(J16/M16))),2)</f>
        <v>4.59</v>
      </c>
    </row>
    <row r="17" spans="1:17" ht="6" customHeight="1">
      <c r="J17" s="43"/>
      <c r="K17" s="43"/>
    </row>
    <row r="18" spans="1:17" ht="15">
      <c r="B18" s="5" t="s">
        <v>10</v>
      </c>
      <c r="F18" s="38">
        <f>IF('Input (3)'!$E$10=0,0,'Input (3)'!$E$10)</f>
        <v>95.88</v>
      </c>
      <c r="G18" s="44" t="s">
        <v>31</v>
      </c>
      <c r="H18" s="51"/>
      <c r="I18" s="42" t="s">
        <v>29</v>
      </c>
      <c r="J18" s="1222">
        <f>IF('Input (3)'!$E$10=0,0,'Input (3)'!$E$10)</f>
        <v>95.88</v>
      </c>
      <c r="K18" s="1222"/>
      <c r="L18" s="40" t="s">
        <v>28</v>
      </c>
      <c r="M18" s="41">
        <f>IF('Input (3)'!C10=0,0,IF(J18&gt;99.99,LOOKUP(J18,'criteria (3)'!Q3:Q10,'criteria (3)'!R3:R10),12))</f>
        <v>12</v>
      </c>
      <c r="N18" s="42" t="s">
        <v>29</v>
      </c>
      <c r="O18" s="41">
        <f>ROUND(IF(J18=0,0,IF(J18&lt;99.99,IF(M18=0,8,(J18/M18)),IF(Q18&lt;LOOKUP(J18,'criteria (3)'!$Q$3:$Q$10,'criteria (3)'!$S$3:$S$10),LOOKUP(J18,'criteria (3)'!$Q$3:$Q$10,'criteria (3)'!$S$3:$S$10),Q18))),2)</f>
        <v>7.99</v>
      </c>
      <c r="P18" s="2" t="str">
        <f>IF(O18=0," ",IF(O18=Q18," ","Minimum"))</f>
        <v xml:space="preserve"> </v>
      </c>
      <c r="Q18" s="32">
        <f>ROUND(IF(M18=0,0,(J18/M18)),2)</f>
        <v>7.99</v>
      </c>
    </row>
    <row r="19" spans="1:17">
      <c r="B19" s="5"/>
      <c r="J19" s="39"/>
      <c r="K19" s="39"/>
      <c r="M19" s="36"/>
      <c r="N19" s="42"/>
      <c r="O19" s="36"/>
    </row>
    <row r="20" spans="1:17" ht="15">
      <c r="A20" s="45" t="s">
        <v>34</v>
      </c>
      <c r="J20" s="43"/>
      <c r="K20" s="43"/>
    </row>
    <row r="21" spans="1:17" ht="3.75" customHeight="1">
      <c r="J21" s="43"/>
      <c r="K21" s="43"/>
    </row>
    <row r="22" spans="1:17">
      <c r="B22" s="2" t="s">
        <v>35</v>
      </c>
      <c r="J22" s="1222" t="str">
        <f>IF('C (3)'!H55=0," ",'C (3)'!H55)</f>
        <v xml:space="preserve"> </v>
      </c>
      <c r="K22" s="1222"/>
    </row>
    <row r="23" spans="1:17" ht="7.5" customHeight="1">
      <c r="J23" s="43"/>
      <c r="K23" s="43"/>
    </row>
    <row r="24" spans="1:17">
      <c r="B24" s="2" t="s">
        <v>36</v>
      </c>
      <c r="J24" s="1222">
        <f>IF('C (3)'!H22=0," ",'C (3)'!H22)</f>
        <v>6.42</v>
      </c>
      <c r="K24" s="1222"/>
    </row>
    <row r="25" spans="1:17" ht="7.5" customHeight="1">
      <c r="J25" s="43"/>
      <c r="K25" s="43"/>
    </row>
    <row r="26" spans="1:17">
      <c r="B26" s="2" t="s">
        <v>37</v>
      </c>
      <c r="J26" s="1222">
        <f>0</f>
        <v>0</v>
      </c>
      <c r="K26" s="1222"/>
    </row>
    <row r="27" spans="1:17" ht="7.5" customHeight="1">
      <c r="J27" s="43"/>
      <c r="K27" s="43"/>
    </row>
    <row r="28" spans="1:17" ht="6" customHeight="1">
      <c r="J28" s="39"/>
      <c r="K28" s="39"/>
    </row>
    <row r="29" spans="1:17" ht="15.6" thickBot="1">
      <c r="B29" s="46" t="s">
        <v>38</v>
      </c>
      <c r="J29" s="1219">
        <f>SUM(J22:K27)</f>
        <v>6.42</v>
      </c>
      <c r="K29" s="1219"/>
      <c r="L29" s="40" t="s">
        <v>28</v>
      </c>
      <c r="M29" s="41">
        <f>IF(SUM('Input (3)'!C4:C10)=0,0,IF(J29&gt;=14,LOOKUP(J29,'criteria (3)'!$U$3:$U$10,'criteria (3)'!$V$3:$V$10),0))</f>
        <v>0</v>
      </c>
      <c r="N29" s="42" t="s">
        <v>29</v>
      </c>
      <c r="O29" s="41">
        <f>IF(J29=0,0,IF(Q29&lt;LOOKUP(J29,'criteria (3)'!$U$3:$U$10,'criteria (3)'!$W$3:$W$10),LOOKUP(J29,'criteria (3)'!$U$3:$U$10,'criteria (3)'!$W$3:$W$10),Q29))</f>
        <v>0.5</v>
      </c>
      <c r="P29" s="2" t="str">
        <f>IF(O29=0," ",IF(O29=Q29," ","Minimum"))</f>
        <v>Minimum</v>
      </c>
      <c r="Q29" s="32">
        <f>ROUND(IF(SUM('Input (3)'!C4:C10)=0,0,IF(M29=0,0,(J29/M29))),2)</f>
        <v>0</v>
      </c>
    </row>
    <row r="30" spans="1:17" ht="11.25" customHeight="1" thickTop="1">
      <c r="B30" s="46"/>
      <c r="J30" s="39"/>
      <c r="K30" s="39"/>
      <c r="L30" s="40"/>
      <c r="M30" s="36"/>
      <c r="N30" s="42"/>
      <c r="O30" s="36"/>
    </row>
    <row r="31" spans="1:17" ht="19.5" customHeight="1">
      <c r="A31" s="48" t="s">
        <v>39</v>
      </c>
    </row>
    <row r="32" spans="1:17" ht="15">
      <c r="B32" s="1223" t="str">
        <f>IF('Input (3)'!E14=0," ","Alternative Secondary High School")</f>
        <v xml:space="preserve"> </v>
      </c>
      <c r="C32" s="1223"/>
      <c r="D32" s="1223"/>
      <c r="E32" s="1223"/>
      <c r="F32" s="1223"/>
      <c r="G32" s="1223"/>
      <c r="H32" s="1223"/>
      <c r="J32" s="1222">
        <f>'Input (3)'!E14</f>
        <v>0</v>
      </c>
      <c r="K32" s="1222"/>
      <c r="L32" s="40" t="s">
        <v>28</v>
      </c>
      <c r="M32" s="41">
        <f>IF(J32=0,0,IF(Q32&lt;1,M18,12))</f>
        <v>0</v>
      </c>
      <c r="N32" s="42" t="s">
        <v>29</v>
      </c>
      <c r="O32" s="38">
        <f>ROUND(IF(J32=0,0,J32/M32),2)</f>
        <v>0</v>
      </c>
      <c r="P32" s="45"/>
      <c r="Q32" s="32">
        <f>ROUND(IF(J32=0,0,J32/12),2)</f>
        <v>0</v>
      </c>
    </row>
    <row r="33" spans="1:17" ht="11.25" customHeight="1">
      <c r="J33" s="43"/>
      <c r="K33" s="43"/>
      <c r="O33" s="43"/>
    </row>
    <row r="34" spans="1:17" ht="11.25" customHeight="1">
      <c r="B34" s="1223" t="str">
        <f>IF('Input (3)'!E15=0," ","Summer Alternative Secondary High School")</f>
        <v xml:space="preserve"> </v>
      </c>
      <c r="C34" s="1223"/>
      <c r="D34" s="1223"/>
      <c r="E34" s="1223"/>
      <c r="F34" s="1223"/>
      <c r="G34" s="1223"/>
      <c r="J34" s="1222">
        <f>'Input (3)'!E15</f>
        <v>0</v>
      </c>
      <c r="K34" s="1222"/>
      <c r="L34" s="40" t="s">
        <v>28</v>
      </c>
      <c r="M34" s="41">
        <f>IF(J34=0,0,40)</f>
        <v>0</v>
      </c>
      <c r="N34" s="42" t="s">
        <v>29</v>
      </c>
      <c r="O34" s="38">
        <f>ROUND(IF(J34=0,0,J34/M34),2)</f>
        <v>0</v>
      </c>
      <c r="P34" s="45"/>
      <c r="Q34" s="32">
        <f>ROUND(IF(J34=0,0,J34/12),2)</f>
        <v>0</v>
      </c>
    </row>
    <row r="35" spans="1:17" ht="13.5" customHeight="1">
      <c r="J35" s="36"/>
      <c r="K35" s="36"/>
      <c r="L35" s="40"/>
      <c r="M35" s="36"/>
      <c r="N35" s="42"/>
      <c r="O35" s="36"/>
      <c r="P35" s="46"/>
    </row>
    <row r="36" spans="1:17" ht="18.75" customHeight="1" thickBot="1">
      <c r="A36" s="45"/>
      <c r="B36" s="12" t="s">
        <v>40</v>
      </c>
      <c r="C36" s="46"/>
      <c r="D36" s="46"/>
      <c r="E36" s="46"/>
      <c r="F36" s="46"/>
      <c r="G36" s="46"/>
      <c r="H36" s="46"/>
      <c r="I36" s="46"/>
      <c r="J36" s="46"/>
      <c r="K36" s="46"/>
      <c r="M36" s="36" t="s">
        <v>29</v>
      </c>
      <c r="N36" s="1224">
        <f>ROUND(IF(SUM(O6:O34)=0,0,SUM(O6:O34)),2)</f>
        <v>13.79</v>
      </c>
      <c r="O36" s="1224"/>
    </row>
    <row r="37" spans="1:17" ht="13.8" thickTop="1">
      <c r="M37" s="1218" t="str">
        <f>IF(N36=0," ",IF(N36&lt;'Current Year (3)'!N36,"Do Not Use","You May Use this Calculation"))</f>
        <v>Do Not Use</v>
      </c>
      <c r="N37" s="1218"/>
      <c r="O37" s="1218"/>
      <c r="P37" s="1218"/>
    </row>
  </sheetData>
  <sheetProtection password="CC16" sheet="1" objects="1" scenarios="1"/>
  <mergeCells count="19">
    <mergeCell ref="M37:P37"/>
    <mergeCell ref="J29:K29"/>
    <mergeCell ref="B32:H32"/>
    <mergeCell ref="J32:K32"/>
    <mergeCell ref="B34:G34"/>
    <mergeCell ref="J34:K34"/>
    <mergeCell ref="N36:O36"/>
    <mergeCell ref="J26:K26"/>
    <mergeCell ref="A1:O1"/>
    <mergeCell ref="A2:O2"/>
    <mergeCell ref="A3:O3"/>
    <mergeCell ref="J4:K4"/>
    <mergeCell ref="J6:K6"/>
    <mergeCell ref="J10:K10"/>
    <mergeCell ref="J12:K12"/>
    <mergeCell ref="J16:K16"/>
    <mergeCell ref="J18:K18"/>
    <mergeCell ref="J22:K22"/>
    <mergeCell ref="J24:K24"/>
  </mergeCells>
  <conditionalFormatting sqref="M37:P37">
    <cfRule type="cellIs" dxfId="38" priority="1" stopIfTrue="1" operator="equal">
      <formula>"Do Not Use"</formula>
    </cfRule>
    <cfRule type="cellIs" dxfId="37" priority="2" stopIfTrue="1" operator="equal">
      <formula>"You May Use this Calculation"</formula>
    </cfRule>
  </conditionalFormatting>
  <pageMargins left="0.5" right="0.5" top="0.5" bottom="0.5" header="0.25" footer="0.25"/>
  <pageSetup scale="82" orientation="portrait" r:id="rId1"/>
  <headerFooter alignWithMargins="0">
    <oddFooter>&amp;L&amp;F</oddFooter>
  </headerFooter>
  <colBreaks count="1" manualBreakCount="1">
    <brk id="16"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dimension ref="A1:R37"/>
  <sheetViews>
    <sheetView showGridLines="0" zoomScale="90" zoomScaleNormal="100" workbookViewId="0">
      <selection activeCell="A2" sqref="A2:O2"/>
    </sheetView>
  </sheetViews>
  <sheetFormatPr defaultRowHeight="13.2"/>
  <cols>
    <col min="1" max="1" width="4.21875" style="30" customWidth="1"/>
    <col min="2" max="2" width="2.5546875" style="2" customWidth="1"/>
    <col min="3" max="4" width="9.21875" style="2"/>
    <col min="5" max="5" width="7.21875" style="2" customWidth="1"/>
    <col min="6" max="6" width="8.21875" style="2" customWidth="1"/>
    <col min="7" max="8" width="10.21875" style="2" customWidth="1"/>
    <col min="9" max="9" width="3.77734375" style="2" customWidth="1"/>
    <col min="10" max="10" width="9.21875" style="2"/>
    <col min="11" max="11" width="6.21875" style="2" customWidth="1"/>
    <col min="12" max="12" width="5.5546875" style="2" customWidth="1"/>
    <col min="13" max="13" width="10.77734375" style="2" customWidth="1"/>
    <col min="14" max="14" width="8.21875" style="2" customWidth="1"/>
    <col min="15" max="15" width="12.21875" style="2" customWidth="1"/>
    <col min="16" max="16" width="10.21875" style="2" customWidth="1"/>
    <col min="17" max="17" width="9.21875" style="32" customWidth="1"/>
    <col min="18" max="256" width="9.21875" style="2"/>
    <col min="257" max="257" width="4.21875" style="2" customWidth="1"/>
    <col min="258" max="258" width="2.5546875" style="2" customWidth="1"/>
    <col min="259" max="260" width="9.21875" style="2"/>
    <col min="261" max="261" width="7.21875" style="2" customWidth="1"/>
    <col min="262" max="262" width="8.21875" style="2" customWidth="1"/>
    <col min="263" max="264" width="10.21875" style="2" customWidth="1"/>
    <col min="265" max="265" width="3.77734375" style="2" customWidth="1"/>
    <col min="266" max="266" width="9.21875" style="2"/>
    <col min="267" max="267" width="6.21875" style="2" customWidth="1"/>
    <col min="268" max="268" width="5.5546875" style="2" customWidth="1"/>
    <col min="269" max="269" width="10.77734375" style="2" customWidth="1"/>
    <col min="270" max="270" width="8.21875" style="2" customWidth="1"/>
    <col min="271" max="271" width="12.21875" style="2" customWidth="1"/>
    <col min="272" max="272" width="10.21875" style="2" customWidth="1"/>
    <col min="273" max="273" width="9.21875" style="2" customWidth="1"/>
    <col min="274" max="512" width="9.21875" style="2"/>
    <col min="513" max="513" width="4.21875" style="2" customWidth="1"/>
    <col min="514" max="514" width="2.5546875" style="2" customWidth="1"/>
    <col min="515" max="516" width="9.21875" style="2"/>
    <col min="517" max="517" width="7.21875" style="2" customWidth="1"/>
    <col min="518" max="518" width="8.21875" style="2" customWidth="1"/>
    <col min="519" max="520" width="10.21875" style="2" customWidth="1"/>
    <col min="521" max="521" width="3.77734375" style="2" customWidth="1"/>
    <col min="522" max="522" width="9.21875" style="2"/>
    <col min="523" max="523" width="6.21875" style="2" customWidth="1"/>
    <col min="524" max="524" width="5.5546875" style="2" customWidth="1"/>
    <col min="525" max="525" width="10.77734375" style="2" customWidth="1"/>
    <col min="526" max="526" width="8.21875" style="2" customWidth="1"/>
    <col min="527" max="527" width="12.21875" style="2" customWidth="1"/>
    <col min="528" max="528" width="10.21875" style="2" customWidth="1"/>
    <col min="529" max="529" width="9.21875" style="2" customWidth="1"/>
    <col min="530" max="768" width="9.21875" style="2"/>
    <col min="769" max="769" width="4.21875" style="2" customWidth="1"/>
    <col min="770" max="770" width="2.5546875" style="2" customWidth="1"/>
    <col min="771" max="772" width="9.21875" style="2"/>
    <col min="773" max="773" width="7.21875" style="2" customWidth="1"/>
    <col min="774" max="774" width="8.21875" style="2" customWidth="1"/>
    <col min="775" max="776" width="10.21875" style="2" customWidth="1"/>
    <col min="777" max="777" width="3.77734375" style="2" customWidth="1"/>
    <col min="778" max="778" width="9.21875" style="2"/>
    <col min="779" max="779" width="6.21875" style="2" customWidth="1"/>
    <col min="780" max="780" width="5.5546875" style="2" customWidth="1"/>
    <col min="781" max="781" width="10.77734375" style="2" customWidth="1"/>
    <col min="782" max="782" width="8.21875" style="2" customWidth="1"/>
    <col min="783" max="783" width="12.21875" style="2" customWidth="1"/>
    <col min="784" max="784" width="10.21875" style="2" customWidth="1"/>
    <col min="785" max="785" width="9.21875" style="2" customWidth="1"/>
    <col min="786" max="1024" width="9.21875" style="2"/>
    <col min="1025" max="1025" width="4.21875" style="2" customWidth="1"/>
    <col min="1026" max="1026" width="2.5546875" style="2" customWidth="1"/>
    <col min="1027" max="1028" width="9.21875" style="2"/>
    <col min="1029" max="1029" width="7.21875" style="2" customWidth="1"/>
    <col min="1030" max="1030" width="8.21875" style="2" customWidth="1"/>
    <col min="1031" max="1032" width="10.21875" style="2" customWidth="1"/>
    <col min="1033" max="1033" width="3.77734375" style="2" customWidth="1"/>
    <col min="1034" max="1034" width="9.21875" style="2"/>
    <col min="1035" max="1035" width="6.21875" style="2" customWidth="1"/>
    <col min="1036" max="1036" width="5.5546875" style="2" customWidth="1"/>
    <col min="1037" max="1037" width="10.77734375" style="2" customWidth="1"/>
    <col min="1038" max="1038" width="8.21875" style="2" customWidth="1"/>
    <col min="1039" max="1039" width="12.21875" style="2" customWidth="1"/>
    <col min="1040" max="1040" width="10.21875" style="2" customWidth="1"/>
    <col min="1041" max="1041" width="9.21875" style="2" customWidth="1"/>
    <col min="1042" max="1280" width="9.21875" style="2"/>
    <col min="1281" max="1281" width="4.21875" style="2" customWidth="1"/>
    <col min="1282" max="1282" width="2.5546875" style="2" customWidth="1"/>
    <col min="1283" max="1284" width="9.21875" style="2"/>
    <col min="1285" max="1285" width="7.21875" style="2" customWidth="1"/>
    <col min="1286" max="1286" width="8.21875" style="2" customWidth="1"/>
    <col min="1287" max="1288" width="10.21875" style="2" customWidth="1"/>
    <col min="1289" max="1289" width="3.77734375" style="2" customWidth="1"/>
    <col min="1290" max="1290" width="9.21875" style="2"/>
    <col min="1291" max="1291" width="6.21875" style="2" customWidth="1"/>
    <col min="1292" max="1292" width="5.5546875" style="2" customWidth="1"/>
    <col min="1293" max="1293" width="10.77734375" style="2" customWidth="1"/>
    <col min="1294" max="1294" width="8.21875" style="2" customWidth="1"/>
    <col min="1295" max="1295" width="12.21875" style="2" customWidth="1"/>
    <col min="1296" max="1296" width="10.21875" style="2" customWidth="1"/>
    <col min="1297" max="1297" width="9.21875" style="2" customWidth="1"/>
    <col min="1298" max="1536" width="9.21875" style="2"/>
    <col min="1537" max="1537" width="4.21875" style="2" customWidth="1"/>
    <col min="1538" max="1538" width="2.5546875" style="2" customWidth="1"/>
    <col min="1539" max="1540" width="9.21875" style="2"/>
    <col min="1541" max="1541" width="7.21875" style="2" customWidth="1"/>
    <col min="1542" max="1542" width="8.21875" style="2" customWidth="1"/>
    <col min="1543" max="1544" width="10.21875" style="2" customWidth="1"/>
    <col min="1545" max="1545" width="3.77734375" style="2" customWidth="1"/>
    <col min="1546" max="1546" width="9.21875" style="2"/>
    <col min="1547" max="1547" width="6.21875" style="2" customWidth="1"/>
    <col min="1548" max="1548" width="5.5546875" style="2" customWidth="1"/>
    <col min="1549" max="1549" width="10.77734375" style="2" customWidth="1"/>
    <col min="1550" max="1550" width="8.21875" style="2" customWidth="1"/>
    <col min="1551" max="1551" width="12.21875" style="2" customWidth="1"/>
    <col min="1552" max="1552" width="10.21875" style="2" customWidth="1"/>
    <col min="1553" max="1553" width="9.21875" style="2" customWidth="1"/>
    <col min="1554" max="1792" width="9.21875" style="2"/>
    <col min="1793" max="1793" width="4.21875" style="2" customWidth="1"/>
    <col min="1794" max="1794" width="2.5546875" style="2" customWidth="1"/>
    <col min="1795" max="1796" width="9.21875" style="2"/>
    <col min="1797" max="1797" width="7.21875" style="2" customWidth="1"/>
    <col min="1798" max="1798" width="8.21875" style="2" customWidth="1"/>
    <col min="1799" max="1800" width="10.21875" style="2" customWidth="1"/>
    <col min="1801" max="1801" width="3.77734375" style="2" customWidth="1"/>
    <col min="1802" max="1802" width="9.21875" style="2"/>
    <col min="1803" max="1803" width="6.21875" style="2" customWidth="1"/>
    <col min="1804" max="1804" width="5.5546875" style="2" customWidth="1"/>
    <col min="1805" max="1805" width="10.77734375" style="2" customWidth="1"/>
    <col min="1806" max="1806" width="8.21875" style="2" customWidth="1"/>
    <col min="1807" max="1807" width="12.21875" style="2" customWidth="1"/>
    <col min="1808" max="1808" width="10.21875" style="2" customWidth="1"/>
    <col min="1809" max="1809" width="9.21875" style="2" customWidth="1"/>
    <col min="1810" max="2048" width="9.21875" style="2"/>
    <col min="2049" max="2049" width="4.21875" style="2" customWidth="1"/>
    <col min="2050" max="2050" width="2.5546875" style="2" customWidth="1"/>
    <col min="2051" max="2052" width="9.21875" style="2"/>
    <col min="2053" max="2053" width="7.21875" style="2" customWidth="1"/>
    <col min="2054" max="2054" width="8.21875" style="2" customWidth="1"/>
    <col min="2055" max="2056" width="10.21875" style="2" customWidth="1"/>
    <col min="2057" max="2057" width="3.77734375" style="2" customWidth="1"/>
    <col min="2058" max="2058" width="9.21875" style="2"/>
    <col min="2059" max="2059" width="6.21875" style="2" customWidth="1"/>
    <col min="2060" max="2060" width="5.5546875" style="2" customWidth="1"/>
    <col min="2061" max="2061" width="10.77734375" style="2" customWidth="1"/>
    <col min="2062" max="2062" width="8.21875" style="2" customWidth="1"/>
    <col min="2063" max="2063" width="12.21875" style="2" customWidth="1"/>
    <col min="2064" max="2064" width="10.21875" style="2" customWidth="1"/>
    <col min="2065" max="2065" width="9.21875" style="2" customWidth="1"/>
    <col min="2066" max="2304" width="9.21875" style="2"/>
    <col min="2305" max="2305" width="4.21875" style="2" customWidth="1"/>
    <col min="2306" max="2306" width="2.5546875" style="2" customWidth="1"/>
    <col min="2307" max="2308" width="9.21875" style="2"/>
    <col min="2309" max="2309" width="7.21875" style="2" customWidth="1"/>
    <col min="2310" max="2310" width="8.21875" style="2" customWidth="1"/>
    <col min="2311" max="2312" width="10.21875" style="2" customWidth="1"/>
    <col min="2313" max="2313" width="3.77734375" style="2" customWidth="1"/>
    <col min="2314" max="2314" width="9.21875" style="2"/>
    <col min="2315" max="2315" width="6.21875" style="2" customWidth="1"/>
    <col min="2316" max="2316" width="5.5546875" style="2" customWidth="1"/>
    <col min="2317" max="2317" width="10.77734375" style="2" customWidth="1"/>
    <col min="2318" max="2318" width="8.21875" style="2" customWidth="1"/>
    <col min="2319" max="2319" width="12.21875" style="2" customWidth="1"/>
    <col min="2320" max="2320" width="10.21875" style="2" customWidth="1"/>
    <col min="2321" max="2321" width="9.21875" style="2" customWidth="1"/>
    <col min="2322" max="2560" width="9.21875" style="2"/>
    <col min="2561" max="2561" width="4.21875" style="2" customWidth="1"/>
    <col min="2562" max="2562" width="2.5546875" style="2" customWidth="1"/>
    <col min="2563" max="2564" width="9.21875" style="2"/>
    <col min="2565" max="2565" width="7.21875" style="2" customWidth="1"/>
    <col min="2566" max="2566" width="8.21875" style="2" customWidth="1"/>
    <col min="2567" max="2568" width="10.21875" style="2" customWidth="1"/>
    <col min="2569" max="2569" width="3.77734375" style="2" customWidth="1"/>
    <col min="2570" max="2570" width="9.21875" style="2"/>
    <col min="2571" max="2571" width="6.21875" style="2" customWidth="1"/>
    <col min="2572" max="2572" width="5.5546875" style="2" customWidth="1"/>
    <col min="2573" max="2573" width="10.77734375" style="2" customWidth="1"/>
    <col min="2574" max="2574" width="8.21875" style="2" customWidth="1"/>
    <col min="2575" max="2575" width="12.21875" style="2" customWidth="1"/>
    <col min="2576" max="2576" width="10.21875" style="2" customWidth="1"/>
    <col min="2577" max="2577" width="9.21875" style="2" customWidth="1"/>
    <col min="2578" max="2816" width="9.21875" style="2"/>
    <col min="2817" max="2817" width="4.21875" style="2" customWidth="1"/>
    <col min="2818" max="2818" width="2.5546875" style="2" customWidth="1"/>
    <col min="2819" max="2820" width="9.21875" style="2"/>
    <col min="2821" max="2821" width="7.21875" style="2" customWidth="1"/>
    <col min="2822" max="2822" width="8.21875" style="2" customWidth="1"/>
    <col min="2823" max="2824" width="10.21875" style="2" customWidth="1"/>
    <col min="2825" max="2825" width="3.77734375" style="2" customWidth="1"/>
    <col min="2826" max="2826" width="9.21875" style="2"/>
    <col min="2827" max="2827" width="6.21875" style="2" customWidth="1"/>
    <col min="2828" max="2828" width="5.5546875" style="2" customWidth="1"/>
    <col min="2829" max="2829" width="10.77734375" style="2" customWidth="1"/>
    <col min="2830" max="2830" width="8.21875" style="2" customWidth="1"/>
    <col min="2831" max="2831" width="12.21875" style="2" customWidth="1"/>
    <col min="2832" max="2832" width="10.21875" style="2" customWidth="1"/>
    <col min="2833" max="2833" width="9.21875" style="2" customWidth="1"/>
    <col min="2834" max="3072" width="9.21875" style="2"/>
    <col min="3073" max="3073" width="4.21875" style="2" customWidth="1"/>
    <col min="3074" max="3074" width="2.5546875" style="2" customWidth="1"/>
    <col min="3075" max="3076" width="9.21875" style="2"/>
    <col min="3077" max="3077" width="7.21875" style="2" customWidth="1"/>
    <col min="3078" max="3078" width="8.21875" style="2" customWidth="1"/>
    <col min="3079" max="3080" width="10.21875" style="2" customWidth="1"/>
    <col min="3081" max="3081" width="3.77734375" style="2" customWidth="1"/>
    <col min="3082" max="3082" width="9.21875" style="2"/>
    <col min="3083" max="3083" width="6.21875" style="2" customWidth="1"/>
    <col min="3084" max="3084" width="5.5546875" style="2" customWidth="1"/>
    <col min="3085" max="3085" width="10.77734375" style="2" customWidth="1"/>
    <col min="3086" max="3086" width="8.21875" style="2" customWidth="1"/>
    <col min="3087" max="3087" width="12.21875" style="2" customWidth="1"/>
    <col min="3088" max="3088" width="10.21875" style="2" customWidth="1"/>
    <col min="3089" max="3089" width="9.21875" style="2" customWidth="1"/>
    <col min="3090" max="3328" width="9.21875" style="2"/>
    <col min="3329" max="3329" width="4.21875" style="2" customWidth="1"/>
    <col min="3330" max="3330" width="2.5546875" style="2" customWidth="1"/>
    <col min="3331" max="3332" width="9.21875" style="2"/>
    <col min="3333" max="3333" width="7.21875" style="2" customWidth="1"/>
    <col min="3334" max="3334" width="8.21875" style="2" customWidth="1"/>
    <col min="3335" max="3336" width="10.21875" style="2" customWidth="1"/>
    <col min="3337" max="3337" width="3.77734375" style="2" customWidth="1"/>
    <col min="3338" max="3338" width="9.21875" style="2"/>
    <col min="3339" max="3339" width="6.21875" style="2" customWidth="1"/>
    <col min="3340" max="3340" width="5.5546875" style="2" customWidth="1"/>
    <col min="3341" max="3341" width="10.77734375" style="2" customWidth="1"/>
    <col min="3342" max="3342" width="8.21875" style="2" customWidth="1"/>
    <col min="3343" max="3343" width="12.21875" style="2" customWidth="1"/>
    <col min="3344" max="3344" width="10.21875" style="2" customWidth="1"/>
    <col min="3345" max="3345" width="9.21875" style="2" customWidth="1"/>
    <col min="3346" max="3584" width="9.21875" style="2"/>
    <col min="3585" max="3585" width="4.21875" style="2" customWidth="1"/>
    <col min="3586" max="3586" width="2.5546875" style="2" customWidth="1"/>
    <col min="3587" max="3588" width="9.21875" style="2"/>
    <col min="3589" max="3589" width="7.21875" style="2" customWidth="1"/>
    <col min="3590" max="3590" width="8.21875" style="2" customWidth="1"/>
    <col min="3591" max="3592" width="10.21875" style="2" customWidth="1"/>
    <col min="3593" max="3593" width="3.77734375" style="2" customWidth="1"/>
    <col min="3594" max="3594" width="9.21875" style="2"/>
    <col min="3595" max="3595" width="6.21875" style="2" customWidth="1"/>
    <col min="3596" max="3596" width="5.5546875" style="2" customWidth="1"/>
    <col min="3597" max="3597" width="10.77734375" style="2" customWidth="1"/>
    <col min="3598" max="3598" width="8.21875" style="2" customWidth="1"/>
    <col min="3599" max="3599" width="12.21875" style="2" customWidth="1"/>
    <col min="3600" max="3600" width="10.21875" style="2" customWidth="1"/>
    <col min="3601" max="3601" width="9.21875" style="2" customWidth="1"/>
    <col min="3602" max="3840" width="9.21875" style="2"/>
    <col min="3841" max="3841" width="4.21875" style="2" customWidth="1"/>
    <col min="3842" max="3842" width="2.5546875" style="2" customWidth="1"/>
    <col min="3843" max="3844" width="9.21875" style="2"/>
    <col min="3845" max="3845" width="7.21875" style="2" customWidth="1"/>
    <col min="3846" max="3846" width="8.21875" style="2" customWidth="1"/>
    <col min="3847" max="3848" width="10.21875" style="2" customWidth="1"/>
    <col min="3849" max="3849" width="3.77734375" style="2" customWidth="1"/>
    <col min="3850" max="3850" width="9.21875" style="2"/>
    <col min="3851" max="3851" width="6.21875" style="2" customWidth="1"/>
    <col min="3852" max="3852" width="5.5546875" style="2" customWidth="1"/>
    <col min="3853" max="3853" width="10.77734375" style="2" customWidth="1"/>
    <col min="3854" max="3854" width="8.21875" style="2" customWidth="1"/>
    <col min="3855" max="3855" width="12.21875" style="2" customWidth="1"/>
    <col min="3856" max="3856" width="10.21875" style="2" customWidth="1"/>
    <col min="3857" max="3857" width="9.21875" style="2" customWidth="1"/>
    <col min="3858" max="4096" width="9.21875" style="2"/>
    <col min="4097" max="4097" width="4.21875" style="2" customWidth="1"/>
    <col min="4098" max="4098" width="2.5546875" style="2" customWidth="1"/>
    <col min="4099" max="4100" width="9.21875" style="2"/>
    <col min="4101" max="4101" width="7.21875" style="2" customWidth="1"/>
    <col min="4102" max="4102" width="8.21875" style="2" customWidth="1"/>
    <col min="4103" max="4104" width="10.21875" style="2" customWidth="1"/>
    <col min="4105" max="4105" width="3.77734375" style="2" customWidth="1"/>
    <col min="4106" max="4106" width="9.21875" style="2"/>
    <col min="4107" max="4107" width="6.21875" style="2" customWidth="1"/>
    <col min="4108" max="4108" width="5.5546875" style="2" customWidth="1"/>
    <col min="4109" max="4109" width="10.77734375" style="2" customWidth="1"/>
    <col min="4110" max="4110" width="8.21875" style="2" customWidth="1"/>
    <col min="4111" max="4111" width="12.21875" style="2" customWidth="1"/>
    <col min="4112" max="4112" width="10.21875" style="2" customWidth="1"/>
    <col min="4113" max="4113" width="9.21875" style="2" customWidth="1"/>
    <col min="4114" max="4352" width="9.21875" style="2"/>
    <col min="4353" max="4353" width="4.21875" style="2" customWidth="1"/>
    <col min="4354" max="4354" width="2.5546875" style="2" customWidth="1"/>
    <col min="4355" max="4356" width="9.21875" style="2"/>
    <col min="4357" max="4357" width="7.21875" style="2" customWidth="1"/>
    <col min="4358" max="4358" width="8.21875" style="2" customWidth="1"/>
    <col min="4359" max="4360" width="10.21875" style="2" customWidth="1"/>
    <col min="4361" max="4361" width="3.77734375" style="2" customWidth="1"/>
    <col min="4362" max="4362" width="9.21875" style="2"/>
    <col min="4363" max="4363" width="6.21875" style="2" customWidth="1"/>
    <col min="4364" max="4364" width="5.5546875" style="2" customWidth="1"/>
    <col min="4365" max="4365" width="10.77734375" style="2" customWidth="1"/>
    <col min="4366" max="4366" width="8.21875" style="2" customWidth="1"/>
    <col min="4367" max="4367" width="12.21875" style="2" customWidth="1"/>
    <col min="4368" max="4368" width="10.21875" style="2" customWidth="1"/>
    <col min="4369" max="4369" width="9.21875" style="2" customWidth="1"/>
    <col min="4370" max="4608" width="9.21875" style="2"/>
    <col min="4609" max="4609" width="4.21875" style="2" customWidth="1"/>
    <col min="4610" max="4610" width="2.5546875" style="2" customWidth="1"/>
    <col min="4611" max="4612" width="9.21875" style="2"/>
    <col min="4613" max="4613" width="7.21875" style="2" customWidth="1"/>
    <col min="4614" max="4614" width="8.21875" style="2" customWidth="1"/>
    <col min="4615" max="4616" width="10.21875" style="2" customWidth="1"/>
    <col min="4617" max="4617" width="3.77734375" style="2" customWidth="1"/>
    <col min="4618" max="4618" width="9.21875" style="2"/>
    <col min="4619" max="4619" width="6.21875" style="2" customWidth="1"/>
    <col min="4620" max="4620" width="5.5546875" style="2" customWidth="1"/>
    <col min="4621" max="4621" width="10.77734375" style="2" customWidth="1"/>
    <col min="4622" max="4622" width="8.21875" style="2" customWidth="1"/>
    <col min="4623" max="4623" width="12.21875" style="2" customWidth="1"/>
    <col min="4624" max="4624" width="10.21875" style="2" customWidth="1"/>
    <col min="4625" max="4625" width="9.21875" style="2" customWidth="1"/>
    <col min="4626" max="4864" width="9.21875" style="2"/>
    <col min="4865" max="4865" width="4.21875" style="2" customWidth="1"/>
    <col min="4866" max="4866" width="2.5546875" style="2" customWidth="1"/>
    <col min="4867" max="4868" width="9.21875" style="2"/>
    <col min="4869" max="4869" width="7.21875" style="2" customWidth="1"/>
    <col min="4870" max="4870" width="8.21875" style="2" customWidth="1"/>
    <col min="4871" max="4872" width="10.21875" style="2" customWidth="1"/>
    <col min="4873" max="4873" width="3.77734375" style="2" customWidth="1"/>
    <col min="4874" max="4874" width="9.21875" style="2"/>
    <col min="4875" max="4875" width="6.21875" style="2" customWidth="1"/>
    <col min="4876" max="4876" width="5.5546875" style="2" customWidth="1"/>
    <col min="4877" max="4877" width="10.77734375" style="2" customWidth="1"/>
    <col min="4878" max="4878" width="8.21875" style="2" customWidth="1"/>
    <col min="4879" max="4879" width="12.21875" style="2" customWidth="1"/>
    <col min="4880" max="4880" width="10.21875" style="2" customWidth="1"/>
    <col min="4881" max="4881" width="9.21875" style="2" customWidth="1"/>
    <col min="4882" max="5120" width="9.21875" style="2"/>
    <col min="5121" max="5121" width="4.21875" style="2" customWidth="1"/>
    <col min="5122" max="5122" width="2.5546875" style="2" customWidth="1"/>
    <col min="5123" max="5124" width="9.21875" style="2"/>
    <col min="5125" max="5125" width="7.21875" style="2" customWidth="1"/>
    <col min="5126" max="5126" width="8.21875" style="2" customWidth="1"/>
    <col min="5127" max="5128" width="10.21875" style="2" customWidth="1"/>
    <col min="5129" max="5129" width="3.77734375" style="2" customWidth="1"/>
    <col min="5130" max="5130" width="9.21875" style="2"/>
    <col min="5131" max="5131" width="6.21875" style="2" customWidth="1"/>
    <col min="5132" max="5132" width="5.5546875" style="2" customWidth="1"/>
    <col min="5133" max="5133" width="10.77734375" style="2" customWidth="1"/>
    <col min="5134" max="5134" width="8.21875" style="2" customWidth="1"/>
    <col min="5135" max="5135" width="12.21875" style="2" customWidth="1"/>
    <col min="5136" max="5136" width="10.21875" style="2" customWidth="1"/>
    <col min="5137" max="5137" width="9.21875" style="2" customWidth="1"/>
    <col min="5138" max="5376" width="9.21875" style="2"/>
    <col min="5377" max="5377" width="4.21875" style="2" customWidth="1"/>
    <col min="5378" max="5378" width="2.5546875" style="2" customWidth="1"/>
    <col min="5379" max="5380" width="9.21875" style="2"/>
    <col min="5381" max="5381" width="7.21875" style="2" customWidth="1"/>
    <col min="5382" max="5382" width="8.21875" style="2" customWidth="1"/>
    <col min="5383" max="5384" width="10.21875" style="2" customWidth="1"/>
    <col min="5385" max="5385" width="3.77734375" style="2" customWidth="1"/>
    <col min="5386" max="5386" width="9.21875" style="2"/>
    <col min="5387" max="5387" width="6.21875" style="2" customWidth="1"/>
    <col min="5388" max="5388" width="5.5546875" style="2" customWidth="1"/>
    <col min="5389" max="5389" width="10.77734375" style="2" customWidth="1"/>
    <col min="5390" max="5390" width="8.21875" style="2" customWidth="1"/>
    <col min="5391" max="5391" width="12.21875" style="2" customWidth="1"/>
    <col min="5392" max="5392" width="10.21875" style="2" customWidth="1"/>
    <col min="5393" max="5393" width="9.21875" style="2" customWidth="1"/>
    <col min="5394" max="5632" width="9.21875" style="2"/>
    <col min="5633" max="5633" width="4.21875" style="2" customWidth="1"/>
    <col min="5634" max="5634" width="2.5546875" style="2" customWidth="1"/>
    <col min="5635" max="5636" width="9.21875" style="2"/>
    <col min="5637" max="5637" width="7.21875" style="2" customWidth="1"/>
    <col min="5638" max="5638" width="8.21875" style="2" customWidth="1"/>
    <col min="5639" max="5640" width="10.21875" style="2" customWidth="1"/>
    <col min="5641" max="5641" width="3.77734375" style="2" customWidth="1"/>
    <col min="5642" max="5642" width="9.21875" style="2"/>
    <col min="5643" max="5643" width="6.21875" style="2" customWidth="1"/>
    <col min="5644" max="5644" width="5.5546875" style="2" customWidth="1"/>
    <col min="5645" max="5645" width="10.77734375" style="2" customWidth="1"/>
    <col min="5646" max="5646" width="8.21875" style="2" customWidth="1"/>
    <col min="5647" max="5647" width="12.21875" style="2" customWidth="1"/>
    <col min="5648" max="5648" width="10.21875" style="2" customWidth="1"/>
    <col min="5649" max="5649" width="9.21875" style="2" customWidth="1"/>
    <col min="5650" max="5888" width="9.21875" style="2"/>
    <col min="5889" max="5889" width="4.21875" style="2" customWidth="1"/>
    <col min="5890" max="5890" width="2.5546875" style="2" customWidth="1"/>
    <col min="5891" max="5892" width="9.21875" style="2"/>
    <col min="5893" max="5893" width="7.21875" style="2" customWidth="1"/>
    <col min="5894" max="5894" width="8.21875" style="2" customWidth="1"/>
    <col min="5895" max="5896" width="10.21875" style="2" customWidth="1"/>
    <col min="5897" max="5897" width="3.77734375" style="2" customWidth="1"/>
    <col min="5898" max="5898" width="9.21875" style="2"/>
    <col min="5899" max="5899" width="6.21875" style="2" customWidth="1"/>
    <col min="5900" max="5900" width="5.5546875" style="2" customWidth="1"/>
    <col min="5901" max="5901" width="10.77734375" style="2" customWidth="1"/>
    <col min="5902" max="5902" width="8.21875" style="2" customWidth="1"/>
    <col min="5903" max="5903" width="12.21875" style="2" customWidth="1"/>
    <col min="5904" max="5904" width="10.21875" style="2" customWidth="1"/>
    <col min="5905" max="5905" width="9.21875" style="2" customWidth="1"/>
    <col min="5906" max="6144" width="9.21875" style="2"/>
    <col min="6145" max="6145" width="4.21875" style="2" customWidth="1"/>
    <col min="6146" max="6146" width="2.5546875" style="2" customWidth="1"/>
    <col min="6147" max="6148" width="9.21875" style="2"/>
    <col min="6149" max="6149" width="7.21875" style="2" customWidth="1"/>
    <col min="6150" max="6150" width="8.21875" style="2" customWidth="1"/>
    <col min="6151" max="6152" width="10.21875" style="2" customWidth="1"/>
    <col min="6153" max="6153" width="3.77734375" style="2" customWidth="1"/>
    <col min="6154" max="6154" width="9.21875" style="2"/>
    <col min="6155" max="6155" width="6.21875" style="2" customWidth="1"/>
    <col min="6156" max="6156" width="5.5546875" style="2" customWidth="1"/>
    <col min="6157" max="6157" width="10.77734375" style="2" customWidth="1"/>
    <col min="6158" max="6158" width="8.21875" style="2" customWidth="1"/>
    <col min="6159" max="6159" width="12.21875" style="2" customWidth="1"/>
    <col min="6160" max="6160" width="10.21875" style="2" customWidth="1"/>
    <col min="6161" max="6161" width="9.21875" style="2" customWidth="1"/>
    <col min="6162" max="6400" width="9.21875" style="2"/>
    <col min="6401" max="6401" width="4.21875" style="2" customWidth="1"/>
    <col min="6402" max="6402" width="2.5546875" style="2" customWidth="1"/>
    <col min="6403" max="6404" width="9.21875" style="2"/>
    <col min="6405" max="6405" width="7.21875" style="2" customWidth="1"/>
    <col min="6406" max="6406" width="8.21875" style="2" customWidth="1"/>
    <col min="6407" max="6408" width="10.21875" style="2" customWidth="1"/>
    <col min="6409" max="6409" width="3.77734375" style="2" customWidth="1"/>
    <col min="6410" max="6410" width="9.21875" style="2"/>
    <col min="6411" max="6411" width="6.21875" style="2" customWidth="1"/>
    <col min="6412" max="6412" width="5.5546875" style="2" customWidth="1"/>
    <col min="6413" max="6413" width="10.77734375" style="2" customWidth="1"/>
    <col min="6414" max="6414" width="8.21875" style="2" customWidth="1"/>
    <col min="6415" max="6415" width="12.21875" style="2" customWidth="1"/>
    <col min="6416" max="6416" width="10.21875" style="2" customWidth="1"/>
    <col min="6417" max="6417" width="9.21875" style="2" customWidth="1"/>
    <col min="6418" max="6656" width="9.21875" style="2"/>
    <col min="6657" max="6657" width="4.21875" style="2" customWidth="1"/>
    <col min="6658" max="6658" width="2.5546875" style="2" customWidth="1"/>
    <col min="6659" max="6660" width="9.21875" style="2"/>
    <col min="6661" max="6661" width="7.21875" style="2" customWidth="1"/>
    <col min="6662" max="6662" width="8.21875" style="2" customWidth="1"/>
    <col min="6663" max="6664" width="10.21875" style="2" customWidth="1"/>
    <col min="6665" max="6665" width="3.77734375" style="2" customWidth="1"/>
    <col min="6666" max="6666" width="9.21875" style="2"/>
    <col min="6667" max="6667" width="6.21875" style="2" customWidth="1"/>
    <col min="6668" max="6668" width="5.5546875" style="2" customWidth="1"/>
    <col min="6669" max="6669" width="10.77734375" style="2" customWidth="1"/>
    <col min="6670" max="6670" width="8.21875" style="2" customWidth="1"/>
    <col min="6671" max="6671" width="12.21875" style="2" customWidth="1"/>
    <col min="6672" max="6672" width="10.21875" style="2" customWidth="1"/>
    <col min="6673" max="6673" width="9.21875" style="2" customWidth="1"/>
    <col min="6674" max="6912" width="9.21875" style="2"/>
    <col min="6913" max="6913" width="4.21875" style="2" customWidth="1"/>
    <col min="6914" max="6914" width="2.5546875" style="2" customWidth="1"/>
    <col min="6915" max="6916" width="9.21875" style="2"/>
    <col min="6917" max="6917" width="7.21875" style="2" customWidth="1"/>
    <col min="6918" max="6918" width="8.21875" style="2" customWidth="1"/>
    <col min="6919" max="6920" width="10.21875" style="2" customWidth="1"/>
    <col min="6921" max="6921" width="3.77734375" style="2" customWidth="1"/>
    <col min="6922" max="6922" width="9.21875" style="2"/>
    <col min="6923" max="6923" width="6.21875" style="2" customWidth="1"/>
    <col min="6924" max="6924" width="5.5546875" style="2" customWidth="1"/>
    <col min="6925" max="6925" width="10.77734375" style="2" customWidth="1"/>
    <col min="6926" max="6926" width="8.21875" style="2" customWidth="1"/>
    <col min="6927" max="6927" width="12.21875" style="2" customWidth="1"/>
    <col min="6928" max="6928" width="10.21875" style="2" customWidth="1"/>
    <col min="6929" max="6929" width="9.21875" style="2" customWidth="1"/>
    <col min="6930" max="7168" width="9.21875" style="2"/>
    <col min="7169" max="7169" width="4.21875" style="2" customWidth="1"/>
    <col min="7170" max="7170" width="2.5546875" style="2" customWidth="1"/>
    <col min="7171" max="7172" width="9.21875" style="2"/>
    <col min="7173" max="7173" width="7.21875" style="2" customWidth="1"/>
    <col min="7174" max="7174" width="8.21875" style="2" customWidth="1"/>
    <col min="7175" max="7176" width="10.21875" style="2" customWidth="1"/>
    <col min="7177" max="7177" width="3.77734375" style="2" customWidth="1"/>
    <col min="7178" max="7178" width="9.21875" style="2"/>
    <col min="7179" max="7179" width="6.21875" style="2" customWidth="1"/>
    <col min="7180" max="7180" width="5.5546875" style="2" customWidth="1"/>
    <col min="7181" max="7181" width="10.77734375" style="2" customWidth="1"/>
    <col min="7182" max="7182" width="8.21875" style="2" customWidth="1"/>
    <col min="7183" max="7183" width="12.21875" style="2" customWidth="1"/>
    <col min="7184" max="7184" width="10.21875" style="2" customWidth="1"/>
    <col min="7185" max="7185" width="9.21875" style="2" customWidth="1"/>
    <col min="7186" max="7424" width="9.21875" style="2"/>
    <col min="7425" max="7425" width="4.21875" style="2" customWidth="1"/>
    <col min="7426" max="7426" width="2.5546875" style="2" customWidth="1"/>
    <col min="7427" max="7428" width="9.21875" style="2"/>
    <col min="7429" max="7429" width="7.21875" style="2" customWidth="1"/>
    <col min="7430" max="7430" width="8.21875" style="2" customWidth="1"/>
    <col min="7431" max="7432" width="10.21875" style="2" customWidth="1"/>
    <col min="7433" max="7433" width="3.77734375" style="2" customWidth="1"/>
    <col min="7434" max="7434" width="9.21875" style="2"/>
    <col min="7435" max="7435" width="6.21875" style="2" customWidth="1"/>
    <col min="7436" max="7436" width="5.5546875" style="2" customWidth="1"/>
    <col min="7437" max="7437" width="10.77734375" style="2" customWidth="1"/>
    <col min="7438" max="7438" width="8.21875" style="2" customWidth="1"/>
    <col min="7439" max="7439" width="12.21875" style="2" customWidth="1"/>
    <col min="7440" max="7440" width="10.21875" style="2" customWidth="1"/>
    <col min="7441" max="7441" width="9.21875" style="2" customWidth="1"/>
    <col min="7442" max="7680" width="9.21875" style="2"/>
    <col min="7681" max="7681" width="4.21875" style="2" customWidth="1"/>
    <col min="7682" max="7682" width="2.5546875" style="2" customWidth="1"/>
    <col min="7683" max="7684" width="9.21875" style="2"/>
    <col min="7685" max="7685" width="7.21875" style="2" customWidth="1"/>
    <col min="7686" max="7686" width="8.21875" style="2" customWidth="1"/>
    <col min="7687" max="7688" width="10.21875" style="2" customWidth="1"/>
    <col min="7689" max="7689" width="3.77734375" style="2" customWidth="1"/>
    <col min="7690" max="7690" width="9.21875" style="2"/>
    <col min="7691" max="7691" width="6.21875" style="2" customWidth="1"/>
    <col min="7692" max="7692" width="5.5546875" style="2" customWidth="1"/>
    <col min="7693" max="7693" width="10.77734375" style="2" customWidth="1"/>
    <col min="7694" max="7694" width="8.21875" style="2" customWidth="1"/>
    <col min="7695" max="7695" width="12.21875" style="2" customWidth="1"/>
    <col min="7696" max="7696" width="10.21875" style="2" customWidth="1"/>
    <col min="7697" max="7697" width="9.21875" style="2" customWidth="1"/>
    <col min="7698" max="7936" width="9.21875" style="2"/>
    <col min="7937" max="7937" width="4.21875" style="2" customWidth="1"/>
    <col min="7938" max="7938" width="2.5546875" style="2" customWidth="1"/>
    <col min="7939" max="7940" width="9.21875" style="2"/>
    <col min="7941" max="7941" width="7.21875" style="2" customWidth="1"/>
    <col min="7942" max="7942" width="8.21875" style="2" customWidth="1"/>
    <col min="7943" max="7944" width="10.21875" style="2" customWidth="1"/>
    <col min="7945" max="7945" width="3.77734375" style="2" customWidth="1"/>
    <col min="7946" max="7946" width="9.21875" style="2"/>
    <col min="7947" max="7947" width="6.21875" style="2" customWidth="1"/>
    <col min="7948" max="7948" width="5.5546875" style="2" customWidth="1"/>
    <col min="7949" max="7949" width="10.77734375" style="2" customWidth="1"/>
    <col min="7950" max="7950" width="8.21875" style="2" customWidth="1"/>
    <col min="7951" max="7951" width="12.21875" style="2" customWidth="1"/>
    <col min="7952" max="7952" width="10.21875" style="2" customWidth="1"/>
    <col min="7953" max="7953" width="9.21875" style="2" customWidth="1"/>
    <col min="7954" max="8192" width="9.21875" style="2"/>
    <col min="8193" max="8193" width="4.21875" style="2" customWidth="1"/>
    <col min="8194" max="8194" width="2.5546875" style="2" customWidth="1"/>
    <col min="8195" max="8196" width="9.21875" style="2"/>
    <col min="8197" max="8197" width="7.21875" style="2" customWidth="1"/>
    <col min="8198" max="8198" width="8.21875" style="2" customWidth="1"/>
    <col min="8199" max="8200" width="10.21875" style="2" customWidth="1"/>
    <col min="8201" max="8201" width="3.77734375" style="2" customWidth="1"/>
    <col min="8202" max="8202" width="9.21875" style="2"/>
    <col min="8203" max="8203" width="6.21875" style="2" customWidth="1"/>
    <col min="8204" max="8204" width="5.5546875" style="2" customWidth="1"/>
    <col min="8205" max="8205" width="10.77734375" style="2" customWidth="1"/>
    <col min="8206" max="8206" width="8.21875" style="2" customWidth="1"/>
    <col min="8207" max="8207" width="12.21875" style="2" customWidth="1"/>
    <col min="8208" max="8208" width="10.21875" style="2" customWidth="1"/>
    <col min="8209" max="8209" width="9.21875" style="2" customWidth="1"/>
    <col min="8210" max="8448" width="9.21875" style="2"/>
    <col min="8449" max="8449" width="4.21875" style="2" customWidth="1"/>
    <col min="8450" max="8450" width="2.5546875" style="2" customWidth="1"/>
    <col min="8451" max="8452" width="9.21875" style="2"/>
    <col min="8453" max="8453" width="7.21875" style="2" customWidth="1"/>
    <col min="8454" max="8454" width="8.21875" style="2" customWidth="1"/>
    <col min="8455" max="8456" width="10.21875" style="2" customWidth="1"/>
    <col min="8457" max="8457" width="3.77734375" style="2" customWidth="1"/>
    <col min="8458" max="8458" width="9.21875" style="2"/>
    <col min="8459" max="8459" width="6.21875" style="2" customWidth="1"/>
    <col min="8460" max="8460" width="5.5546875" style="2" customWidth="1"/>
    <col min="8461" max="8461" width="10.77734375" style="2" customWidth="1"/>
    <col min="8462" max="8462" width="8.21875" style="2" customWidth="1"/>
    <col min="8463" max="8463" width="12.21875" style="2" customWidth="1"/>
    <col min="8464" max="8464" width="10.21875" style="2" customWidth="1"/>
    <col min="8465" max="8465" width="9.21875" style="2" customWidth="1"/>
    <col min="8466" max="8704" width="9.21875" style="2"/>
    <col min="8705" max="8705" width="4.21875" style="2" customWidth="1"/>
    <col min="8706" max="8706" width="2.5546875" style="2" customWidth="1"/>
    <col min="8707" max="8708" width="9.21875" style="2"/>
    <col min="8709" max="8709" width="7.21875" style="2" customWidth="1"/>
    <col min="8710" max="8710" width="8.21875" style="2" customWidth="1"/>
    <col min="8711" max="8712" width="10.21875" style="2" customWidth="1"/>
    <col min="8713" max="8713" width="3.77734375" style="2" customWidth="1"/>
    <col min="8714" max="8714" width="9.21875" style="2"/>
    <col min="8715" max="8715" width="6.21875" style="2" customWidth="1"/>
    <col min="8716" max="8716" width="5.5546875" style="2" customWidth="1"/>
    <col min="8717" max="8717" width="10.77734375" style="2" customWidth="1"/>
    <col min="8718" max="8718" width="8.21875" style="2" customWidth="1"/>
    <col min="8719" max="8719" width="12.21875" style="2" customWidth="1"/>
    <col min="8720" max="8720" width="10.21875" style="2" customWidth="1"/>
    <col min="8721" max="8721" width="9.21875" style="2" customWidth="1"/>
    <col min="8722" max="8960" width="9.21875" style="2"/>
    <col min="8961" max="8961" width="4.21875" style="2" customWidth="1"/>
    <col min="8962" max="8962" width="2.5546875" style="2" customWidth="1"/>
    <col min="8963" max="8964" width="9.21875" style="2"/>
    <col min="8965" max="8965" width="7.21875" style="2" customWidth="1"/>
    <col min="8966" max="8966" width="8.21875" style="2" customWidth="1"/>
    <col min="8967" max="8968" width="10.21875" style="2" customWidth="1"/>
    <col min="8969" max="8969" width="3.77734375" style="2" customWidth="1"/>
    <col min="8970" max="8970" width="9.21875" style="2"/>
    <col min="8971" max="8971" width="6.21875" style="2" customWidth="1"/>
    <col min="8972" max="8972" width="5.5546875" style="2" customWidth="1"/>
    <col min="8973" max="8973" width="10.77734375" style="2" customWidth="1"/>
    <col min="8974" max="8974" width="8.21875" style="2" customWidth="1"/>
    <col min="8975" max="8975" width="12.21875" style="2" customWidth="1"/>
    <col min="8976" max="8976" width="10.21875" style="2" customWidth="1"/>
    <col min="8977" max="8977" width="9.21875" style="2" customWidth="1"/>
    <col min="8978" max="9216" width="9.21875" style="2"/>
    <col min="9217" max="9217" width="4.21875" style="2" customWidth="1"/>
    <col min="9218" max="9218" width="2.5546875" style="2" customWidth="1"/>
    <col min="9219" max="9220" width="9.21875" style="2"/>
    <col min="9221" max="9221" width="7.21875" style="2" customWidth="1"/>
    <col min="9222" max="9222" width="8.21875" style="2" customWidth="1"/>
    <col min="9223" max="9224" width="10.21875" style="2" customWidth="1"/>
    <col min="9225" max="9225" width="3.77734375" style="2" customWidth="1"/>
    <col min="9226" max="9226" width="9.21875" style="2"/>
    <col min="9227" max="9227" width="6.21875" style="2" customWidth="1"/>
    <col min="9228" max="9228" width="5.5546875" style="2" customWidth="1"/>
    <col min="9229" max="9229" width="10.77734375" style="2" customWidth="1"/>
    <col min="9230" max="9230" width="8.21875" style="2" customWidth="1"/>
    <col min="9231" max="9231" width="12.21875" style="2" customWidth="1"/>
    <col min="9232" max="9232" width="10.21875" style="2" customWidth="1"/>
    <col min="9233" max="9233" width="9.21875" style="2" customWidth="1"/>
    <col min="9234" max="9472" width="9.21875" style="2"/>
    <col min="9473" max="9473" width="4.21875" style="2" customWidth="1"/>
    <col min="9474" max="9474" width="2.5546875" style="2" customWidth="1"/>
    <col min="9475" max="9476" width="9.21875" style="2"/>
    <col min="9477" max="9477" width="7.21875" style="2" customWidth="1"/>
    <col min="9478" max="9478" width="8.21875" style="2" customWidth="1"/>
    <col min="9479" max="9480" width="10.21875" style="2" customWidth="1"/>
    <col min="9481" max="9481" width="3.77734375" style="2" customWidth="1"/>
    <col min="9482" max="9482" width="9.21875" style="2"/>
    <col min="9483" max="9483" width="6.21875" style="2" customWidth="1"/>
    <col min="9484" max="9484" width="5.5546875" style="2" customWidth="1"/>
    <col min="9485" max="9485" width="10.77734375" style="2" customWidth="1"/>
    <col min="9486" max="9486" width="8.21875" style="2" customWidth="1"/>
    <col min="9487" max="9487" width="12.21875" style="2" customWidth="1"/>
    <col min="9488" max="9488" width="10.21875" style="2" customWidth="1"/>
    <col min="9489" max="9489" width="9.21875" style="2" customWidth="1"/>
    <col min="9490" max="9728" width="9.21875" style="2"/>
    <col min="9729" max="9729" width="4.21875" style="2" customWidth="1"/>
    <col min="9730" max="9730" width="2.5546875" style="2" customWidth="1"/>
    <col min="9731" max="9732" width="9.21875" style="2"/>
    <col min="9733" max="9733" width="7.21875" style="2" customWidth="1"/>
    <col min="9734" max="9734" width="8.21875" style="2" customWidth="1"/>
    <col min="9735" max="9736" width="10.21875" style="2" customWidth="1"/>
    <col min="9737" max="9737" width="3.77734375" style="2" customWidth="1"/>
    <col min="9738" max="9738" width="9.21875" style="2"/>
    <col min="9739" max="9739" width="6.21875" style="2" customWidth="1"/>
    <col min="9740" max="9740" width="5.5546875" style="2" customWidth="1"/>
    <col min="9741" max="9741" width="10.77734375" style="2" customWidth="1"/>
    <col min="9742" max="9742" width="8.21875" style="2" customWidth="1"/>
    <col min="9743" max="9743" width="12.21875" style="2" customWidth="1"/>
    <col min="9744" max="9744" width="10.21875" style="2" customWidth="1"/>
    <col min="9745" max="9745" width="9.21875" style="2" customWidth="1"/>
    <col min="9746" max="9984" width="9.21875" style="2"/>
    <col min="9985" max="9985" width="4.21875" style="2" customWidth="1"/>
    <col min="9986" max="9986" width="2.5546875" style="2" customWidth="1"/>
    <col min="9987" max="9988" width="9.21875" style="2"/>
    <col min="9989" max="9989" width="7.21875" style="2" customWidth="1"/>
    <col min="9990" max="9990" width="8.21875" style="2" customWidth="1"/>
    <col min="9991" max="9992" width="10.21875" style="2" customWidth="1"/>
    <col min="9993" max="9993" width="3.77734375" style="2" customWidth="1"/>
    <col min="9994" max="9994" width="9.21875" style="2"/>
    <col min="9995" max="9995" width="6.21875" style="2" customWidth="1"/>
    <col min="9996" max="9996" width="5.5546875" style="2" customWidth="1"/>
    <col min="9997" max="9997" width="10.77734375" style="2" customWidth="1"/>
    <col min="9998" max="9998" width="8.21875" style="2" customWidth="1"/>
    <col min="9999" max="9999" width="12.21875" style="2" customWidth="1"/>
    <col min="10000" max="10000" width="10.21875" style="2" customWidth="1"/>
    <col min="10001" max="10001" width="9.21875" style="2" customWidth="1"/>
    <col min="10002" max="10240" width="9.21875" style="2"/>
    <col min="10241" max="10241" width="4.21875" style="2" customWidth="1"/>
    <col min="10242" max="10242" width="2.5546875" style="2" customWidth="1"/>
    <col min="10243" max="10244" width="9.21875" style="2"/>
    <col min="10245" max="10245" width="7.21875" style="2" customWidth="1"/>
    <col min="10246" max="10246" width="8.21875" style="2" customWidth="1"/>
    <col min="10247" max="10248" width="10.21875" style="2" customWidth="1"/>
    <col min="10249" max="10249" width="3.77734375" style="2" customWidth="1"/>
    <col min="10250" max="10250" width="9.21875" style="2"/>
    <col min="10251" max="10251" width="6.21875" style="2" customWidth="1"/>
    <col min="10252" max="10252" width="5.5546875" style="2" customWidth="1"/>
    <col min="10253" max="10253" width="10.77734375" style="2" customWidth="1"/>
    <col min="10254" max="10254" width="8.21875" style="2" customWidth="1"/>
    <col min="10255" max="10255" width="12.21875" style="2" customWidth="1"/>
    <col min="10256" max="10256" width="10.21875" style="2" customWidth="1"/>
    <col min="10257" max="10257" width="9.21875" style="2" customWidth="1"/>
    <col min="10258" max="10496" width="9.21875" style="2"/>
    <col min="10497" max="10497" width="4.21875" style="2" customWidth="1"/>
    <col min="10498" max="10498" width="2.5546875" style="2" customWidth="1"/>
    <col min="10499" max="10500" width="9.21875" style="2"/>
    <col min="10501" max="10501" width="7.21875" style="2" customWidth="1"/>
    <col min="10502" max="10502" width="8.21875" style="2" customWidth="1"/>
    <col min="10503" max="10504" width="10.21875" style="2" customWidth="1"/>
    <col min="10505" max="10505" width="3.77734375" style="2" customWidth="1"/>
    <col min="10506" max="10506" width="9.21875" style="2"/>
    <col min="10507" max="10507" width="6.21875" style="2" customWidth="1"/>
    <col min="10508" max="10508" width="5.5546875" style="2" customWidth="1"/>
    <col min="10509" max="10509" width="10.77734375" style="2" customWidth="1"/>
    <col min="10510" max="10510" width="8.21875" style="2" customWidth="1"/>
    <col min="10511" max="10511" width="12.21875" style="2" customWidth="1"/>
    <col min="10512" max="10512" width="10.21875" style="2" customWidth="1"/>
    <col min="10513" max="10513" width="9.21875" style="2" customWidth="1"/>
    <col min="10514" max="10752" width="9.21875" style="2"/>
    <col min="10753" max="10753" width="4.21875" style="2" customWidth="1"/>
    <col min="10754" max="10754" width="2.5546875" style="2" customWidth="1"/>
    <col min="10755" max="10756" width="9.21875" style="2"/>
    <col min="10757" max="10757" width="7.21875" style="2" customWidth="1"/>
    <col min="10758" max="10758" width="8.21875" style="2" customWidth="1"/>
    <col min="10759" max="10760" width="10.21875" style="2" customWidth="1"/>
    <col min="10761" max="10761" width="3.77734375" style="2" customWidth="1"/>
    <col min="10762" max="10762" width="9.21875" style="2"/>
    <col min="10763" max="10763" width="6.21875" style="2" customWidth="1"/>
    <col min="10764" max="10764" width="5.5546875" style="2" customWidth="1"/>
    <col min="10765" max="10765" width="10.77734375" style="2" customWidth="1"/>
    <col min="10766" max="10766" width="8.21875" style="2" customWidth="1"/>
    <col min="10767" max="10767" width="12.21875" style="2" customWidth="1"/>
    <col min="10768" max="10768" width="10.21875" style="2" customWidth="1"/>
    <col min="10769" max="10769" width="9.21875" style="2" customWidth="1"/>
    <col min="10770" max="11008" width="9.21875" style="2"/>
    <col min="11009" max="11009" width="4.21875" style="2" customWidth="1"/>
    <col min="11010" max="11010" width="2.5546875" style="2" customWidth="1"/>
    <col min="11011" max="11012" width="9.21875" style="2"/>
    <col min="11013" max="11013" width="7.21875" style="2" customWidth="1"/>
    <col min="11014" max="11014" width="8.21875" style="2" customWidth="1"/>
    <col min="11015" max="11016" width="10.21875" style="2" customWidth="1"/>
    <col min="11017" max="11017" width="3.77734375" style="2" customWidth="1"/>
    <col min="11018" max="11018" width="9.21875" style="2"/>
    <col min="11019" max="11019" width="6.21875" style="2" customWidth="1"/>
    <col min="11020" max="11020" width="5.5546875" style="2" customWidth="1"/>
    <col min="11021" max="11021" width="10.77734375" style="2" customWidth="1"/>
    <col min="11022" max="11022" width="8.21875" style="2" customWidth="1"/>
    <col min="11023" max="11023" width="12.21875" style="2" customWidth="1"/>
    <col min="11024" max="11024" width="10.21875" style="2" customWidth="1"/>
    <col min="11025" max="11025" width="9.21875" style="2" customWidth="1"/>
    <col min="11026" max="11264" width="9.21875" style="2"/>
    <col min="11265" max="11265" width="4.21875" style="2" customWidth="1"/>
    <col min="11266" max="11266" width="2.5546875" style="2" customWidth="1"/>
    <col min="11267" max="11268" width="9.21875" style="2"/>
    <col min="11269" max="11269" width="7.21875" style="2" customWidth="1"/>
    <col min="11270" max="11270" width="8.21875" style="2" customWidth="1"/>
    <col min="11271" max="11272" width="10.21875" style="2" customWidth="1"/>
    <col min="11273" max="11273" width="3.77734375" style="2" customWidth="1"/>
    <col min="11274" max="11274" width="9.21875" style="2"/>
    <col min="11275" max="11275" width="6.21875" style="2" customWidth="1"/>
    <col min="11276" max="11276" width="5.5546875" style="2" customWidth="1"/>
    <col min="11277" max="11277" width="10.77734375" style="2" customWidth="1"/>
    <col min="11278" max="11278" width="8.21875" style="2" customWidth="1"/>
    <col min="11279" max="11279" width="12.21875" style="2" customWidth="1"/>
    <col min="11280" max="11280" width="10.21875" style="2" customWidth="1"/>
    <col min="11281" max="11281" width="9.21875" style="2" customWidth="1"/>
    <col min="11282" max="11520" width="9.21875" style="2"/>
    <col min="11521" max="11521" width="4.21875" style="2" customWidth="1"/>
    <col min="11522" max="11522" width="2.5546875" style="2" customWidth="1"/>
    <col min="11523" max="11524" width="9.21875" style="2"/>
    <col min="11525" max="11525" width="7.21875" style="2" customWidth="1"/>
    <col min="11526" max="11526" width="8.21875" style="2" customWidth="1"/>
    <col min="11527" max="11528" width="10.21875" style="2" customWidth="1"/>
    <col min="11529" max="11529" width="3.77734375" style="2" customWidth="1"/>
    <col min="11530" max="11530" width="9.21875" style="2"/>
    <col min="11531" max="11531" width="6.21875" style="2" customWidth="1"/>
    <col min="11532" max="11532" width="5.5546875" style="2" customWidth="1"/>
    <col min="11533" max="11533" width="10.77734375" style="2" customWidth="1"/>
    <col min="11534" max="11534" width="8.21875" style="2" customWidth="1"/>
    <col min="11535" max="11535" width="12.21875" style="2" customWidth="1"/>
    <col min="11536" max="11536" width="10.21875" style="2" customWidth="1"/>
    <col min="11537" max="11537" width="9.21875" style="2" customWidth="1"/>
    <col min="11538" max="11776" width="9.21875" style="2"/>
    <col min="11777" max="11777" width="4.21875" style="2" customWidth="1"/>
    <col min="11778" max="11778" width="2.5546875" style="2" customWidth="1"/>
    <col min="11779" max="11780" width="9.21875" style="2"/>
    <col min="11781" max="11781" width="7.21875" style="2" customWidth="1"/>
    <col min="11782" max="11782" width="8.21875" style="2" customWidth="1"/>
    <col min="11783" max="11784" width="10.21875" style="2" customWidth="1"/>
    <col min="11785" max="11785" width="3.77734375" style="2" customWidth="1"/>
    <col min="11786" max="11786" width="9.21875" style="2"/>
    <col min="11787" max="11787" width="6.21875" style="2" customWidth="1"/>
    <col min="11788" max="11788" width="5.5546875" style="2" customWidth="1"/>
    <col min="11789" max="11789" width="10.77734375" style="2" customWidth="1"/>
    <col min="11790" max="11790" width="8.21875" style="2" customWidth="1"/>
    <col min="11791" max="11791" width="12.21875" style="2" customWidth="1"/>
    <col min="11792" max="11792" width="10.21875" style="2" customWidth="1"/>
    <col min="11793" max="11793" width="9.21875" style="2" customWidth="1"/>
    <col min="11794" max="12032" width="9.21875" style="2"/>
    <col min="12033" max="12033" width="4.21875" style="2" customWidth="1"/>
    <col min="12034" max="12034" width="2.5546875" style="2" customWidth="1"/>
    <col min="12035" max="12036" width="9.21875" style="2"/>
    <col min="12037" max="12037" width="7.21875" style="2" customWidth="1"/>
    <col min="12038" max="12038" width="8.21875" style="2" customWidth="1"/>
    <col min="12039" max="12040" width="10.21875" style="2" customWidth="1"/>
    <col min="12041" max="12041" width="3.77734375" style="2" customWidth="1"/>
    <col min="12042" max="12042" width="9.21875" style="2"/>
    <col min="12043" max="12043" width="6.21875" style="2" customWidth="1"/>
    <col min="12044" max="12044" width="5.5546875" style="2" customWidth="1"/>
    <col min="12045" max="12045" width="10.77734375" style="2" customWidth="1"/>
    <col min="12046" max="12046" width="8.21875" style="2" customWidth="1"/>
    <col min="12047" max="12047" width="12.21875" style="2" customWidth="1"/>
    <col min="12048" max="12048" width="10.21875" style="2" customWidth="1"/>
    <col min="12049" max="12049" width="9.21875" style="2" customWidth="1"/>
    <col min="12050" max="12288" width="9.21875" style="2"/>
    <col min="12289" max="12289" width="4.21875" style="2" customWidth="1"/>
    <col min="12290" max="12290" width="2.5546875" style="2" customWidth="1"/>
    <col min="12291" max="12292" width="9.21875" style="2"/>
    <col min="12293" max="12293" width="7.21875" style="2" customWidth="1"/>
    <col min="12294" max="12294" width="8.21875" style="2" customWidth="1"/>
    <col min="12295" max="12296" width="10.21875" style="2" customWidth="1"/>
    <col min="12297" max="12297" width="3.77734375" style="2" customWidth="1"/>
    <col min="12298" max="12298" width="9.21875" style="2"/>
    <col min="12299" max="12299" width="6.21875" style="2" customWidth="1"/>
    <col min="12300" max="12300" width="5.5546875" style="2" customWidth="1"/>
    <col min="12301" max="12301" width="10.77734375" style="2" customWidth="1"/>
    <col min="12302" max="12302" width="8.21875" style="2" customWidth="1"/>
    <col min="12303" max="12303" width="12.21875" style="2" customWidth="1"/>
    <col min="12304" max="12304" width="10.21875" style="2" customWidth="1"/>
    <col min="12305" max="12305" width="9.21875" style="2" customWidth="1"/>
    <col min="12306" max="12544" width="9.21875" style="2"/>
    <col min="12545" max="12545" width="4.21875" style="2" customWidth="1"/>
    <col min="12546" max="12546" width="2.5546875" style="2" customWidth="1"/>
    <col min="12547" max="12548" width="9.21875" style="2"/>
    <col min="12549" max="12549" width="7.21875" style="2" customWidth="1"/>
    <col min="12550" max="12550" width="8.21875" style="2" customWidth="1"/>
    <col min="12551" max="12552" width="10.21875" style="2" customWidth="1"/>
    <col min="12553" max="12553" width="3.77734375" style="2" customWidth="1"/>
    <col min="12554" max="12554" width="9.21875" style="2"/>
    <col min="12555" max="12555" width="6.21875" style="2" customWidth="1"/>
    <col min="12556" max="12556" width="5.5546875" style="2" customWidth="1"/>
    <col min="12557" max="12557" width="10.77734375" style="2" customWidth="1"/>
    <col min="12558" max="12558" width="8.21875" style="2" customWidth="1"/>
    <col min="12559" max="12559" width="12.21875" style="2" customWidth="1"/>
    <col min="12560" max="12560" width="10.21875" style="2" customWidth="1"/>
    <col min="12561" max="12561" width="9.21875" style="2" customWidth="1"/>
    <col min="12562" max="12800" width="9.21875" style="2"/>
    <col min="12801" max="12801" width="4.21875" style="2" customWidth="1"/>
    <col min="12802" max="12802" width="2.5546875" style="2" customWidth="1"/>
    <col min="12803" max="12804" width="9.21875" style="2"/>
    <col min="12805" max="12805" width="7.21875" style="2" customWidth="1"/>
    <col min="12806" max="12806" width="8.21875" style="2" customWidth="1"/>
    <col min="12807" max="12808" width="10.21875" style="2" customWidth="1"/>
    <col min="12809" max="12809" width="3.77734375" style="2" customWidth="1"/>
    <col min="12810" max="12810" width="9.21875" style="2"/>
    <col min="12811" max="12811" width="6.21875" style="2" customWidth="1"/>
    <col min="12812" max="12812" width="5.5546875" style="2" customWidth="1"/>
    <col min="12813" max="12813" width="10.77734375" style="2" customWidth="1"/>
    <col min="12814" max="12814" width="8.21875" style="2" customWidth="1"/>
    <col min="12815" max="12815" width="12.21875" style="2" customWidth="1"/>
    <col min="12816" max="12816" width="10.21875" style="2" customWidth="1"/>
    <col min="12817" max="12817" width="9.21875" style="2" customWidth="1"/>
    <col min="12818" max="13056" width="9.21875" style="2"/>
    <col min="13057" max="13057" width="4.21875" style="2" customWidth="1"/>
    <col min="13058" max="13058" width="2.5546875" style="2" customWidth="1"/>
    <col min="13059" max="13060" width="9.21875" style="2"/>
    <col min="13061" max="13061" width="7.21875" style="2" customWidth="1"/>
    <col min="13062" max="13062" width="8.21875" style="2" customWidth="1"/>
    <col min="13063" max="13064" width="10.21875" style="2" customWidth="1"/>
    <col min="13065" max="13065" width="3.77734375" style="2" customWidth="1"/>
    <col min="13066" max="13066" width="9.21875" style="2"/>
    <col min="13067" max="13067" width="6.21875" style="2" customWidth="1"/>
    <col min="13068" max="13068" width="5.5546875" style="2" customWidth="1"/>
    <col min="13069" max="13069" width="10.77734375" style="2" customWidth="1"/>
    <col min="13070" max="13070" width="8.21875" style="2" customWidth="1"/>
    <col min="13071" max="13071" width="12.21875" style="2" customWidth="1"/>
    <col min="13072" max="13072" width="10.21875" style="2" customWidth="1"/>
    <col min="13073" max="13073" width="9.21875" style="2" customWidth="1"/>
    <col min="13074" max="13312" width="9.21875" style="2"/>
    <col min="13313" max="13313" width="4.21875" style="2" customWidth="1"/>
    <col min="13314" max="13314" width="2.5546875" style="2" customWidth="1"/>
    <col min="13315" max="13316" width="9.21875" style="2"/>
    <col min="13317" max="13317" width="7.21875" style="2" customWidth="1"/>
    <col min="13318" max="13318" width="8.21875" style="2" customWidth="1"/>
    <col min="13319" max="13320" width="10.21875" style="2" customWidth="1"/>
    <col min="13321" max="13321" width="3.77734375" style="2" customWidth="1"/>
    <col min="13322" max="13322" width="9.21875" style="2"/>
    <col min="13323" max="13323" width="6.21875" style="2" customWidth="1"/>
    <col min="13324" max="13324" width="5.5546875" style="2" customWidth="1"/>
    <col min="13325" max="13325" width="10.77734375" style="2" customWidth="1"/>
    <col min="13326" max="13326" width="8.21875" style="2" customWidth="1"/>
    <col min="13327" max="13327" width="12.21875" style="2" customWidth="1"/>
    <col min="13328" max="13328" width="10.21875" style="2" customWidth="1"/>
    <col min="13329" max="13329" width="9.21875" style="2" customWidth="1"/>
    <col min="13330" max="13568" width="9.21875" style="2"/>
    <col min="13569" max="13569" width="4.21875" style="2" customWidth="1"/>
    <col min="13570" max="13570" width="2.5546875" style="2" customWidth="1"/>
    <col min="13571" max="13572" width="9.21875" style="2"/>
    <col min="13573" max="13573" width="7.21875" style="2" customWidth="1"/>
    <col min="13574" max="13574" width="8.21875" style="2" customWidth="1"/>
    <col min="13575" max="13576" width="10.21875" style="2" customWidth="1"/>
    <col min="13577" max="13577" width="3.77734375" style="2" customWidth="1"/>
    <col min="13578" max="13578" width="9.21875" style="2"/>
    <col min="13579" max="13579" width="6.21875" style="2" customWidth="1"/>
    <col min="13580" max="13580" width="5.5546875" style="2" customWidth="1"/>
    <col min="13581" max="13581" width="10.77734375" style="2" customWidth="1"/>
    <col min="13582" max="13582" width="8.21875" style="2" customWidth="1"/>
    <col min="13583" max="13583" width="12.21875" style="2" customWidth="1"/>
    <col min="13584" max="13584" width="10.21875" style="2" customWidth="1"/>
    <col min="13585" max="13585" width="9.21875" style="2" customWidth="1"/>
    <col min="13586" max="13824" width="9.21875" style="2"/>
    <col min="13825" max="13825" width="4.21875" style="2" customWidth="1"/>
    <col min="13826" max="13826" width="2.5546875" style="2" customWidth="1"/>
    <col min="13827" max="13828" width="9.21875" style="2"/>
    <col min="13829" max="13829" width="7.21875" style="2" customWidth="1"/>
    <col min="13830" max="13830" width="8.21875" style="2" customWidth="1"/>
    <col min="13831" max="13832" width="10.21875" style="2" customWidth="1"/>
    <col min="13833" max="13833" width="3.77734375" style="2" customWidth="1"/>
    <col min="13834" max="13834" width="9.21875" style="2"/>
    <col min="13835" max="13835" width="6.21875" style="2" customWidth="1"/>
    <col min="13836" max="13836" width="5.5546875" style="2" customWidth="1"/>
    <col min="13837" max="13837" width="10.77734375" style="2" customWidth="1"/>
    <col min="13838" max="13838" width="8.21875" style="2" customWidth="1"/>
    <col min="13839" max="13839" width="12.21875" style="2" customWidth="1"/>
    <col min="13840" max="13840" width="10.21875" style="2" customWidth="1"/>
    <col min="13841" max="13841" width="9.21875" style="2" customWidth="1"/>
    <col min="13842" max="14080" width="9.21875" style="2"/>
    <col min="14081" max="14081" width="4.21875" style="2" customWidth="1"/>
    <col min="14082" max="14082" width="2.5546875" style="2" customWidth="1"/>
    <col min="14083" max="14084" width="9.21875" style="2"/>
    <col min="14085" max="14085" width="7.21875" style="2" customWidth="1"/>
    <col min="14086" max="14086" width="8.21875" style="2" customWidth="1"/>
    <col min="14087" max="14088" width="10.21875" style="2" customWidth="1"/>
    <col min="14089" max="14089" width="3.77734375" style="2" customWidth="1"/>
    <col min="14090" max="14090" width="9.21875" style="2"/>
    <col min="14091" max="14091" width="6.21875" style="2" customWidth="1"/>
    <col min="14092" max="14092" width="5.5546875" style="2" customWidth="1"/>
    <col min="14093" max="14093" width="10.77734375" style="2" customWidth="1"/>
    <col min="14094" max="14094" width="8.21875" style="2" customWidth="1"/>
    <col min="14095" max="14095" width="12.21875" style="2" customWidth="1"/>
    <col min="14096" max="14096" width="10.21875" style="2" customWidth="1"/>
    <col min="14097" max="14097" width="9.21875" style="2" customWidth="1"/>
    <col min="14098" max="14336" width="9.21875" style="2"/>
    <col min="14337" max="14337" width="4.21875" style="2" customWidth="1"/>
    <col min="14338" max="14338" width="2.5546875" style="2" customWidth="1"/>
    <col min="14339" max="14340" width="9.21875" style="2"/>
    <col min="14341" max="14341" width="7.21875" style="2" customWidth="1"/>
    <col min="14342" max="14342" width="8.21875" style="2" customWidth="1"/>
    <col min="14343" max="14344" width="10.21875" style="2" customWidth="1"/>
    <col min="14345" max="14345" width="3.77734375" style="2" customWidth="1"/>
    <col min="14346" max="14346" width="9.21875" style="2"/>
    <col min="14347" max="14347" width="6.21875" style="2" customWidth="1"/>
    <col min="14348" max="14348" width="5.5546875" style="2" customWidth="1"/>
    <col min="14349" max="14349" width="10.77734375" style="2" customWidth="1"/>
    <col min="14350" max="14350" width="8.21875" style="2" customWidth="1"/>
    <col min="14351" max="14351" width="12.21875" style="2" customWidth="1"/>
    <col min="14352" max="14352" width="10.21875" style="2" customWidth="1"/>
    <col min="14353" max="14353" width="9.21875" style="2" customWidth="1"/>
    <col min="14354" max="14592" width="9.21875" style="2"/>
    <col min="14593" max="14593" width="4.21875" style="2" customWidth="1"/>
    <col min="14594" max="14594" width="2.5546875" style="2" customWidth="1"/>
    <col min="14595" max="14596" width="9.21875" style="2"/>
    <col min="14597" max="14597" width="7.21875" style="2" customWidth="1"/>
    <col min="14598" max="14598" width="8.21875" style="2" customWidth="1"/>
    <col min="14599" max="14600" width="10.21875" style="2" customWidth="1"/>
    <col min="14601" max="14601" width="3.77734375" style="2" customWidth="1"/>
    <col min="14602" max="14602" width="9.21875" style="2"/>
    <col min="14603" max="14603" width="6.21875" style="2" customWidth="1"/>
    <col min="14604" max="14604" width="5.5546875" style="2" customWidth="1"/>
    <col min="14605" max="14605" width="10.77734375" style="2" customWidth="1"/>
    <col min="14606" max="14606" width="8.21875" style="2" customWidth="1"/>
    <col min="14607" max="14607" width="12.21875" style="2" customWidth="1"/>
    <col min="14608" max="14608" width="10.21875" style="2" customWidth="1"/>
    <col min="14609" max="14609" width="9.21875" style="2" customWidth="1"/>
    <col min="14610" max="14848" width="9.21875" style="2"/>
    <col min="14849" max="14849" width="4.21875" style="2" customWidth="1"/>
    <col min="14850" max="14850" width="2.5546875" style="2" customWidth="1"/>
    <col min="14851" max="14852" width="9.21875" style="2"/>
    <col min="14853" max="14853" width="7.21875" style="2" customWidth="1"/>
    <col min="14854" max="14854" width="8.21875" style="2" customWidth="1"/>
    <col min="14855" max="14856" width="10.21875" style="2" customWidth="1"/>
    <col min="14857" max="14857" width="3.77734375" style="2" customWidth="1"/>
    <col min="14858" max="14858" width="9.21875" style="2"/>
    <col min="14859" max="14859" width="6.21875" style="2" customWidth="1"/>
    <col min="14860" max="14860" width="5.5546875" style="2" customWidth="1"/>
    <col min="14861" max="14861" width="10.77734375" style="2" customWidth="1"/>
    <col min="14862" max="14862" width="8.21875" style="2" customWidth="1"/>
    <col min="14863" max="14863" width="12.21875" style="2" customWidth="1"/>
    <col min="14864" max="14864" width="10.21875" style="2" customWidth="1"/>
    <col min="14865" max="14865" width="9.21875" style="2" customWidth="1"/>
    <col min="14866" max="15104" width="9.21875" style="2"/>
    <col min="15105" max="15105" width="4.21875" style="2" customWidth="1"/>
    <col min="15106" max="15106" width="2.5546875" style="2" customWidth="1"/>
    <col min="15107" max="15108" width="9.21875" style="2"/>
    <col min="15109" max="15109" width="7.21875" style="2" customWidth="1"/>
    <col min="15110" max="15110" width="8.21875" style="2" customWidth="1"/>
    <col min="15111" max="15112" width="10.21875" style="2" customWidth="1"/>
    <col min="15113" max="15113" width="3.77734375" style="2" customWidth="1"/>
    <col min="15114" max="15114" width="9.21875" style="2"/>
    <col min="15115" max="15115" width="6.21875" style="2" customWidth="1"/>
    <col min="15116" max="15116" width="5.5546875" style="2" customWidth="1"/>
    <col min="15117" max="15117" width="10.77734375" style="2" customWidth="1"/>
    <col min="15118" max="15118" width="8.21875" style="2" customWidth="1"/>
    <col min="15119" max="15119" width="12.21875" style="2" customWidth="1"/>
    <col min="15120" max="15120" width="10.21875" style="2" customWidth="1"/>
    <col min="15121" max="15121" width="9.21875" style="2" customWidth="1"/>
    <col min="15122" max="15360" width="9.21875" style="2"/>
    <col min="15361" max="15361" width="4.21875" style="2" customWidth="1"/>
    <col min="15362" max="15362" width="2.5546875" style="2" customWidth="1"/>
    <col min="15363" max="15364" width="9.21875" style="2"/>
    <col min="15365" max="15365" width="7.21875" style="2" customWidth="1"/>
    <col min="15366" max="15366" width="8.21875" style="2" customWidth="1"/>
    <col min="15367" max="15368" width="10.21875" style="2" customWidth="1"/>
    <col min="15369" max="15369" width="3.77734375" style="2" customWidth="1"/>
    <col min="15370" max="15370" width="9.21875" style="2"/>
    <col min="15371" max="15371" width="6.21875" style="2" customWidth="1"/>
    <col min="15372" max="15372" width="5.5546875" style="2" customWidth="1"/>
    <col min="15373" max="15373" width="10.77734375" style="2" customWidth="1"/>
    <col min="15374" max="15374" width="8.21875" style="2" customWidth="1"/>
    <col min="15375" max="15375" width="12.21875" style="2" customWidth="1"/>
    <col min="15376" max="15376" width="10.21875" style="2" customWidth="1"/>
    <col min="15377" max="15377" width="9.21875" style="2" customWidth="1"/>
    <col min="15378" max="15616" width="9.21875" style="2"/>
    <col min="15617" max="15617" width="4.21875" style="2" customWidth="1"/>
    <col min="15618" max="15618" width="2.5546875" style="2" customWidth="1"/>
    <col min="15619" max="15620" width="9.21875" style="2"/>
    <col min="15621" max="15621" width="7.21875" style="2" customWidth="1"/>
    <col min="15622" max="15622" width="8.21875" style="2" customWidth="1"/>
    <col min="15623" max="15624" width="10.21875" style="2" customWidth="1"/>
    <col min="15625" max="15625" width="3.77734375" style="2" customWidth="1"/>
    <col min="15626" max="15626" width="9.21875" style="2"/>
    <col min="15627" max="15627" width="6.21875" style="2" customWidth="1"/>
    <col min="15628" max="15628" width="5.5546875" style="2" customWidth="1"/>
    <col min="15629" max="15629" width="10.77734375" style="2" customWidth="1"/>
    <col min="15630" max="15630" width="8.21875" style="2" customWidth="1"/>
    <col min="15631" max="15631" width="12.21875" style="2" customWidth="1"/>
    <col min="15632" max="15632" width="10.21875" style="2" customWidth="1"/>
    <col min="15633" max="15633" width="9.21875" style="2" customWidth="1"/>
    <col min="15634" max="15872" width="9.21875" style="2"/>
    <col min="15873" max="15873" width="4.21875" style="2" customWidth="1"/>
    <col min="15874" max="15874" width="2.5546875" style="2" customWidth="1"/>
    <col min="15875" max="15876" width="9.21875" style="2"/>
    <col min="15877" max="15877" width="7.21875" style="2" customWidth="1"/>
    <col min="15878" max="15878" width="8.21875" style="2" customWidth="1"/>
    <col min="15879" max="15880" width="10.21875" style="2" customWidth="1"/>
    <col min="15881" max="15881" width="3.77734375" style="2" customWidth="1"/>
    <col min="15882" max="15882" width="9.21875" style="2"/>
    <col min="15883" max="15883" width="6.21875" style="2" customWidth="1"/>
    <col min="15884" max="15884" width="5.5546875" style="2" customWidth="1"/>
    <col min="15885" max="15885" width="10.77734375" style="2" customWidth="1"/>
    <col min="15886" max="15886" width="8.21875" style="2" customWidth="1"/>
    <col min="15887" max="15887" width="12.21875" style="2" customWidth="1"/>
    <col min="15888" max="15888" width="10.21875" style="2" customWidth="1"/>
    <col min="15889" max="15889" width="9.21875" style="2" customWidth="1"/>
    <col min="15890" max="16128" width="9.21875" style="2"/>
    <col min="16129" max="16129" width="4.21875" style="2" customWidth="1"/>
    <col min="16130" max="16130" width="2.5546875" style="2" customWidth="1"/>
    <col min="16131" max="16132" width="9.21875" style="2"/>
    <col min="16133" max="16133" width="7.21875" style="2" customWidth="1"/>
    <col min="16134" max="16134" width="8.21875" style="2" customWidth="1"/>
    <col min="16135" max="16136" width="10.21875" style="2" customWidth="1"/>
    <col min="16137" max="16137" width="3.77734375" style="2" customWidth="1"/>
    <col min="16138" max="16138" width="9.21875" style="2"/>
    <col min="16139" max="16139" width="6.21875" style="2" customWidth="1"/>
    <col min="16140" max="16140" width="5.5546875" style="2" customWidth="1"/>
    <col min="16141" max="16141" width="10.77734375" style="2" customWidth="1"/>
    <col min="16142" max="16142" width="8.21875" style="2" customWidth="1"/>
    <col min="16143" max="16143" width="12.21875" style="2" customWidth="1"/>
    <col min="16144" max="16144" width="10.21875" style="2" customWidth="1"/>
    <col min="16145" max="16145" width="9.21875" style="2" customWidth="1"/>
    <col min="16146" max="16384" width="9.21875" style="2"/>
  </cols>
  <sheetData>
    <row r="1" spans="1:18" ht="15.6">
      <c r="A1" s="1220" t="s">
        <v>20</v>
      </c>
      <c r="B1" s="1220"/>
      <c r="C1" s="1220"/>
      <c r="D1" s="1220"/>
      <c r="E1" s="1220"/>
      <c r="F1" s="1220"/>
      <c r="G1" s="1220"/>
      <c r="H1" s="1220"/>
      <c r="I1" s="1220"/>
      <c r="J1" s="1220"/>
      <c r="K1" s="1220"/>
      <c r="L1" s="1220"/>
      <c r="M1" s="1220"/>
      <c r="N1" s="1220"/>
      <c r="O1" s="1220"/>
      <c r="P1" s="49"/>
      <c r="Q1" s="50"/>
      <c r="R1" s="49"/>
    </row>
    <row r="2" spans="1:18" ht="15.6">
      <c r="A2" s="1220" t="s">
        <v>42</v>
      </c>
      <c r="B2" s="1220"/>
      <c r="C2" s="1220"/>
      <c r="D2" s="1220"/>
      <c r="E2" s="1220"/>
      <c r="F2" s="1220"/>
      <c r="G2" s="1220"/>
      <c r="H2" s="1220"/>
      <c r="I2" s="1220"/>
      <c r="J2" s="1220"/>
      <c r="K2" s="1220"/>
      <c r="L2" s="1220"/>
      <c r="M2" s="1220"/>
      <c r="N2" s="1220"/>
      <c r="O2" s="1220"/>
    </row>
    <row r="3" spans="1:18" ht="9" customHeight="1">
      <c r="A3" s="49"/>
      <c r="B3" s="49"/>
      <c r="C3" s="49"/>
      <c r="D3" s="49"/>
      <c r="E3" s="49"/>
      <c r="F3" s="49"/>
      <c r="G3" s="49"/>
      <c r="H3" s="49"/>
      <c r="I3" s="49"/>
      <c r="J3" s="49"/>
      <c r="K3" s="49"/>
      <c r="L3" s="49"/>
      <c r="M3" s="49"/>
      <c r="N3" s="49"/>
      <c r="O3" s="49"/>
    </row>
    <row r="4" spans="1:18" ht="7.5" customHeight="1"/>
    <row r="5" spans="1:18" ht="39" customHeight="1">
      <c r="A5" s="33" t="s">
        <v>22</v>
      </c>
      <c r="F5" s="34" t="s">
        <v>23</v>
      </c>
      <c r="H5" s="35" t="s">
        <v>24</v>
      </c>
      <c r="I5" s="36"/>
      <c r="J5" s="1221" t="s">
        <v>25</v>
      </c>
      <c r="K5" s="1217"/>
      <c r="M5" s="3" t="s">
        <v>26</v>
      </c>
      <c r="O5" s="37" t="s">
        <v>27</v>
      </c>
    </row>
    <row r="6" spans="1:18" ht="6.75" customHeight="1"/>
    <row r="7" spans="1:18" ht="15">
      <c r="B7" s="5" t="s">
        <v>6</v>
      </c>
      <c r="F7" s="38">
        <f>IF('Input (3)'!$G$4=0," ",'Input (3)'!$G$4)</f>
        <v>20.68</v>
      </c>
      <c r="G7" s="39"/>
      <c r="J7" s="1222">
        <f>IF('Input (3)'!G4=0,"0",'Input (3)'!G4)</f>
        <v>20.68</v>
      </c>
      <c r="K7" s="1222"/>
      <c r="L7" s="40" t="s">
        <v>28</v>
      </c>
      <c r="M7" s="41">
        <f>IF('Input (3)'!G4=0,0,LOOKUP(J7,'criteria (3)'!$A$3:$A$10,'criteria (3)'!$B$3:$B$10))</f>
        <v>40</v>
      </c>
      <c r="N7" s="42" t="s">
        <v>29</v>
      </c>
      <c r="O7" s="38">
        <f>IF(Q7=0,0,IF(Q7&lt;LOOKUP(J7,'criteria (3)'!$A$3:$A$10,'criteria (3)'!$C$3:$C$10),LOOKUP(J7,'criteria (3)'!$A$3:$A$10,'criteria (3)'!$C$3:$C$10),IF(LOOKUP(J7,'criteria (3)'!$A$3:$A$10,'criteria (3)'!$C$3:$C$10)=0,0,Q7)))</f>
        <v>0.6</v>
      </c>
      <c r="P7" s="28" t="str">
        <f>IF('Input (3)'!G4=0," ",IF(O7=0,"ADD to 1-6",IF(O7=Q7," ","Minimum")))</f>
        <v>Minimum</v>
      </c>
      <c r="Q7" s="32">
        <f>ROUND(IF('Input (3)'!G4=0,0,IF(M7=0,0,(J7/M7))),2)</f>
        <v>0.52</v>
      </c>
    </row>
    <row r="8" spans="1:18" ht="6.75" customHeight="1">
      <c r="J8" s="43"/>
      <c r="K8" s="43"/>
      <c r="O8" s="43"/>
    </row>
    <row r="9" spans="1:18">
      <c r="B9" s="5" t="s">
        <v>7</v>
      </c>
      <c r="J9" s="43"/>
      <c r="K9" s="43"/>
      <c r="O9" s="43"/>
    </row>
    <row r="10" spans="1:18">
      <c r="B10" s="28" t="s">
        <v>30</v>
      </c>
      <c r="J10" s="43"/>
      <c r="K10" s="43"/>
      <c r="O10" s="43"/>
    </row>
    <row r="11" spans="1:18" ht="16.5" customHeight="1">
      <c r="C11" s="12" t="s">
        <v>8</v>
      </c>
      <c r="F11" s="41" t="str">
        <f>IF(J11=0," ",IF($J$16&gt;300," ",'Input (3)'!G7))</f>
        <v xml:space="preserve"> </v>
      </c>
      <c r="G11" s="44" t="s">
        <v>31</v>
      </c>
      <c r="H11" s="38" t="str">
        <f>IF(J11=0," ",'C (3)'!H25)</f>
        <v xml:space="preserve"> </v>
      </c>
      <c r="I11" s="42" t="s">
        <v>29</v>
      </c>
      <c r="J11" s="1222">
        <f>IF('Input (3)'!G7=0,0,IF(SUM('Input (3)'!G7-'C (3)'!H25)+SUM('Input (3)'!G8-'C (3)'!H26)&gt;299.99,SUM('Input (3)'!G7-'C (3)'!H25),0))</f>
        <v>0</v>
      </c>
      <c r="K11" s="1222"/>
      <c r="L11" s="40" t="s">
        <v>28</v>
      </c>
      <c r="M11" s="41">
        <f>IF(SUM('Input (3)'!$G$7-'C (3)'!$H$25)+SUM('Input (3)'!$G$8-'C (3)'!$H$26)&gt;299.99,20,0)</f>
        <v>0</v>
      </c>
      <c r="N11" s="42" t="s">
        <v>29</v>
      </c>
      <c r="O11" s="38">
        <f>ROUND(IF(SUM('Input (3)'!$G$7-'C (3)'!$H$25)+SUM('Input (3)'!$G$8-'C (3)'!$H$26)&lt;299.99,0,IF(Q11+Q13&lt;15,0,(J11/M11))),2)</f>
        <v>0</v>
      </c>
      <c r="P11" s="2" t="str">
        <f>IF(O11=0," ",IF(O11=Q11," ","Minimum"))</f>
        <v xml:space="preserve"> </v>
      </c>
      <c r="Q11" s="32">
        <f>ROUND(IF(SUM('Input (3)'!$G$7-'C (3)'!$H$25)+SUM('Input (3)'!$G$8-'C (3)'!$H$26)&lt;299.99,0,(J11/M11)),2)</f>
        <v>0</v>
      </c>
    </row>
    <row r="12" spans="1:18" ht="9" customHeight="1">
      <c r="B12" s="12"/>
      <c r="J12" s="43"/>
      <c r="K12" s="43"/>
      <c r="O12" s="43"/>
    </row>
    <row r="13" spans="1:18" ht="15">
      <c r="C13" s="12" t="s">
        <v>9</v>
      </c>
      <c r="F13" s="41" t="str">
        <f>IF(J13=0," ",IF($J$16&gt;300," ",'Input (3)'!G8))</f>
        <v xml:space="preserve"> </v>
      </c>
      <c r="G13" s="44" t="s">
        <v>31</v>
      </c>
      <c r="H13" s="38" t="str">
        <f>IF(J13=0," ",'C (3)'!H26)</f>
        <v xml:space="preserve"> </v>
      </c>
      <c r="I13" s="42" t="s">
        <v>29</v>
      </c>
      <c r="J13" s="1222">
        <f>IF('Input (3)'!G8=0,0,IF(SUM('Input (3)'!G7-'C (3)'!H25)+SUM('Input (3)'!G8-'C (3)'!H26)&gt;299.99,SUM('Input (3)'!G8-'C (3)'!H26),0))</f>
        <v>0</v>
      </c>
      <c r="K13" s="1222"/>
      <c r="L13" s="40" t="s">
        <v>28</v>
      </c>
      <c r="M13" s="41">
        <f>IF(SUM('Input (3)'!$G$7-'C (3)'!$H$25)+SUM('Input (3)'!$G$8-'C (3)'!$H$26)&gt;299.99,23,0)</f>
        <v>0</v>
      </c>
      <c r="N13" s="42" t="s">
        <v>29</v>
      </c>
      <c r="O13" s="38">
        <f>ROUND(IF(SUM('Input (3)'!$G$7-'C (3)'!$H$25)+SUM('Input (3)'!$G$8-'C (3)'!$H$26)&lt;299.99,0,IF(Q11+Q13&lt;15,0,($J$13/$M$13))),2)</f>
        <v>0</v>
      </c>
      <c r="P13" s="2" t="str">
        <f>IF(O13=0," ",IF(O13=Q13," ","Minimum"))</f>
        <v xml:space="preserve"> </v>
      </c>
      <c r="Q13" s="32">
        <f>ROUND(IF(SUM('Input (3)'!$G$7-'C (3)'!$H$25)+SUM('Input (3)'!$G$8-'C (3)'!$H$26)&lt;299.99,0,($J$13/$M$13)),2)</f>
        <v>0</v>
      </c>
    </row>
    <row r="14" spans="1:18" ht="15">
      <c r="B14" s="5" t="s">
        <v>7</v>
      </c>
      <c r="F14" s="36"/>
      <c r="G14" s="44"/>
      <c r="H14" s="39"/>
      <c r="I14" s="42"/>
      <c r="O14" s="39" t="str">
        <f>IF(P14="Minimum",15," ")</f>
        <v xml:space="preserve"> </v>
      </c>
      <c r="P14" s="2" t="str">
        <f>IF(Q11+Q13=0," ",IF(Q11+Q13&lt;15,"Minimum"," "))</f>
        <v xml:space="preserve"> </v>
      </c>
    </row>
    <row r="15" spans="1:18">
      <c r="B15" s="28" t="s">
        <v>32</v>
      </c>
      <c r="O15" s="43"/>
    </row>
    <row r="16" spans="1:18" ht="15">
      <c r="C16" s="12" t="s">
        <v>33</v>
      </c>
      <c r="F16" s="41">
        <f>IF(J16=0," ",IF(J16&lt;300,SUM('Input (3)'!G7+'Input (3)'!G8)," "))</f>
        <v>79.900000000000006</v>
      </c>
      <c r="G16" s="44" t="s">
        <v>31</v>
      </c>
      <c r="H16" s="38">
        <f>IF(J16=0," ",'C (3)'!H22)</f>
        <v>6.42</v>
      </c>
      <c r="I16" s="42" t="s">
        <v>29</v>
      </c>
      <c r="J16" s="1222">
        <f>IF('Input (3)'!G9=0,0,IF(SUM('Input (3)'!G7-'C (3)'!H25)+SUM('Input (3)'!G8-'C (3)'!H26)&lt;300,IF(P7="ADD to 1-6",SUM('Input (3)'!G7-'C (3)'!H25)+SUM('Input (3)'!G8-'C (3)'!H26)+'Input (3)'!G4,SUM('Input (3)'!G7-'C (3)'!H25)+SUM('Input (3)'!G8-'C (3)'!H26)),0))</f>
        <v>73.48</v>
      </c>
      <c r="K16" s="1222"/>
      <c r="L16" s="40" t="s">
        <v>28</v>
      </c>
      <c r="M16" s="41">
        <f>IF(SUM('Input (3)'!$G$7-'C (3)'!$H$25)+SUM('Input (3)'!$G$8-'C (3)'!$H$26)&lt;299.99,LOOKUP(J16,'criteria (3)'!$M$3:$M$11,'criteria (3)'!$N$3:$N$11),0)</f>
        <v>16</v>
      </c>
      <c r="N16" s="42" t="s">
        <v>29</v>
      </c>
      <c r="O16" s="38">
        <f>IF(Q16=0,0,IF(Q16&lt;LOOKUP(J16,'criteria (3)'!$M$3:$M$10,'criteria (3)'!$O$3:$O$10),LOOKUP(J16,'criteria (3)'!$M$3:$M$10,'criteria (3)'!$O$3:$O$10),Q16))</f>
        <v>4.7</v>
      </c>
      <c r="P16" s="2" t="str">
        <f>IF(O16=0," ",IF(O16=Q16," ","Minimum"))</f>
        <v>Minimum</v>
      </c>
      <c r="Q16" s="32">
        <f>ROUND(IF('Input (3)'!G9=0,0,IF(SUM('Input (3)'!$G$7-'C (3)'!$H$25)+SUM('Input (3)'!$G$8-'C (3)'!$H$26)&gt;299.99,0,(J16/M16))),2)</f>
        <v>4.59</v>
      </c>
    </row>
    <row r="17" spans="1:17" ht="6" customHeight="1">
      <c r="J17" s="43"/>
      <c r="K17" s="43"/>
      <c r="O17" s="43"/>
    </row>
    <row r="18" spans="1:17" ht="15">
      <c r="B18" s="5" t="s">
        <v>10</v>
      </c>
      <c r="F18" s="41">
        <f>IF(J18=0," ",'Input (3)'!G10)</f>
        <v>95.88</v>
      </c>
      <c r="G18" s="44" t="s">
        <v>31</v>
      </c>
      <c r="H18" s="38">
        <f>IF(J18=0," ",'C (3)'!$H$43)</f>
        <v>5.61</v>
      </c>
      <c r="I18" s="42" t="s">
        <v>29</v>
      </c>
      <c r="J18" s="1222">
        <f>IF('Input (3)'!G10=0,0,SUM('Input (3)'!G10-'C (3)'!H43))</f>
        <v>90.27</v>
      </c>
      <c r="K18" s="1222"/>
      <c r="L18" s="40" t="s">
        <v>28</v>
      </c>
      <c r="M18" s="41">
        <f>IF(J18=0,0,IF(J18&gt;99.99,LOOKUP(J18,'criteria (3)'!Q3:Q10,'criteria (3)'!R3:R10),12))</f>
        <v>12</v>
      </c>
      <c r="N18" s="42" t="s">
        <v>29</v>
      </c>
      <c r="O18" s="38">
        <f>ROUND(IF(J18=0,0,IF(J18&lt;99.99,IF(M18=0,8,(J18/M18)),IF(Q18&lt;LOOKUP(J18,'criteria (3)'!$Q$3:$Q$10,'criteria (3)'!$S$3:$S$10),LOOKUP(J18,'criteria (3)'!$Q$3:$Q$10,'criteria (3)'!$S$3:$S$10),Q18))),2)</f>
        <v>7.52</v>
      </c>
      <c r="P18" s="2" t="str">
        <f>IF(O18=0," ",IF(O18=Q18," ","Minimum"))</f>
        <v xml:space="preserve"> </v>
      </c>
      <c r="Q18" s="32">
        <f>ROUND(IF(M18=0,0,(J18/M18)),2)</f>
        <v>7.52</v>
      </c>
    </row>
    <row r="19" spans="1:17">
      <c r="B19" s="5"/>
      <c r="J19" s="39"/>
      <c r="K19" s="39"/>
      <c r="M19" s="36"/>
      <c r="N19" s="42"/>
      <c r="O19" s="36"/>
    </row>
    <row r="20" spans="1:17" ht="15.6">
      <c r="A20" s="48" t="s">
        <v>43</v>
      </c>
      <c r="J20" s="43"/>
      <c r="K20" s="43"/>
    </row>
    <row r="21" spans="1:17" ht="3.75" customHeight="1">
      <c r="J21" s="43"/>
      <c r="K21" s="43"/>
    </row>
    <row r="22" spans="1:17">
      <c r="B22" s="2" t="s">
        <v>44</v>
      </c>
      <c r="J22" s="1222" t="str">
        <f>IF('C (3)'!H55=0," ",'C (3)'!H55)</f>
        <v xml:space="preserve"> </v>
      </c>
      <c r="K22" s="1222"/>
    </row>
    <row r="23" spans="1:17" ht="6" customHeight="1">
      <c r="J23" s="43"/>
      <c r="K23" s="43"/>
    </row>
    <row r="24" spans="1:17">
      <c r="B24" s="2" t="s">
        <v>45</v>
      </c>
      <c r="J24" s="1222">
        <f>IF('C (3)'!H22=0," ",'C (3)'!H22)</f>
        <v>6.42</v>
      </c>
      <c r="K24" s="1222"/>
    </row>
    <row r="25" spans="1:17" ht="6" customHeight="1">
      <c r="J25" s="43"/>
      <c r="K25" s="43"/>
    </row>
    <row r="26" spans="1:17">
      <c r="B26" s="2" t="s">
        <v>46</v>
      </c>
      <c r="J26" s="1222">
        <f>IF('C (3)'!H43=0," ",'C (3)'!H43)</f>
        <v>5.61</v>
      </c>
      <c r="K26" s="1222"/>
    </row>
    <row r="27" spans="1:17" ht="6" customHeight="1">
      <c r="J27" s="43"/>
      <c r="K27" s="43"/>
    </row>
    <row r="28" spans="1:17" ht="6" customHeight="1">
      <c r="J28" s="39"/>
      <c r="K28" s="39"/>
    </row>
    <row r="29" spans="1:17" ht="13.5" customHeight="1" thickBot="1">
      <c r="B29" s="46" t="s">
        <v>47</v>
      </c>
      <c r="J29" s="1219">
        <f>SUM(J22:K27)</f>
        <v>12.030000000000001</v>
      </c>
      <c r="K29" s="1219"/>
      <c r="L29" s="40" t="s">
        <v>28</v>
      </c>
      <c r="M29" s="41">
        <f>IF(SUM('Input (3)'!C4:C10)=0,0,IF(J29&gt;=14,LOOKUP(J29,'criteria (3)'!$U$3:$U$10,'criteria (3)'!$V$3:$V$10),0))</f>
        <v>0</v>
      </c>
      <c r="N29" s="42" t="s">
        <v>29</v>
      </c>
      <c r="O29" s="38">
        <f>IF(J29=0,0,IF(Q29&lt;LOOKUP(J29,'criteria (3)'!$U$3:$U$10,'criteria (3)'!$W$3:$W$10),LOOKUP(J29,'criteria (3)'!$U$3:$U$10,'criteria (3)'!$W$3:$W$10),Q29))</f>
        <v>1</v>
      </c>
      <c r="P29" s="2" t="str">
        <f>IF(O29=0," ",IF(O29=Q29," ","Minimum"))</f>
        <v>Minimum</v>
      </c>
      <c r="Q29" s="32">
        <f>ROUND(IF(SUM('Input (3)'!C4:C10)=0,0,IF(M29=0,0,(J29/M29))),2)</f>
        <v>0</v>
      </c>
    </row>
    <row r="30" spans="1:17" ht="12" customHeight="1" thickTop="1">
      <c r="B30" s="1226"/>
      <c r="C30" s="1226"/>
      <c r="D30" s="1226"/>
      <c r="E30" s="1226"/>
      <c r="F30" s="47"/>
      <c r="G30" s="47"/>
      <c r="H30" s="47"/>
      <c r="J30" s="12"/>
      <c r="N30" s="42"/>
      <c r="O30" s="39"/>
      <c r="P30" s="46"/>
    </row>
    <row r="31" spans="1:17" ht="19.5" customHeight="1">
      <c r="A31" s="48" t="s">
        <v>39</v>
      </c>
      <c r="O31" s="43"/>
    </row>
    <row r="32" spans="1:17" ht="15">
      <c r="B32" s="1227" t="str">
        <f>IF('Input (3)'!E14=0," ","Alternative Secondary High School")</f>
        <v xml:space="preserve"> </v>
      </c>
      <c r="C32" s="1227"/>
      <c r="D32" s="1227"/>
      <c r="E32" s="1227"/>
      <c r="F32" s="1227"/>
      <c r="J32" s="1222">
        <f>'Input (3)'!G14</f>
        <v>0</v>
      </c>
      <c r="K32" s="1222"/>
      <c r="L32" s="40" t="s">
        <v>28</v>
      </c>
      <c r="M32" s="41">
        <f>IF(J32=0,0,IF(Q32&lt;1,M18,12))</f>
        <v>0</v>
      </c>
      <c r="N32" s="42" t="s">
        <v>29</v>
      </c>
      <c r="O32" s="38">
        <f>ROUND(IF(J32=0,0,J32/M32),2)</f>
        <v>0</v>
      </c>
      <c r="P32" s="45"/>
      <c r="Q32" s="32">
        <f>ROUND(IF(J32=0,0,J32/12),2)</f>
        <v>0</v>
      </c>
    </row>
    <row r="33" spans="1:17" ht="11.25" customHeight="1">
      <c r="J33" s="43"/>
      <c r="K33" s="43"/>
      <c r="O33" s="43"/>
    </row>
    <row r="34" spans="1:17" ht="11.25" customHeight="1">
      <c r="B34" s="1227" t="str">
        <f>IF('Input (3)'!E15=0," ","Summer Alternative Secondary High School")</f>
        <v xml:space="preserve"> </v>
      </c>
      <c r="C34" s="1227"/>
      <c r="D34" s="1227"/>
      <c r="E34" s="1227"/>
      <c r="F34" s="1227"/>
      <c r="J34" s="1222">
        <f>'Input (3)'!E15</f>
        <v>0</v>
      </c>
      <c r="K34" s="1222"/>
      <c r="L34" s="40" t="s">
        <v>28</v>
      </c>
      <c r="M34" s="41">
        <f>IF(J34=0,0,40)</f>
        <v>0</v>
      </c>
      <c r="N34" s="42" t="s">
        <v>29</v>
      </c>
      <c r="O34" s="38">
        <f>ROUND(IF(J34=0,0,J34/M34),2)</f>
        <v>0</v>
      </c>
      <c r="P34" s="45"/>
      <c r="Q34" s="32">
        <f>ROUND(IF(J34=0,0,J34/12),2)</f>
        <v>0</v>
      </c>
    </row>
    <row r="35" spans="1:17" ht="13.5" customHeight="1">
      <c r="J35" s="36"/>
      <c r="K35" s="36"/>
      <c r="L35" s="40"/>
      <c r="M35" s="36"/>
      <c r="N35" s="42"/>
      <c r="O35" s="36"/>
      <c r="P35" s="46"/>
    </row>
    <row r="36" spans="1:17" ht="18.75" customHeight="1" thickBot="1">
      <c r="A36" s="45"/>
      <c r="B36" s="12" t="s">
        <v>40</v>
      </c>
      <c r="C36" s="46"/>
      <c r="D36" s="46"/>
      <c r="E36" s="46"/>
      <c r="F36" s="46"/>
      <c r="G36" s="46"/>
      <c r="H36" s="46"/>
      <c r="I36" s="46"/>
      <c r="J36" s="46"/>
      <c r="K36" s="46"/>
      <c r="M36" s="36"/>
      <c r="O36" s="52">
        <f>ROUND(IF(SUM(O7:O34)=0,0,SUM(O7:O34)),2)</f>
        <v>13.82</v>
      </c>
    </row>
    <row r="37" spans="1:17" ht="13.8" thickTop="1"/>
  </sheetData>
  <sheetProtection password="CDD6" sheet="1" objects="1" scenarios="1"/>
  <mergeCells count="17">
    <mergeCell ref="B30:E30"/>
    <mergeCell ref="B32:F32"/>
    <mergeCell ref="J32:K32"/>
    <mergeCell ref="B34:F34"/>
    <mergeCell ref="J34:K34"/>
    <mergeCell ref="J29:K29"/>
    <mergeCell ref="A1:O1"/>
    <mergeCell ref="A2:O2"/>
    <mergeCell ref="J5:K5"/>
    <mergeCell ref="J7:K7"/>
    <mergeCell ref="J11:K11"/>
    <mergeCell ref="J13:K13"/>
    <mergeCell ref="J16:K16"/>
    <mergeCell ref="J18:K18"/>
    <mergeCell ref="J22:K22"/>
    <mergeCell ref="J24:K24"/>
    <mergeCell ref="J26:K26"/>
  </mergeCells>
  <pageMargins left="0.5" right="0.5" top="0.5" bottom="0.5" header="0.25" footer="0.25"/>
  <pageSetup scale="76" orientation="portrait" r:id="rId1"/>
  <headerFooter alignWithMargins="0">
    <oddFooter>&amp;L&amp;F</oddFooter>
  </headerFooter>
  <colBreaks count="1" manualBreakCount="1">
    <brk id="16"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dimension ref="A1:R37"/>
  <sheetViews>
    <sheetView showGridLines="0" zoomScale="90" zoomScaleNormal="100" workbookViewId="0">
      <selection activeCell="A2" sqref="A2:O2"/>
    </sheetView>
  </sheetViews>
  <sheetFormatPr defaultRowHeight="13.2"/>
  <cols>
    <col min="1" max="1" width="4.21875" style="30" customWidth="1"/>
    <col min="2" max="2" width="2.5546875" style="2" customWidth="1"/>
    <col min="3" max="4" width="9.21875" style="2"/>
    <col min="5" max="5" width="7.21875" style="2" customWidth="1"/>
    <col min="6" max="6" width="8.21875" style="2" customWidth="1"/>
    <col min="7" max="8" width="10.21875" style="2" customWidth="1"/>
    <col min="9" max="9" width="3.77734375" style="2" customWidth="1"/>
    <col min="10" max="10" width="9.21875" style="2"/>
    <col min="11" max="11" width="6.21875" style="2" customWidth="1"/>
    <col min="12" max="12" width="5.5546875" style="2" customWidth="1"/>
    <col min="13" max="13" width="10.77734375" style="2" customWidth="1"/>
    <col min="14" max="14" width="8.21875" style="2" customWidth="1"/>
    <col min="15" max="15" width="12.21875" style="2" customWidth="1"/>
    <col min="16" max="16" width="10.21875" style="2" customWidth="1"/>
    <col min="17" max="17" width="9.21875" style="32" customWidth="1"/>
    <col min="18" max="256" width="9.21875" style="2"/>
    <col min="257" max="257" width="4.21875" style="2" customWidth="1"/>
    <col min="258" max="258" width="2.5546875" style="2" customWidth="1"/>
    <col min="259" max="260" width="9.21875" style="2"/>
    <col min="261" max="261" width="7.21875" style="2" customWidth="1"/>
    <col min="262" max="262" width="8.21875" style="2" customWidth="1"/>
    <col min="263" max="264" width="10.21875" style="2" customWidth="1"/>
    <col min="265" max="265" width="3.77734375" style="2" customWidth="1"/>
    <col min="266" max="266" width="9.21875" style="2"/>
    <col min="267" max="267" width="6.21875" style="2" customWidth="1"/>
    <col min="268" max="268" width="5.5546875" style="2" customWidth="1"/>
    <col min="269" max="269" width="10.77734375" style="2" customWidth="1"/>
    <col min="270" max="270" width="8.21875" style="2" customWidth="1"/>
    <col min="271" max="271" width="12.21875" style="2" customWidth="1"/>
    <col min="272" max="272" width="10.21875" style="2" customWidth="1"/>
    <col min="273" max="273" width="9.21875" style="2" customWidth="1"/>
    <col min="274" max="512" width="9.21875" style="2"/>
    <col min="513" max="513" width="4.21875" style="2" customWidth="1"/>
    <col min="514" max="514" width="2.5546875" style="2" customWidth="1"/>
    <col min="515" max="516" width="9.21875" style="2"/>
    <col min="517" max="517" width="7.21875" style="2" customWidth="1"/>
    <col min="518" max="518" width="8.21875" style="2" customWidth="1"/>
    <col min="519" max="520" width="10.21875" style="2" customWidth="1"/>
    <col min="521" max="521" width="3.77734375" style="2" customWidth="1"/>
    <col min="522" max="522" width="9.21875" style="2"/>
    <col min="523" max="523" width="6.21875" style="2" customWidth="1"/>
    <col min="524" max="524" width="5.5546875" style="2" customWidth="1"/>
    <col min="525" max="525" width="10.77734375" style="2" customWidth="1"/>
    <col min="526" max="526" width="8.21875" style="2" customWidth="1"/>
    <col min="527" max="527" width="12.21875" style="2" customWidth="1"/>
    <col min="528" max="528" width="10.21875" style="2" customWidth="1"/>
    <col min="529" max="529" width="9.21875" style="2" customWidth="1"/>
    <col min="530" max="768" width="9.21875" style="2"/>
    <col min="769" max="769" width="4.21875" style="2" customWidth="1"/>
    <col min="770" max="770" width="2.5546875" style="2" customWidth="1"/>
    <col min="771" max="772" width="9.21875" style="2"/>
    <col min="773" max="773" width="7.21875" style="2" customWidth="1"/>
    <col min="774" max="774" width="8.21875" style="2" customWidth="1"/>
    <col min="775" max="776" width="10.21875" style="2" customWidth="1"/>
    <col min="777" max="777" width="3.77734375" style="2" customWidth="1"/>
    <col min="778" max="778" width="9.21875" style="2"/>
    <col min="779" max="779" width="6.21875" style="2" customWidth="1"/>
    <col min="780" max="780" width="5.5546875" style="2" customWidth="1"/>
    <col min="781" max="781" width="10.77734375" style="2" customWidth="1"/>
    <col min="782" max="782" width="8.21875" style="2" customWidth="1"/>
    <col min="783" max="783" width="12.21875" style="2" customWidth="1"/>
    <col min="784" max="784" width="10.21875" style="2" customWidth="1"/>
    <col min="785" max="785" width="9.21875" style="2" customWidth="1"/>
    <col min="786" max="1024" width="9.21875" style="2"/>
    <col min="1025" max="1025" width="4.21875" style="2" customWidth="1"/>
    <col min="1026" max="1026" width="2.5546875" style="2" customWidth="1"/>
    <col min="1027" max="1028" width="9.21875" style="2"/>
    <col min="1029" max="1029" width="7.21875" style="2" customWidth="1"/>
    <col min="1030" max="1030" width="8.21875" style="2" customWidth="1"/>
    <col min="1031" max="1032" width="10.21875" style="2" customWidth="1"/>
    <col min="1033" max="1033" width="3.77734375" style="2" customWidth="1"/>
    <col min="1034" max="1034" width="9.21875" style="2"/>
    <col min="1035" max="1035" width="6.21875" style="2" customWidth="1"/>
    <col min="1036" max="1036" width="5.5546875" style="2" customWidth="1"/>
    <col min="1037" max="1037" width="10.77734375" style="2" customWidth="1"/>
    <col min="1038" max="1038" width="8.21875" style="2" customWidth="1"/>
    <col min="1039" max="1039" width="12.21875" style="2" customWidth="1"/>
    <col min="1040" max="1040" width="10.21875" style="2" customWidth="1"/>
    <col min="1041" max="1041" width="9.21875" style="2" customWidth="1"/>
    <col min="1042" max="1280" width="9.21875" style="2"/>
    <col min="1281" max="1281" width="4.21875" style="2" customWidth="1"/>
    <col min="1282" max="1282" width="2.5546875" style="2" customWidth="1"/>
    <col min="1283" max="1284" width="9.21875" style="2"/>
    <col min="1285" max="1285" width="7.21875" style="2" customWidth="1"/>
    <col min="1286" max="1286" width="8.21875" style="2" customWidth="1"/>
    <col min="1287" max="1288" width="10.21875" style="2" customWidth="1"/>
    <col min="1289" max="1289" width="3.77734375" style="2" customWidth="1"/>
    <col min="1290" max="1290" width="9.21875" style="2"/>
    <col min="1291" max="1291" width="6.21875" style="2" customWidth="1"/>
    <col min="1292" max="1292" width="5.5546875" style="2" customWidth="1"/>
    <col min="1293" max="1293" width="10.77734375" style="2" customWidth="1"/>
    <col min="1294" max="1294" width="8.21875" style="2" customWidth="1"/>
    <col min="1295" max="1295" width="12.21875" style="2" customWidth="1"/>
    <col min="1296" max="1296" width="10.21875" style="2" customWidth="1"/>
    <col min="1297" max="1297" width="9.21875" style="2" customWidth="1"/>
    <col min="1298" max="1536" width="9.21875" style="2"/>
    <col min="1537" max="1537" width="4.21875" style="2" customWidth="1"/>
    <col min="1538" max="1538" width="2.5546875" style="2" customWidth="1"/>
    <col min="1539" max="1540" width="9.21875" style="2"/>
    <col min="1541" max="1541" width="7.21875" style="2" customWidth="1"/>
    <col min="1542" max="1542" width="8.21875" style="2" customWidth="1"/>
    <col min="1543" max="1544" width="10.21875" style="2" customWidth="1"/>
    <col min="1545" max="1545" width="3.77734375" style="2" customWidth="1"/>
    <col min="1546" max="1546" width="9.21875" style="2"/>
    <col min="1547" max="1547" width="6.21875" style="2" customWidth="1"/>
    <col min="1548" max="1548" width="5.5546875" style="2" customWidth="1"/>
    <col min="1549" max="1549" width="10.77734375" style="2" customWidth="1"/>
    <col min="1550" max="1550" width="8.21875" style="2" customWidth="1"/>
    <col min="1551" max="1551" width="12.21875" style="2" customWidth="1"/>
    <col min="1552" max="1552" width="10.21875" style="2" customWidth="1"/>
    <col min="1553" max="1553" width="9.21875" style="2" customWidth="1"/>
    <col min="1554" max="1792" width="9.21875" style="2"/>
    <col min="1793" max="1793" width="4.21875" style="2" customWidth="1"/>
    <col min="1794" max="1794" width="2.5546875" style="2" customWidth="1"/>
    <col min="1795" max="1796" width="9.21875" style="2"/>
    <col min="1797" max="1797" width="7.21875" style="2" customWidth="1"/>
    <col min="1798" max="1798" width="8.21875" style="2" customWidth="1"/>
    <col min="1799" max="1800" width="10.21875" style="2" customWidth="1"/>
    <col min="1801" max="1801" width="3.77734375" style="2" customWidth="1"/>
    <col min="1802" max="1802" width="9.21875" style="2"/>
    <col min="1803" max="1803" width="6.21875" style="2" customWidth="1"/>
    <col min="1804" max="1804" width="5.5546875" style="2" customWidth="1"/>
    <col min="1805" max="1805" width="10.77734375" style="2" customWidth="1"/>
    <col min="1806" max="1806" width="8.21875" style="2" customWidth="1"/>
    <col min="1807" max="1807" width="12.21875" style="2" customWidth="1"/>
    <col min="1808" max="1808" width="10.21875" style="2" customWidth="1"/>
    <col min="1809" max="1809" width="9.21875" style="2" customWidth="1"/>
    <col min="1810" max="2048" width="9.21875" style="2"/>
    <col min="2049" max="2049" width="4.21875" style="2" customWidth="1"/>
    <col min="2050" max="2050" width="2.5546875" style="2" customWidth="1"/>
    <col min="2051" max="2052" width="9.21875" style="2"/>
    <col min="2053" max="2053" width="7.21875" style="2" customWidth="1"/>
    <col min="2054" max="2054" width="8.21875" style="2" customWidth="1"/>
    <col min="2055" max="2056" width="10.21875" style="2" customWidth="1"/>
    <col min="2057" max="2057" width="3.77734375" style="2" customWidth="1"/>
    <col min="2058" max="2058" width="9.21875" style="2"/>
    <col min="2059" max="2059" width="6.21875" style="2" customWidth="1"/>
    <col min="2060" max="2060" width="5.5546875" style="2" customWidth="1"/>
    <col min="2061" max="2061" width="10.77734375" style="2" customWidth="1"/>
    <col min="2062" max="2062" width="8.21875" style="2" customWidth="1"/>
    <col min="2063" max="2063" width="12.21875" style="2" customWidth="1"/>
    <col min="2064" max="2064" width="10.21875" style="2" customWidth="1"/>
    <col min="2065" max="2065" width="9.21875" style="2" customWidth="1"/>
    <col min="2066" max="2304" width="9.21875" style="2"/>
    <col min="2305" max="2305" width="4.21875" style="2" customWidth="1"/>
    <col min="2306" max="2306" width="2.5546875" style="2" customWidth="1"/>
    <col min="2307" max="2308" width="9.21875" style="2"/>
    <col min="2309" max="2309" width="7.21875" style="2" customWidth="1"/>
    <col min="2310" max="2310" width="8.21875" style="2" customWidth="1"/>
    <col min="2311" max="2312" width="10.21875" style="2" customWidth="1"/>
    <col min="2313" max="2313" width="3.77734375" style="2" customWidth="1"/>
    <col min="2314" max="2314" width="9.21875" style="2"/>
    <col min="2315" max="2315" width="6.21875" style="2" customWidth="1"/>
    <col min="2316" max="2316" width="5.5546875" style="2" customWidth="1"/>
    <col min="2317" max="2317" width="10.77734375" style="2" customWidth="1"/>
    <col min="2318" max="2318" width="8.21875" style="2" customWidth="1"/>
    <col min="2319" max="2319" width="12.21875" style="2" customWidth="1"/>
    <col min="2320" max="2320" width="10.21875" style="2" customWidth="1"/>
    <col min="2321" max="2321" width="9.21875" style="2" customWidth="1"/>
    <col min="2322" max="2560" width="9.21875" style="2"/>
    <col min="2561" max="2561" width="4.21875" style="2" customWidth="1"/>
    <col min="2562" max="2562" width="2.5546875" style="2" customWidth="1"/>
    <col min="2563" max="2564" width="9.21875" style="2"/>
    <col min="2565" max="2565" width="7.21875" style="2" customWidth="1"/>
    <col min="2566" max="2566" width="8.21875" style="2" customWidth="1"/>
    <col min="2567" max="2568" width="10.21875" style="2" customWidth="1"/>
    <col min="2569" max="2569" width="3.77734375" style="2" customWidth="1"/>
    <col min="2570" max="2570" width="9.21875" style="2"/>
    <col min="2571" max="2571" width="6.21875" style="2" customWidth="1"/>
    <col min="2572" max="2572" width="5.5546875" style="2" customWidth="1"/>
    <col min="2573" max="2573" width="10.77734375" style="2" customWidth="1"/>
    <col min="2574" max="2574" width="8.21875" style="2" customWidth="1"/>
    <col min="2575" max="2575" width="12.21875" style="2" customWidth="1"/>
    <col min="2576" max="2576" width="10.21875" style="2" customWidth="1"/>
    <col min="2577" max="2577" width="9.21875" style="2" customWidth="1"/>
    <col min="2578" max="2816" width="9.21875" style="2"/>
    <col min="2817" max="2817" width="4.21875" style="2" customWidth="1"/>
    <col min="2818" max="2818" width="2.5546875" style="2" customWidth="1"/>
    <col min="2819" max="2820" width="9.21875" style="2"/>
    <col min="2821" max="2821" width="7.21875" style="2" customWidth="1"/>
    <col min="2822" max="2822" width="8.21875" style="2" customWidth="1"/>
    <col min="2823" max="2824" width="10.21875" style="2" customWidth="1"/>
    <col min="2825" max="2825" width="3.77734375" style="2" customWidth="1"/>
    <col min="2826" max="2826" width="9.21875" style="2"/>
    <col min="2827" max="2827" width="6.21875" style="2" customWidth="1"/>
    <col min="2828" max="2828" width="5.5546875" style="2" customWidth="1"/>
    <col min="2829" max="2829" width="10.77734375" style="2" customWidth="1"/>
    <col min="2830" max="2830" width="8.21875" style="2" customWidth="1"/>
    <col min="2831" max="2831" width="12.21875" style="2" customWidth="1"/>
    <col min="2832" max="2832" width="10.21875" style="2" customWidth="1"/>
    <col min="2833" max="2833" width="9.21875" style="2" customWidth="1"/>
    <col min="2834" max="3072" width="9.21875" style="2"/>
    <col min="3073" max="3073" width="4.21875" style="2" customWidth="1"/>
    <col min="3074" max="3074" width="2.5546875" style="2" customWidth="1"/>
    <col min="3075" max="3076" width="9.21875" style="2"/>
    <col min="3077" max="3077" width="7.21875" style="2" customWidth="1"/>
    <col min="3078" max="3078" width="8.21875" style="2" customWidth="1"/>
    <col min="3079" max="3080" width="10.21875" style="2" customWidth="1"/>
    <col min="3081" max="3081" width="3.77734375" style="2" customWidth="1"/>
    <col min="3082" max="3082" width="9.21875" style="2"/>
    <col min="3083" max="3083" width="6.21875" style="2" customWidth="1"/>
    <col min="3084" max="3084" width="5.5546875" style="2" customWidth="1"/>
    <col min="3085" max="3085" width="10.77734375" style="2" customWidth="1"/>
    <col min="3086" max="3086" width="8.21875" style="2" customWidth="1"/>
    <col min="3087" max="3087" width="12.21875" style="2" customWidth="1"/>
    <col min="3088" max="3088" width="10.21875" style="2" customWidth="1"/>
    <col min="3089" max="3089" width="9.21875" style="2" customWidth="1"/>
    <col min="3090" max="3328" width="9.21875" style="2"/>
    <col min="3329" max="3329" width="4.21875" style="2" customWidth="1"/>
    <col min="3330" max="3330" width="2.5546875" style="2" customWidth="1"/>
    <col min="3331" max="3332" width="9.21875" style="2"/>
    <col min="3333" max="3333" width="7.21875" style="2" customWidth="1"/>
    <col min="3334" max="3334" width="8.21875" style="2" customWidth="1"/>
    <col min="3335" max="3336" width="10.21875" style="2" customWidth="1"/>
    <col min="3337" max="3337" width="3.77734375" style="2" customWidth="1"/>
    <col min="3338" max="3338" width="9.21875" style="2"/>
    <col min="3339" max="3339" width="6.21875" style="2" customWidth="1"/>
    <col min="3340" max="3340" width="5.5546875" style="2" customWidth="1"/>
    <col min="3341" max="3341" width="10.77734375" style="2" customWidth="1"/>
    <col min="3342" max="3342" width="8.21875" style="2" customWidth="1"/>
    <col min="3343" max="3343" width="12.21875" style="2" customWidth="1"/>
    <col min="3344" max="3344" width="10.21875" style="2" customWidth="1"/>
    <col min="3345" max="3345" width="9.21875" style="2" customWidth="1"/>
    <col min="3346" max="3584" width="9.21875" style="2"/>
    <col min="3585" max="3585" width="4.21875" style="2" customWidth="1"/>
    <col min="3586" max="3586" width="2.5546875" style="2" customWidth="1"/>
    <col min="3587" max="3588" width="9.21875" style="2"/>
    <col min="3589" max="3589" width="7.21875" style="2" customWidth="1"/>
    <col min="3590" max="3590" width="8.21875" style="2" customWidth="1"/>
    <col min="3591" max="3592" width="10.21875" style="2" customWidth="1"/>
    <col min="3593" max="3593" width="3.77734375" style="2" customWidth="1"/>
    <col min="3594" max="3594" width="9.21875" style="2"/>
    <col min="3595" max="3595" width="6.21875" style="2" customWidth="1"/>
    <col min="3596" max="3596" width="5.5546875" style="2" customWidth="1"/>
    <col min="3597" max="3597" width="10.77734375" style="2" customWidth="1"/>
    <col min="3598" max="3598" width="8.21875" style="2" customWidth="1"/>
    <col min="3599" max="3599" width="12.21875" style="2" customWidth="1"/>
    <col min="3600" max="3600" width="10.21875" style="2" customWidth="1"/>
    <col min="3601" max="3601" width="9.21875" style="2" customWidth="1"/>
    <col min="3602" max="3840" width="9.21875" style="2"/>
    <col min="3841" max="3841" width="4.21875" style="2" customWidth="1"/>
    <col min="3842" max="3842" width="2.5546875" style="2" customWidth="1"/>
    <col min="3843" max="3844" width="9.21875" style="2"/>
    <col min="3845" max="3845" width="7.21875" style="2" customWidth="1"/>
    <col min="3846" max="3846" width="8.21875" style="2" customWidth="1"/>
    <col min="3847" max="3848" width="10.21875" style="2" customWidth="1"/>
    <col min="3849" max="3849" width="3.77734375" style="2" customWidth="1"/>
    <col min="3850" max="3850" width="9.21875" style="2"/>
    <col min="3851" max="3851" width="6.21875" style="2" customWidth="1"/>
    <col min="3852" max="3852" width="5.5546875" style="2" customWidth="1"/>
    <col min="3853" max="3853" width="10.77734375" style="2" customWidth="1"/>
    <col min="3854" max="3854" width="8.21875" style="2" customWidth="1"/>
    <col min="3855" max="3855" width="12.21875" style="2" customWidth="1"/>
    <col min="3856" max="3856" width="10.21875" style="2" customWidth="1"/>
    <col min="3857" max="3857" width="9.21875" style="2" customWidth="1"/>
    <col min="3858" max="4096" width="9.21875" style="2"/>
    <col min="4097" max="4097" width="4.21875" style="2" customWidth="1"/>
    <col min="4098" max="4098" width="2.5546875" style="2" customWidth="1"/>
    <col min="4099" max="4100" width="9.21875" style="2"/>
    <col min="4101" max="4101" width="7.21875" style="2" customWidth="1"/>
    <col min="4102" max="4102" width="8.21875" style="2" customWidth="1"/>
    <col min="4103" max="4104" width="10.21875" style="2" customWidth="1"/>
    <col min="4105" max="4105" width="3.77734375" style="2" customWidth="1"/>
    <col min="4106" max="4106" width="9.21875" style="2"/>
    <col min="4107" max="4107" width="6.21875" style="2" customWidth="1"/>
    <col min="4108" max="4108" width="5.5546875" style="2" customWidth="1"/>
    <col min="4109" max="4109" width="10.77734375" style="2" customWidth="1"/>
    <col min="4110" max="4110" width="8.21875" style="2" customWidth="1"/>
    <col min="4111" max="4111" width="12.21875" style="2" customWidth="1"/>
    <col min="4112" max="4112" width="10.21875" style="2" customWidth="1"/>
    <col min="4113" max="4113" width="9.21875" style="2" customWidth="1"/>
    <col min="4114" max="4352" width="9.21875" style="2"/>
    <col min="4353" max="4353" width="4.21875" style="2" customWidth="1"/>
    <col min="4354" max="4354" width="2.5546875" style="2" customWidth="1"/>
    <col min="4355" max="4356" width="9.21875" style="2"/>
    <col min="4357" max="4357" width="7.21875" style="2" customWidth="1"/>
    <col min="4358" max="4358" width="8.21875" style="2" customWidth="1"/>
    <col min="4359" max="4360" width="10.21875" style="2" customWidth="1"/>
    <col min="4361" max="4361" width="3.77734375" style="2" customWidth="1"/>
    <col min="4362" max="4362" width="9.21875" style="2"/>
    <col min="4363" max="4363" width="6.21875" style="2" customWidth="1"/>
    <col min="4364" max="4364" width="5.5546875" style="2" customWidth="1"/>
    <col min="4365" max="4365" width="10.77734375" style="2" customWidth="1"/>
    <col min="4366" max="4366" width="8.21875" style="2" customWidth="1"/>
    <col min="4367" max="4367" width="12.21875" style="2" customWidth="1"/>
    <col min="4368" max="4368" width="10.21875" style="2" customWidth="1"/>
    <col min="4369" max="4369" width="9.21875" style="2" customWidth="1"/>
    <col min="4370" max="4608" width="9.21875" style="2"/>
    <col min="4609" max="4609" width="4.21875" style="2" customWidth="1"/>
    <col min="4610" max="4610" width="2.5546875" style="2" customWidth="1"/>
    <col min="4611" max="4612" width="9.21875" style="2"/>
    <col min="4613" max="4613" width="7.21875" style="2" customWidth="1"/>
    <col min="4614" max="4614" width="8.21875" style="2" customWidth="1"/>
    <col min="4615" max="4616" width="10.21875" style="2" customWidth="1"/>
    <col min="4617" max="4617" width="3.77734375" style="2" customWidth="1"/>
    <col min="4618" max="4618" width="9.21875" style="2"/>
    <col min="4619" max="4619" width="6.21875" style="2" customWidth="1"/>
    <col min="4620" max="4620" width="5.5546875" style="2" customWidth="1"/>
    <col min="4621" max="4621" width="10.77734375" style="2" customWidth="1"/>
    <col min="4622" max="4622" width="8.21875" style="2" customWidth="1"/>
    <col min="4623" max="4623" width="12.21875" style="2" customWidth="1"/>
    <col min="4624" max="4624" width="10.21875" style="2" customWidth="1"/>
    <col min="4625" max="4625" width="9.21875" style="2" customWidth="1"/>
    <col min="4626" max="4864" width="9.21875" style="2"/>
    <col min="4865" max="4865" width="4.21875" style="2" customWidth="1"/>
    <col min="4866" max="4866" width="2.5546875" style="2" customWidth="1"/>
    <col min="4867" max="4868" width="9.21875" style="2"/>
    <col min="4869" max="4869" width="7.21875" style="2" customWidth="1"/>
    <col min="4870" max="4870" width="8.21875" style="2" customWidth="1"/>
    <col min="4871" max="4872" width="10.21875" style="2" customWidth="1"/>
    <col min="4873" max="4873" width="3.77734375" style="2" customWidth="1"/>
    <col min="4874" max="4874" width="9.21875" style="2"/>
    <col min="4875" max="4875" width="6.21875" style="2" customWidth="1"/>
    <col min="4876" max="4876" width="5.5546875" style="2" customWidth="1"/>
    <col min="4877" max="4877" width="10.77734375" style="2" customWidth="1"/>
    <col min="4878" max="4878" width="8.21875" style="2" customWidth="1"/>
    <col min="4879" max="4879" width="12.21875" style="2" customWidth="1"/>
    <col min="4880" max="4880" width="10.21875" style="2" customWidth="1"/>
    <col min="4881" max="4881" width="9.21875" style="2" customWidth="1"/>
    <col min="4882" max="5120" width="9.21875" style="2"/>
    <col min="5121" max="5121" width="4.21875" style="2" customWidth="1"/>
    <col min="5122" max="5122" width="2.5546875" style="2" customWidth="1"/>
    <col min="5123" max="5124" width="9.21875" style="2"/>
    <col min="5125" max="5125" width="7.21875" style="2" customWidth="1"/>
    <col min="5126" max="5126" width="8.21875" style="2" customWidth="1"/>
    <col min="5127" max="5128" width="10.21875" style="2" customWidth="1"/>
    <col min="5129" max="5129" width="3.77734375" style="2" customWidth="1"/>
    <col min="5130" max="5130" width="9.21875" style="2"/>
    <col min="5131" max="5131" width="6.21875" style="2" customWidth="1"/>
    <col min="5132" max="5132" width="5.5546875" style="2" customWidth="1"/>
    <col min="5133" max="5133" width="10.77734375" style="2" customWidth="1"/>
    <col min="5134" max="5134" width="8.21875" style="2" customWidth="1"/>
    <col min="5135" max="5135" width="12.21875" style="2" customWidth="1"/>
    <col min="5136" max="5136" width="10.21875" style="2" customWidth="1"/>
    <col min="5137" max="5137" width="9.21875" style="2" customWidth="1"/>
    <col min="5138" max="5376" width="9.21875" style="2"/>
    <col min="5377" max="5377" width="4.21875" style="2" customWidth="1"/>
    <col min="5378" max="5378" width="2.5546875" style="2" customWidth="1"/>
    <col min="5379" max="5380" width="9.21875" style="2"/>
    <col min="5381" max="5381" width="7.21875" style="2" customWidth="1"/>
    <col min="5382" max="5382" width="8.21875" style="2" customWidth="1"/>
    <col min="5383" max="5384" width="10.21875" style="2" customWidth="1"/>
    <col min="5385" max="5385" width="3.77734375" style="2" customWidth="1"/>
    <col min="5386" max="5386" width="9.21875" style="2"/>
    <col min="5387" max="5387" width="6.21875" style="2" customWidth="1"/>
    <col min="5388" max="5388" width="5.5546875" style="2" customWidth="1"/>
    <col min="5389" max="5389" width="10.77734375" style="2" customWidth="1"/>
    <col min="5390" max="5390" width="8.21875" style="2" customWidth="1"/>
    <col min="5391" max="5391" width="12.21875" style="2" customWidth="1"/>
    <col min="5392" max="5392" width="10.21875" style="2" customWidth="1"/>
    <col min="5393" max="5393" width="9.21875" style="2" customWidth="1"/>
    <col min="5394" max="5632" width="9.21875" style="2"/>
    <col min="5633" max="5633" width="4.21875" style="2" customWidth="1"/>
    <col min="5634" max="5634" width="2.5546875" style="2" customWidth="1"/>
    <col min="5635" max="5636" width="9.21875" style="2"/>
    <col min="5637" max="5637" width="7.21875" style="2" customWidth="1"/>
    <col min="5638" max="5638" width="8.21875" style="2" customWidth="1"/>
    <col min="5639" max="5640" width="10.21875" style="2" customWidth="1"/>
    <col min="5641" max="5641" width="3.77734375" style="2" customWidth="1"/>
    <col min="5642" max="5642" width="9.21875" style="2"/>
    <col min="5643" max="5643" width="6.21875" style="2" customWidth="1"/>
    <col min="5644" max="5644" width="5.5546875" style="2" customWidth="1"/>
    <col min="5645" max="5645" width="10.77734375" style="2" customWidth="1"/>
    <col min="5646" max="5646" width="8.21875" style="2" customWidth="1"/>
    <col min="5647" max="5647" width="12.21875" style="2" customWidth="1"/>
    <col min="5648" max="5648" width="10.21875" style="2" customWidth="1"/>
    <col min="5649" max="5649" width="9.21875" style="2" customWidth="1"/>
    <col min="5650" max="5888" width="9.21875" style="2"/>
    <col min="5889" max="5889" width="4.21875" style="2" customWidth="1"/>
    <col min="5890" max="5890" width="2.5546875" style="2" customWidth="1"/>
    <col min="5891" max="5892" width="9.21875" style="2"/>
    <col min="5893" max="5893" width="7.21875" style="2" customWidth="1"/>
    <col min="5894" max="5894" width="8.21875" style="2" customWidth="1"/>
    <col min="5895" max="5896" width="10.21875" style="2" customWidth="1"/>
    <col min="5897" max="5897" width="3.77734375" style="2" customWidth="1"/>
    <col min="5898" max="5898" width="9.21875" style="2"/>
    <col min="5899" max="5899" width="6.21875" style="2" customWidth="1"/>
    <col min="5900" max="5900" width="5.5546875" style="2" customWidth="1"/>
    <col min="5901" max="5901" width="10.77734375" style="2" customWidth="1"/>
    <col min="5902" max="5902" width="8.21875" style="2" customWidth="1"/>
    <col min="5903" max="5903" width="12.21875" style="2" customWidth="1"/>
    <col min="5904" max="5904" width="10.21875" style="2" customWidth="1"/>
    <col min="5905" max="5905" width="9.21875" style="2" customWidth="1"/>
    <col min="5906" max="6144" width="9.21875" style="2"/>
    <col min="6145" max="6145" width="4.21875" style="2" customWidth="1"/>
    <col min="6146" max="6146" width="2.5546875" style="2" customWidth="1"/>
    <col min="6147" max="6148" width="9.21875" style="2"/>
    <col min="6149" max="6149" width="7.21875" style="2" customWidth="1"/>
    <col min="6150" max="6150" width="8.21875" style="2" customWidth="1"/>
    <col min="6151" max="6152" width="10.21875" style="2" customWidth="1"/>
    <col min="6153" max="6153" width="3.77734375" style="2" customWidth="1"/>
    <col min="6154" max="6154" width="9.21875" style="2"/>
    <col min="6155" max="6155" width="6.21875" style="2" customWidth="1"/>
    <col min="6156" max="6156" width="5.5546875" style="2" customWidth="1"/>
    <col min="6157" max="6157" width="10.77734375" style="2" customWidth="1"/>
    <col min="6158" max="6158" width="8.21875" style="2" customWidth="1"/>
    <col min="6159" max="6159" width="12.21875" style="2" customWidth="1"/>
    <col min="6160" max="6160" width="10.21875" style="2" customWidth="1"/>
    <col min="6161" max="6161" width="9.21875" style="2" customWidth="1"/>
    <col min="6162" max="6400" width="9.21875" style="2"/>
    <col min="6401" max="6401" width="4.21875" style="2" customWidth="1"/>
    <col min="6402" max="6402" width="2.5546875" style="2" customWidth="1"/>
    <col min="6403" max="6404" width="9.21875" style="2"/>
    <col min="6405" max="6405" width="7.21875" style="2" customWidth="1"/>
    <col min="6406" max="6406" width="8.21875" style="2" customWidth="1"/>
    <col min="6407" max="6408" width="10.21875" style="2" customWidth="1"/>
    <col min="6409" max="6409" width="3.77734375" style="2" customWidth="1"/>
    <col min="6410" max="6410" width="9.21875" style="2"/>
    <col min="6411" max="6411" width="6.21875" style="2" customWidth="1"/>
    <col min="6412" max="6412" width="5.5546875" style="2" customWidth="1"/>
    <col min="6413" max="6413" width="10.77734375" style="2" customWidth="1"/>
    <col min="6414" max="6414" width="8.21875" style="2" customWidth="1"/>
    <col min="6415" max="6415" width="12.21875" style="2" customWidth="1"/>
    <col min="6416" max="6416" width="10.21875" style="2" customWidth="1"/>
    <col min="6417" max="6417" width="9.21875" style="2" customWidth="1"/>
    <col min="6418" max="6656" width="9.21875" style="2"/>
    <col min="6657" max="6657" width="4.21875" style="2" customWidth="1"/>
    <col min="6658" max="6658" width="2.5546875" style="2" customWidth="1"/>
    <col min="6659" max="6660" width="9.21875" style="2"/>
    <col min="6661" max="6661" width="7.21875" style="2" customWidth="1"/>
    <col min="6662" max="6662" width="8.21875" style="2" customWidth="1"/>
    <col min="6663" max="6664" width="10.21875" style="2" customWidth="1"/>
    <col min="6665" max="6665" width="3.77734375" style="2" customWidth="1"/>
    <col min="6666" max="6666" width="9.21875" style="2"/>
    <col min="6667" max="6667" width="6.21875" style="2" customWidth="1"/>
    <col min="6668" max="6668" width="5.5546875" style="2" customWidth="1"/>
    <col min="6669" max="6669" width="10.77734375" style="2" customWidth="1"/>
    <col min="6670" max="6670" width="8.21875" style="2" customWidth="1"/>
    <col min="6671" max="6671" width="12.21875" style="2" customWidth="1"/>
    <col min="6672" max="6672" width="10.21875" style="2" customWidth="1"/>
    <col min="6673" max="6673" width="9.21875" style="2" customWidth="1"/>
    <col min="6674" max="6912" width="9.21875" style="2"/>
    <col min="6913" max="6913" width="4.21875" style="2" customWidth="1"/>
    <col min="6914" max="6914" width="2.5546875" style="2" customWidth="1"/>
    <col min="6915" max="6916" width="9.21875" style="2"/>
    <col min="6917" max="6917" width="7.21875" style="2" customWidth="1"/>
    <col min="6918" max="6918" width="8.21875" style="2" customWidth="1"/>
    <col min="6919" max="6920" width="10.21875" style="2" customWidth="1"/>
    <col min="6921" max="6921" width="3.77734375" style="2" customWidth="1"/>
    <col min="6922" max="6922" width="9.21875" style="2"/>
    <col min="6923" max="6923" width="6.21875" style="2" customWidth="1"/>
    <col min="6924" max="6924" width="5.5546875" style="2" customWidth="1"/>
    <col min="6925" max="6925" width="10.77734375" style="2" customWidth="1"/>
    <col min="6926" max="6926" width="8.21875" style="2" customWidth="1"/>
    <col min="6927" max="6927" width="12.21875" style="2" customWidth="1"/>
    <col min="6928" max="6928" width="10.21875" style="2" customWidth="1"/>
    <col min="6929" max="6929" width="9.21875" style="2" customWidth="1"/>
    <col min="6930" max="7168" width="9.21875" style="2"/>
    <col min="7169" max="7169" width="4.21875" style="2" customWidth="1"/>
    <col min="7170" max="7170" width="2.5546875" style="2" customWidth="1"/>
    <col min="7171" max="7172" width="9.21875" style="2"/>
    <col min="7173" max="7173" width="7.21875" style="2" customWidth="1"/>
    <col min="7174" max="7174" width="8.21875" style="2" customWidth="1"/>
    <col min="7175" max="7176" width="10.21875" style="2" customWidth="1"/>
    <col min="7177" max="7177" width="3.77734375" style="2" customWidth="1"/>
    <col min="7178" max="7178" width="9.21875" style="2"/>
    <col min="7179" max="7179" width="6.21875" style="2" customWidth="1"/>
    <col min="7180" max="7180" width="5.5546875" style="2" customWidth="1"/>
    <col min="7181" max="7181" width="10.77734375" style="2" customWidth="1"/>
    <col min="7182" max="7182" width="8.21875" style="2" customWidth="1"/>
    <col min="7183" max="7183" width="12.21875" style="2" customWidth="1"/>
    <col min="7184" max="7184" width="10.21875" style="2" customWidth="1"/>
    <col min="7185" max="7185" width="9.21875" style="2" customWidth="1"/>
    <col min="7186" max="7424" width="9.21875" style="2"/>
    <col min="7425" max="7425" width="4.21875" style="2" customWidth="1"/>
    <col min="7426" max="7426" width="2.5546875" style="2" customWidth="1"/>
    <col min="7427" max="7428" width="9.21875" style="2"/>
    <col min="7429" max="7429" width="7.21875" style="2" customWidth="1"/>
    <col min="7430" max="7430" width="8.21875" style="2" customWidth="1"/>
    <col min="7431" max="7432" width="10.21875" style="2" customWidth="1"/>
    <col min="7433" max="7433" width="3.77734375" style="2" customWidth="1"/>
    <col min="7434" max="7434" width="9.21875" style="2"/>
    <col min="7435" max="7435" width="6.21875" style="2" customWidth="1"/>
    <col min="7436" max="7436" width="5.5546875" style="2" customWidth="1"/>
    <col min="7437" max="7437" width="10.77734375" style="2" customWidth="1"/>
    <col min="7438" max="7438" width="8.21875" style="2" customWidth="1"/>
    <col min="7439" max="7439" width="12.21875" style="2" customWidth="1"/>
    <col min="7440" max="7440" width="10.21875" style="2" customWidth="1"/>
    <col min="7441" max="7441" width="9.21875" style="2" customWidth="1"/>
    <col min="7442" max="7680" width="9.21875" style="2"/>
    <col min="7681" max="7681" width="4.21875" style="2" customWidth="1"/>
    <col min="7682" max="7682" width="2.5546875" style="2" customWidth="1"/>
    <col min="7683" max="7684" width="9.21875" style="2"/>
    <col min="7685" max="7685" width="7.21875" style="2" customWidth="1"/>
    <col min="7686" max="7686" width="8.21875" style="2" customWidth="1"/>
    <col min="7687" max="7688" width="10.21875" style="2" customWidth="1"/>
    <col min="7689" max="7689" width="3.77734375" style="2" customWidth="1"/>
    <col min="7690" max="7690" width="9.21875" style="2"/>
    <col min="7691" max="7691" width="6.21875" style="2" customWidth="1"/>
    <col min="7692" max="7692" width="5.5546875" style="2" customWidth="1"/>
    <col min="7693" max="7693" width="10.77734375" style="2" customWidth="1"/>
    <col min="7694" max="7694" width="8.21875" style="2" customWidth="1"/>
    <col min="7695" max="7695" width="12.21875" style="2" customWidth="1"/>
    <col min="7696" max="7696" width="10.21875" style="2" customWidth="1"/>
    <col min="7697" max="7697" width="9.21875" style="2" customWidth="1"/>
    <col min="7698" max="7936" width="9.21875" style="2"/>
    <col min="7937" max="7937" width="4.21875" style="2" customWidth="1"/>
    <col min="7938" max="7938" width="2.5546875" style="2" customWidth="1"/>
    <col min="7939" max="7940" width="9.21875" style="2"/>
    <col min="7941" max="7941" width="7.21875" style="2" customWidth="1"/>
    <col min="7942" max="7942" width="8.21875" style="2" customWidth="1"/>
    <col min="7943" max="7944" width="10.21875" style="2" customWidth="1"/>
    <col min="7945" max="7945" width="3.77734375" style="2" customWidth="1"/>
    <col min="7946" max="7946" width="9.21875" style="2"/>
    <col min="7947" max="7947" width="6.21875" style="2" customWidth="1"/>
    <col min="7948" max="7948" width="5.5546875" style="2" customWidth="1"/>
    <col min="7949" max="7949" width="10.77734375" style="2" customWidth="1"/>
    <col min="7950" max="7950" width="8.21875" style="2" customWidth="1"/>
    <col min="7951" max="7951" width="12.21875" style="2" customWidth="1"/>
    <col min="7952" max="7952" width="10.21875" style="2" customWidth="1"/>
    <col min="7953" max="7953" width="9.21875" style="2" customWidth="1"/>
    <col min="7954" max="8192" width="9.21875" style="2"/>
    <col min="8193" max="8193" width="4.21875" style="2" customWidth="1"/>
    <col min="8194" max="8194" width="2.5546875" style="2" customWidth="1"/>
    <col min="8195" max="8196" width="9.21875" style="2"/>
    <col min="8197" max="8197" width="7.21875" style="2" customWidth="1"/>
    <col min="8198" max="8198" width="8.21875" style="2" customWidth="1"/>
    <col min="8199" max="8200" width="10.21875" style="2" customWidth="1"/>
    <col min="8201" max="8201" width="3.77734375" style="2" customWidth="1"/>
    <col min="8202" max="8202" width="9.21875" style="2"/>
    <col min="8203" max="8203" width="6.21875" style="2" customWidth="1"/>
    <col min="8204" max="8204" width="5.5546875" style="2" customWidth="1"/>
    <col min="8205" max="8205" width="10.77734375" style="2" customWidth="1"/>
    <col min="8206" max="8206" width="8.21875" style="2" customWidth="1"/>
    <col min="8207" max="8207" width="12.21875" style="2" customWidth="1"/>
    <col min="8208" max="8208" width="10.21875" style="2" customWidth="1"/>
    <col min="8209" max="8209" width="9.21875" style="2" customWidth="1"/>
    <col min="8210" max="8448" width="9.21875" style="2"/>
    <col min="8449" max="8449" width="4.21875" style="2" customWidth="1"/>
    <col min="8450" max="8450" width="2.5546875" style="2" customWidth="1"/>
    <col min="8451" max="8452" width="9.21875" style="2"/>
    <col min="8453" max="8453" width="7.21875" style="2" customWidth="1"/>
    <col min="8454" max="8454" width="8.21875" style="2" customWidth="1"/>
    <col min="8455" max="8456" width="10.21875" style="2" customWidth="1"/>
    <col min="8457" max="8457" width="3.77734375" style="2" customWidth="1"/>
    <col min="8458" max="8458" width="9.21875" style="2"/>
    <col min="8459" max="8459" width="6.21875" style="2" customWidth="1"/>
    <col min="8460" max="8460" width="5.5546875" style="2" customWidth="1"/>
    <col min="8461" max="8461" width="10.77734375" style="2" customWidth="1"/>
    <col min="8462" max="8462" width="8.21875" style="2" customWidth="1"/>
    <col min="8463" max="8463" width="12.21875" style="2" customWidth="1"/>
    <col min="8464" max="8464" width="10.21875" style="2" customWidth="1"/>
    <col min="8465" max="8465" width="9.21875" style="2" customWidth="1"/>
    <col min="8466" max="8704" width="9.21875" style="2"/>
    <col min="8705" max="8705" width="4.21875" style="2" customWidth="1"/>
    <col min="8706" max="8706" width="2.5546875" style="2" customWidth="1"/>
    <col min="8707" max="8708" width="9.21875" style="2"/>
    <col min="8709" max="8709" width="7.21875" style="2" customWidth="1"/>
    <col min="8710" max="8710" width="8.21875" style="2" customWidth="1"/>
    <col min="8711" max="8712" width="10.21875" style="2" customWidth="1"/>
    <col min="8713" max="8713" width="3.77734375" style="2" customWidth="1"/>
    <col min="8714" max="8714" width="9.21875" style="2"/>
    <col min="8715" max="8715" width="6.21875" style="2" customWidth="1"/>
    <col min="8716" max="8716" width="5.5546875" style="2" customWidth="1"/>
    <col min="8717" max="8717" width="10.77734375" style="2" customWidth="1"/>
    <col min="8718" max="8718" width="8.21875" style="2" customWidth="1"/>
    <col min="8719" max="8719" width="12.21875" style="2" customWidth="1"/>
    <col min="8720" max="8720" width="10.21875" style="2" customWidth="1"/>
    <col min="8721" max="8721" width="9.21875" style="2" customWidth="1"/>
    <col min="8722" max="8960" width="9.21875" style="2"/>
    <col min="8961" max="8961" width="4.21875" style="2" customWidth="1"/>
    <col min="8962" max="8962" width="2.5546875" style="2" customWidth="1"/>
    <col min="8963" max="8964" width="9.21875" style="2"/>
    <col min="8965" max="8965" width="7.21875" style="2" customWidth="1"/>
    <col min="8966" max="8966" width="8.21875" style="2" customWidth="1"/>
    <col min="8967" max="8968" width="10.21875" style="2" customWidth="1"/>
    <col min="8969" max="8969" width="3.77734375" style="2" customWidth="1"/>
    <col min="8970" max="8970" width="9.21875" style="2"/>
    <col min="8971" max="8971" width="6.21875" style="2" customWidth="1"/>
    <col min="8972" max="8972" width="5.5546875" style="2" customWidth="1"/>
    <col min="8973" max="8973" width="10.77734375" style="2" customWidth="1"/>
    <col min="8974" max="8974" width="8.21875" style="2" customWidth="1"/>
    <col min="8975" max="8975" width="12.21875" style="2" customWidth="1"/>
    <col min="8976" max="8976" width="10.21875" style="2" customWidth="1"/>
    <col min="8977" max="8977" width="9.21875" style="2" customWidth="1"/>
    <col min="8978" max="9216" width="9.21875" style="2"/>
    <col min="9217" max="9217" width="4.21875" style="2" customWidth="1"/>
    <col min="9218" max="9218" width="2.5546875" style="2" customWidth="1"/>
    <col min="9219" max="9220" width="9.21875" style="2"/>
    <col min="9221" max="9221" width="7.21875" style="2" customWidth="1"/>
    <col min="9222" max="9222" width="8.21875" style="2" customWidth="1"/>
    <col min="9223" max="9224" width="10.21875" style="2" customWidth="1"/>
    <col min="9225" max="9225" width="3.77734375" style="2" customWidth="1"/>
    <col min="9226" max="9226" width="9.21875" style="2"/>
    <col min="9227" max="9227" width="6.21875" style="2" customWidth="1"/>
    <col min="9228" max="9228" width="5.5546875" style="2" customWidth="1"/>
    <col min="9229" max="9229" width="10.77734375" style="2" customWidth="1"/>
    <col min="9230" max="9230" width="8.21875" style="2" customWidth="1"/>
    <col min="9231" max="9231" width="12.21875" style="2" customWidth="1"/>
    <col min="9232" max="9232" width="10.21875" style="2" customWidth="1"/>
    <col min="9233" max="9233" width="9.21875" style="2" customWidth="1"/>
    <col min="9234" max="9472" width="9.21875" style="2"/>
    <col min="9473" max="9473" width="4.21875" style="2" customWidth="1"/>
    <col min="9474" max="9474" width="2.5546875" style="2" customWidth="1"/>
    <col min="9475" max="9476" width="9.21875" style="2"/>
    <col min="9477" max="9477" width="7.21875" style="2" customWidth="1"/>
    <col min="9478" max="9478" width="8.21875" style="2" customWidth="1"/>
    <col min="9479" max="9480" width="10.21875" style="2" customWidth="1"/>
    <col min="9481" max="9481" width="3.77734375" style="2" customWidth="1"/>
    <col min="9482" max="9482" width="9.21875" style="2"/>
    <col min="9483" max="9483" width="6.21875" style="2" customWidth="1"/>
    <col min="9484" max="9484" width="5.5546875" style="2" customWidth="1"/>
    <col min="9485" max="9485" width="10.77734375" style="2" customWidth="1"/>
    <col min="9486" max="9486" width="8.21875" style="2" customWidth="1"/>
    <col min="9487" max="9487" width="12.21875" style="2" customWidth="1"/>
    <col min="9488" max="9488" width="10.21875" style="2" customWidth="1"/>
    <col min="9489" max="9489" width="9.21875" style="2" customWidth="1"/>
    <col min="9490" max="9728" width="9.21875" style="2"/>
    <col min="9729" max="9729" width="4.21875" style="2" customWidth="1"/>
    <col min="9730" max="9730" width="2.5546875" style="2" customWidth="1"/>
    <col min="9731" max="9732" width="9.21875" style="2"/>
    <col min="9733" max="9733" width="7.21875" style="2" customWidth="1"/>
    <col min="9734" max="9734" width="8.21875" style="2" customWidth="1"/>
    <col min="9735" max="9736" width="10.21875" style="2" customWidth="1"/>
    <col min="9737" max="9737" width="3.77734375" style="2" customWidth="1"/>
    <col min="9738" max="9738" width="9.21875" style="2"/>
    <col min="9739" max="9739" width="6.21875" style="2" customWidth="1"/>
    <col min="9740" max="9740" width="5.5546875" style="2" customWidth="1"/>
    <col min="9741" max="9741" width="10.77734375" style="2" customWidth="1"/>
    <col min="9742" max="9742" width="8.21875" style="2" customWidth="1"/>
    <col min="9743" max="9743" width="12.21875" style="2" customWidth="1"/>
    <col min="9744" max="9744" width="10.21875" style="2" customWidth="1"/>
    <col min="9745" max="9745" width="9.21875" style="2" customWidth="1"/>
    <col min="9746" max="9984" width="9.21875" style="2"/>
    <col min="9985" max="9985" width="4.21875" style="2" customWidth="1"/>
    <col min="9986" max="9986" width="2.5546875" style="2" customWidth="1"/>
    <col min="9987" max="9988" width="9.21875" style="2"/>
    <col min="9989" max="9989" width="7.21875" style="2" customWidth="1"/>
    <col min="9990" max="9990" width="8.21875" style="2" customWidth="1"/>
    <col min="9991" max="9992" width="10.21875" style="2" customWidth="1"/>
    <col min="9993" max="9993" width="3.77734375" style="2" customWidth="1"/>
    <col min="9994" max="9994" width="9.21875" style="2"/>
    <col min="9995" max="9995" width="6.21875" style="2" customWidth="1"/>
    <col min="9996" max="9996" width="5.5546875" style="2" customWidth="1"/>
    <col min="9997" max="9997" width="10.77734375" style="2" customWidth="1"/>
    <col min="9998" max="9998" width="8.21875" style="2" customWidth="1"/>
    <col min="9999" max="9999" width="12.21875" style="2" customWidth="1"/>
    <col min="10000" max="10000" width="10.21875" style="2" customWidth="1"/>
    <col min="10001" max="10001" width="9.21875" style="2" customWidth="1"/>
    <col min="10002" max="10240" width="9.21875" style="2"/>
    <col min="10241" max="10241" width="4.21875" style="2" customWidth="1"/>
    <col min="10242" max="10242" width="2.5546875" style="2" customWidth="1"/>
    <col min="10243" max="10244" width="9.21875" style="2"/>
    <col min="10245" max="10245" width="7.21875" style="2" customWidth="1"/>
    <col min="10246" max="10246" width="8.21875" style="2" customWidth="1"/>
    <col min="10247" max="10248" width="10.21875" style="2" customWidth="1"/>
    <col min="10249" max="10249" width="3.77734375" style="2" customWidth="1"/>
    <col min="10250" max="10250" width="9.21875" style="2"/>
    <col min="10251" max="10251" width="6.21875" style="2" customWidth="1"/>
    <col min="10252" max="10252" width="5.5546875" style="2" customWidth="1"/>
    <col min="10253" max="10253" width="10.77734375" style="2" customWidth="1"/>
    <col min="10254" max="10254" width="8.21875" style="2" customWidth="1"/>
    <col min="10255" max="10255" width="12.21875" style="2" customWidth="1"/>
    <col min="10256" max="10256" width="10.21875" style="2" customWidth="1"/>
    <col min="10257" max="10257" width="9.21875" style="2" customWidth="1"/>
    <col min="10258" max="10496" width="9.21875" style="2"/>
    <col min="10497" max="10497" width="4.21875" style="2" customWidth="1"/>
    <col min="10498" max="10498" width="2.5546875" style="2" customWidth="1"/>
    <col min="10499" max="10500" width="9.21875" style="2"/>
    <col min="10501" max="10501" width="7.21875" style="2" customWidth="1"/>
    <col min="10502" max="10502" width="8.21875" style="2" customWidth="1"/>
    <col min="10503" max="10504" width="10.21875" style="2" customWidth="1"/>
    <col min="10505" max="10505" width="3.77734375" style="2" customWidth="1"/>
    <col min="10506" max="10506" width="9.21875" style="2"/>
    <col min="10507" max="10507" width="6.21875" style="2" customWidth="1"/>
    <col min="10508" max="10508" width="5.5546875" style="2" customWidth="1"/>
    <col min="10509" max="10509" width="10.77734375" style="2" customWidth="1"/>
    <col min="10510" max="10510" width="8.21875" style="2" customWidth="1"/>
    <col min="10511" max="10511" width="12.21875" style="2" customWidth="1"/>
    <col min="10512" max="10512" width="10.21875" style="2" customWidth="1"/>
    <col min="10513" max="10513" width="9.21875" style="2" customWidth="1"/>
    <col min="10514" max="10752" width="9.21875" style="2"/>
    <col min="10753" max="10753" width="4.21875" style="2" customWidth="1"/>
    <col min="10754" max="10754" width="2.5546875" style="2" customWidth="1"/>
    <col min="10755" max="10756" width="9.21875" style="2"/>
    <col min="10757" max="10757" width="7.21875" style="2" customWidth="1"/>
    <col min="10758" max="10758" width="8.21875" style="2" customWidth="1"/>
    <col min="10759" max="10760" width="10.21875" style="2" customWidth="1"/>
    <col min="10761" max="10761" width="3.77734375" style="2" customWidth="1"/>
    <col min="10762" max="10762" width="9.21875" style="2"/>
    <col min="10763" max="10763" width="6.21875" style="2" customWidth="1"/>
    <col min="10764" max="10764" width="5.5546875" style="2" customWidth="1"/>
    <col min="10765" max="10765" width="10.77734375" style="2" customWidth="1"/>
    <col min="10766" max="10766" width="8.21875" style="2" customWidth="1"/>
    <col min="10767" max="10767" width="12.21875" style="2" customWidth="1"/>
    <col min="10768" max="10768" width="10.21875" style="2" customWidth="1"/>
    <col min="10769" max="10769" width="9.21875" style="2" customWidth="1"/>
    <col min="10770" max="11008" width="9.21875" style="2"/>
    <col min="11009" max="11009" width="4.21875" style="2" customWidth="1"/>
    <col min="11010" max="11010" width="2.5546875" style="2" customWidth="1"/>
    <col min="11011" max="11012" width="9.21875" style="2"/>
    <col min="11013" max="11013" width="7.21875" style="2" customWidth="1"/>
    <col min="11014" max="11014" width="8.21875" style="2" customWidth="1"/>
    <col min="11015" max="11016" width="10.21875" style="2" customWidth="1"/>
    <col min="11017" max="11017" width="3.77734375" style="2" customWidth="1"/>
    <col min="11018" max="11018" width="9.21875" style="2"/>
    <col min="11019" max="11019" width="6.21875" style="2" customWidth="1"/>
    <col min="11020" max="11020" width="5.5546875" style="2" customWidth="1"/>
    <col min="11021" max="11021" width="10.77734375" style="2" customWidth="1"/>
    <col min="11022" max="11022" width="8.21875" style="2" customWidth="1"/>
    <col min="11023" max="11023" width="12.21875" style="2" customWidth="1"/>
    <col min="11024" max="11024" width="10.21875" style="2" customWidth="1"/>
    <col min="11025" max="11025" width="9.21875" style="2" customWidth="1"/>
    <col min="11026" max="11264" width="9.21875" style="2"/>
    <col min="11265" max="11265" width="4.21875" style="2" customWidth="1"/>
    <col min="11266" max="11266" width="2.5546875" style="2" customWidth="1"/>
    <col min="11267" max="11268" width="9.21875" style="2"/>
    <col min="11269" max="11269" width="7.21875" style="2" customWidth="1"/>
    <col min="11270" max="11270" width="8.21875" style="2" customWidth="1"/>
    <col min="11271" max="11272" width="10.21875" style="2" customWidth="1"/>
    <col min="11273" max="11273" width="3.77734375" style="2" customWidth="1"/>
    <col min="11274" max="11274" width="9.21875" style="2"/>
    <col min="11275" max="11275" width="6.21875" style="2" customWidth="1"/>
    <col min="11276" max="11276" width="5.5546875" style="2" customWidth="1"/>
    <col min="11277" max="11277" width="10.77734375" style="2" customWidth="1"/>
    <col min="11278" max="11278" width="8.21875" style="2" customWidth="1"/>
    <col min="11279" max="11279" width="12.21875" style="2" customWidth="1"/>
    <col min="11280" max="11280" width="10.21875" style="2" customWidth="1"/>
    <col min="11281" max="11281" width="9.21875" style="2" customWidth="1"/>
    <col min="11282" max="11520" width="9.21875" style="2"/>
    <col min="11521" max="11521" width="4.21875" style="2" customWidth="1"/>
    <col min="11522" max="11522" width="2.5546875" style="2" customWidth="1"/>
    <col min="11523" max="11524" width="9.21875" style="2"/>
    <col min="11525" max="11525" width="7.21875" style="2" customWidth="1"/>
    <col min="11526" max="11526" width="8.21875" style="2" customWidth="1"/>
    <col min="11527" max="11528" width="10.21875" style="2" customWidth="1"/>
    <col min="11529" max="11529" width="3.77734375" style="2" customWidth="1"/>
    <col min="11530" max="11530" width="9.21875" style="2"/>
    <col min="11531" max="11531" width="6.21875" style="2" customWidth="1"/>
    <col min="11532" max="11532" width="5.5546875" style="2" customWidth="1"/>
    <col min="11533" max="11533" width="10.77734375" style="2" customWidth="1"/>
    <col min="11534" max="11534" width="8.21875" style="2" customWidth="1"/>
    <col min="11535" max="11535" width="12.21875" style="2" customWidth="1"/>
    <col min="11536" max="11536" width="10.21875" style="2" customWidth="1"/>
    <col min="11537" max="11537" width="9.21875" style="2" customWidth="1"/>
    <col min="11538" max="11776" width="9.21875" style="2"/>
    <col min="11777" max="11777" width="4.21875" style="2" customWidth="1"/>
    <col min="11778" max="11778" width="2.5546875" style="2" customWidth="1"/>
    <col min="11779" max="11780" width="9.21875" style="2"/>
    <col min="11781" max="11781" width="7.21875" style="2" customWidth="1"/>
    <col min="11782" max="11782" width="8.21875" style="2" customWidth="1"/>
    <col min="11783" max="11784" width="10.21875" style="2" customWidth="1"/>
    <col min="11785" max="11785" width="3.77734375" style="2" customWidth="1"/>
    <col min="11786" max="11786" width="9.21875" style="2"/>
    <col min="11787" max="11787" width="6.21875" style="2" customWidth="1"/>
    <col min="11788" max="11788" width="5.5546875" style="2" customWidth="1"/>
    <col min="11789" max="11789" width="10.77734375" style="2" customWidth="1"/>
    <col min="11790" max="11790" width="8.21875" style="2" customWidth="1"/>
    <col min="11791" max="11791" width="12.21875" style="2" customWidth="1"/>
    <col min="11792" max="11792" width="10.21875" style="2" customWidth="1"/>
    <col min="11793" max="11793" width="9.21875" style="2" customWidth="1"/>
    <col min="11794" max="12032" width="9.21875" style="2"/>
    <col min="12033" max="12033" width="4.21875" style="2" customWidth="1"/>
    <col min="12034" max="12034" width="2.5546875" style="2" customWidth="1"/>
    <col min="12035" max="12036" width="9.21875" style="2"/>
    <col min="12037" max="12037" width="7.21875" style="2" customWidth="1"/>
    <col min="12038" max="12038" width="8.21875" style="2" customWidth="1"/>
    <col min="12039" max="12040" width="10.21875" style="2" customWidth="1"/>
    <col min="12041" max="12041" width="3.77734375" style="2" customWidth="1"/>
    <col min="12042" max="12042" width="9.21875" style="2"/>
    <col min="12043" max="12043" width="6.21875" style="2" customWidth="1"/>
    <col min="12044" max="12044" width="5.5546875" style="2" customWidth="1"/>
    <col min="12045" max="12045" width="10.77734375" style="2" customWidth="1"/>
    <col min="12046" max="12046" width="8.21875" style="2" customWidth="1"/>
    <col min="12047" max="12047" width="12.21875" style="2" customWidth="1"/>
    <col min="12048" max="12048" width="10.21875" style="2" customWidth="1"/>
    <col min="12049" max="12049" width="9.21875" style="2" customWidth="1"/>
    <col min="12050" max="12288" width="9.21875" style="2"/>
    <col min="12289" max="12289" width="4.21875" style="2" customWidth="1"/>
    <col min="12290" max="12290" width="2.5546875" style="2" customWidth="1"/>
    <col min="12291" max="12292" width="9.21875" style="2"/>
    <col min="12293" max="12293" width="7.21875" style="2" customWidth="1"/>
    <col min="12294" max="12294" width="8.21875" style="2" customWidth="1"/>
    <col min="12295" max="12296" width="10.21875" style="2" customWidth="1"/>
    <col min="12297" max="12297" width="3.77734375" style="2" customWidth="1"/>
    <col min="12298" max="12298" width="9.21875" style="2"/>
    <col min="12299" max="12299" width="6.21875" style="2" customWidth="1"/>
    <col min="12300" max="12300" width="5.5546875" style="2" customWidth="1"/>
    <col min="12301" max="12301" width="10.77734375" style="2" customWidth="1"/>
    <col min="12302" max="12302" width="8.21875" style="2" customWidth="1"/>
    <col min="12303" max="12303" width="12.21875" style="2" customWidth="1"/>
    <col min="12304" max="12304" width="10.21875" style="2" customWidth="1"/>
    <col min="12305" max="12305" width="9.21875" style="2" customWidth="1"/>
    <col min="12306" max="12544" width="9.21875" style="2"/>
    <col min="12545" max="12545" width="4.21875" style="2" customWidth="1"/>
    <col min="12546" max="12546" width="2.5546875" style="2" customWidth="1"/>
    <col min="12547" max="12548" width="9.21875" style="2"/>
    <col min="12549" max="12549" width="7.21875" style="2" customWidth="1"/>
    <col min="12550" max="12550" width="8.21875" style="2" customWidth="1"/>
    <col min="12551" max="12552" width="10.21875" style="2" customWidth="1"/>
    <col min="12553" max="12553" width="3.77734375" style="2" customWidth="1"/>
    <col min="12554" max="12554" width="9.21875" style="2"/>
    <col min="12555" max="12555" width="6.21875" style="2" customWidth="1"/>
    <col min="12556" max="12556" width="5.5546875" style="2" customWidth="1"/>
    <col min="12557" max="12557" width="10.77734375" style="2" customWidth="1"/>
    <col min="12558" max="12558" width="8.21875" style="2" customWidth="1"/>
    <col min="12559" max="12559" width="12.21875" style="2" customWidth="1"/>
    <col min="12560" max="12560" width="10.21875" style="2" customWidth="1"/>
    <col min="12561" max="12561" width="9.21875" style="2" customWidth="1"/>
    <col min="12562" max="12800" width="9.21875" style="2"/>
    <col min="12801" max="12801" width="4.21875" style="2" customWidth="1"/>
    <col min="12802" max="12802" width="2.5546875" style="2" customWidth="1"/>
    <col min="12803" max="12804" width="9.21875" style="2"/>
    <col min="12805" max="12805" width="7.21875" style="2" customWidth="1"/>
    <col min="12806" max="12806" width="8.21875" style="2" customWidth="1"/>
    <col min="12807" max="12808" width="10.21875" style="2" customWidth="1"/>
    <col min="12809" max="12809" width="3.77734375" style="2" customWidth="1"/>
    <col min="12810" max="12810" width="9.21875" style="2"/>
    <col min="12811" max="12811" width="6.21875" style="2" customWidth="1"/>
    <col min="12812" max="12812" width="5.5546875" style="2" customWidth="1"/>
    <col min="12813" max="12813" width="10.77734375" style="2" customWidth="1"/>
    <col min="12814" max="12814" width="8.21875" style="2" customWidth="1"/>
    <col min="12815" max="12815" width="12.21875" style="2" customWidth="1"/>
    <col min="12816" max="12816" width="10.21875" style="2" customWidth="1"/>
    <col min="12817" max="12817" width="9.21875" style="2" customWidth="1"/>
    <col min="12818" max="13056" width="9.21875" style="2"/>
    <col min="13057" max="13057" width="4.21875" style="2" customWidth="1"/>
    <col min="13058" max="13058" width="2.5546875" style="2" customWidth="1"/>
    <col min="13059" max="13060" width="9.21875" style="2"/>
    <col min="13061" max="13061" width="7.21875" style="2" customWidth="1"/>
    <col min="13062" max="13062" width="8.21875" style="2" customWidth="1"/>
    <col min="13063" max="13064" width="10.21875" style="2" customWidth="1"/>
    <col min="13065" max="13065" width="3.77734375" style="2" customWidth="1"/>
    <col min="13066" max="13066" width="9.21875" style="2"/>
    <col min="13067" max="13067" width="6.21875" style="2" customWidth="1"/>
    <col min="13068" max="13068" width="5.5546875" style="2" customWidth="1"/>
    <col min="13069" max="13069" width="10.77734375" style="2" customWidth="1"/>
    <col min="13070" max="13070" width="8.21875" style="2" customWidth="1"/>
    <col min="13071" max="13071" width="12.21875" style="2" customWidth="1"/>
    <col min="13072" max="13072" width="10.21875" style="2" customWidth="1"/>
    <col min="13073" max="13073" width="9.21875" style="2" customWidth="1"/>
    <col min="13074" max="13312" width="9.21875" style="2"/>
    <col min="13313" max="13313" width="4.21875" style="2" customWidth="1"/>
    <col min="13314" max="13314" width="2.5546875" style="2" customWidth="1"/>
    <col min="13315" max="13316" width="9.21875" style="2"/>
    <col min="13317" max="13317" width="7.21875" style="2" customWidth="1"/>
    <col min="13318" max="13318" width="8.21875" style="2" customWidth="1"/>
    <col min="13319" max="13320" width="10.21875" style="2" customWidth="1"/>
    <col min="13321" max="13321" width="3.77734375" style="2" customWidth="1"/>
    <col min="13322" max="13322" width="9.21875" style="2"/>
    <col min="13323" max="13323" width="6.21875" style="2" customWidth="1"/>
    <col min="13324" max="13324" width="5.5546875" style="2" customWidth="1"/>
    <col min="13325" max="13325" width="10.77734375" style="2" customWidth="1"/>
    <col min="13326" max="13326" width="8.21875" style="2" customWidth="1"/>
    <col min="13327" max="13327" width="12.21875" style="2" customWidth="1"/>
    <col min="13328" max="13328" width="10.21875" style="2" customWidth="1"/>
    <col min="13329" max="13329" width="9.21875" style="2" customWidth="1"/>
    <col min="13330" max="13568" width="9.21875" style="2"/>
    <col min="13569" max="13569" width="4.21875" style="2" customWidth="1"/>
    <col min="13570" max="13570" width="2.5546875" style="2" customWidth="1"/>
    <col min="13571" max="13572" width="9.21875" style="2"/>
    <col min="13573" max="13573" width="7.21875" style="2" customWidth="1"/>
    <col min="13574" max="13574" width="8.21875" style="2" customWidth="1"/>
    <col min="13575" max="13576" width="10.21875" style="2" customWidth="1"/>
    <col min="13577" max="13577" width="3.77734375" style="2" customWidth="1"/>
    <col min="13578" max="13578" width="9.21875" style="2"/>
    <col min="13579" max="13579" width="6.21875" style="2" customWidth="1"/>
    <col min="13580" max="13580" width="5.5546875" style="2" customWidth="1"/>
    <col min="13581" max="13581" width="10.77734375" style="2" customWidth="1"/>
    <col min="13582" max="13582" width="8.21875" style="2" customWidth="1"/>
    <col min="13583" max="13583" width="12.21875" style="2" customWidth="1"/>
    <col min="13584" max="13584" width="10.21875" style="2" customWidth="1"/>
    <col min="13585" max="13585" width="9.21875" style="2" customWidth="1"/>
    <col min="13586" max="13824" width="9.21875" style="2"/>
    <col min="13825" max="13825" width="4.21875" style="2" customWidth="1"/>
    <col min="13826" max="13826" width="2.5546875" style="2" customWidth="1"/>
    <col min="13827" max="13828" width="9.21875" style="2"/>
    <col min="13829" max="13829" width="7.21875" style="2" customWidth="1"/>
    <col min="13830" max="13830" width="8.21875" style="2" customWidth="1"/>
    <col min="13831" max="13832" width="10.21875" style="2" customWidth="1"/>
    <col min="13833" max="13833" width="3.77734375" style="2" customWidth="1"/>
    <col min="13834" max="13834" width="9.21875" style="2"/>
    <col min="13835" max="13835" width="6.21875" style="2" customWidth="1"/>
    <col min="13836" max="13836" width="5.5546875" style="2" customWidth="1"/>
    <col min="13837" max="13837" width="10.77734375" style="2" customWidth="1"/>
    <col min="13838" max="13838" width="8.21875" style="2" customWidth="1"/>
    <col min="13839" max="13839" width="12.21875" style="2" customWidth="1"/>
    <col min="13840" max="13840" width="10.21875" style="2" customWidth="1"/>
    <col min="13841" max="13841" width="9.21875" style="2" customWidth="1"/>
    <col min="13842" max="14080" width="9.21875" style="2"/>
    <col min="14081" max="14081" width="4.21875" style="2" customWidth="1"/>
    <col min="14082" max="14082" width="2.5546875" style="2" customWidth="1"/>
    <col min="14083" max="14084" width="9.21875" style="2"/>
    <col min="14085" max="14085" width="7.21875" style="2" customWidth="1"/>
    <col min="14086" max="14086" width="8.21875" style="2" customWidth="1"/>
    <col min="14087" max="14088" width="10.21875" style="2" customWidth="1"/>
    <col min="14089" max="14089" width="3.77734375" style="2" customWidth="1"/>
    <col min="14090" max="14090" width="9.21875" style="2"/>
    <col min="14091" max="14091" width="6.21875" style="2" customWidth="1"/>
    <col min="14092" max="14092" width="5.5546875" style="2" customWidth="1"/>
    <col min="14093" max="14093" width="10.77734375" style="2" customWidth="1"/>
    <col min="14094" max="14094" width="8.21875" style="2" customWidth="1"/>
    <col min="14095" max="14095" width="12.21875" style="2" customWidth="1"/>
    <col min="14096" max="14096" width="10.21875" style="2" customWidth="1"/>
    <col min="14097" max="14097" width="9.21875" style="2" customWidth="1"/>
    <col min="14098" max="14336" width="9.21875" style="2"/>
    <col min="14337" max="14337" width="4.21875" style="2" customWidth="1"/>
    <col min="14338" max="14338" width="2.5546875" style="2" customWidth="1"/>
    <col min="14339" max="14340" width="9.21875" style="2"/>
    <col min="14341" max="14341" width="7.21875" style="2" customWidth="1"/>
    <col min="14342" max="14342" width="8.21875" style="2" customWidth="1"/>
    <col min="14343" max="14344" width="10.21875" style="2" customWidth="1"/>
    <col min="14345" max="14345" width="3.77734375" style="2" customWidth="1"/>
    <col min="14346" max="14346" width="9.21875" style="2"/>
    <col min="14347" max="14347" width="6.21875" style="2" customWidth="1"/>
    <col min="14348" max="14348" width="5.5546875" style="2" customWidth="1"/>
    <col min="14349" max="14349" width="10.77734375" style="2" customWidth="1"/>
    <col min="14350" max="14350" width="8.21875" style="2" customWidth="1"/>
    <col min="14351" max="14351" width="12.21875" style="2" customWidth="1"/>
    <col min="14352" max="14352" width="10.21875" style="2" customWidth="1"/>
    <col min="14353" max="14353" width="9.21875" style="2" customWidth="1"/>
    <col min="14354" max="14592" width="9.21875" style="2"/>
    <col min="14593" max="14593" width="4.21875" style="2" customWidth="1"/>
    <col min="14594" max="14594" width="2.5546875" style="2" customWidth="1"/>
    <col min="14595" max="14596" width="9.21875" style="2"/>
    <col min="14597" max="14597" width="7.21875" style="2" customWidth="1"/>
    <col min="14598" max="14598" width="8.21875" style="2" customWidth="1"/>
    <col min="14599" max="14600" width="10.21875" style="2" customWidth="1"/>
    <col min="14601" max="14601" width="3.77734375" style="2" customWidth="1"/>
    <col min="14602" max="14602" width="9.21875" style="2"/>
    <col min="14603" max="14603" width="6.21875" style="2" customWidth="1"/>
    <col min="14604" max="14604" width="5.5546875" style="2" customWidth="1"/>
    <col min="14605" max="14605" width="10.77734375" style="2" customWidth="1"/>
    <col min="14606" max="14606" width="8.21875" style="2" customWidth="1"/>
    <col min="14607" max="14607" width="12.21875" style="2" customWidth="1"/>
    <col min="14608" max="14608" width="10.21875" style="2" customWidth="1"/>
    <col min="14609" max="14609" width="9.21875" style="2" customWidth="1"/>
    <col min="14610" max="14848" width="9.21875" style="2"/>
    <col min="14849" max="14849" width="4.21875" style="2" customWidth="1"/>
    <col min="14850" max="14850" width="2.5546875" style="2" customWidth="1"/>
    <col min="14851" max="14852" width="9.21875" style="2"/>
    <col min="14853" max="14853" width="7.21875" style="2" customWidth="1"/>
    <col min="14854" max="14854" width="8.21875" style="2" customWidth="1"/>
    <col min="14855" max="14856" width="10.21875" style="2" customWidth="1"/>
    <col min="14857" max="14857" width="3.77734375" style="2" customWidth="1"/>
    <col min="14858" max="14858" width="9.21875" style="2"/>
    <col min="14859" max="14859" width="6.21875" style="2" customWidth="1"/>
    <col min="14860" max="14860" width="5.5546875" style="2" customWidth="1"/>
    <col min="14861" max="14861" width="10.77734375" style="2" customWidth="1"/>
    <col min="14862" max="14862" width="8.21875" style="2" customWidth="1"/>
    <col min="14863" max="14863" width="12.21875" style="2" customWidth="1"/>
    <col min="14864" max="14864" width="10.21875" style="2" customWidth="1"/>
    <col min="14865" max="14865" width="9.21875" style="2" customWidth="1"/>
    <col min="14866" max="15104" width="9.21875" style="2"/>
    <col min="15105" max="15105" width="4.21875" style="2" customWidth="1"/>
    <col min="15106" max="15106" width="2.5546875" style="2" customWidth="1"/>
    <col min="15107" max="15108" width="9.21875" style="2"/>
    <col min="15109" max="15109" width="7.21875" style="2" customWidth="1"/>
    <col min="15110" max="15110" width="8.21875" style="2" customWidth="1"/>
    <col min="15111" max="15112" width="10.21875" style="2" customWidth="1"/>
    <col min="15113" max="15113" width="3.77734375" style="2" customWidth="1"/>
    <col min="15114" max="15114" width="9.21875" style="2"/>
    <col min="15115" max="15115" width="6.21875" style="2" customWidth="1"/>
    <col min="15116" max="15116" width="5.5546875" style="2" customWidth="1"/>
    <col min="15117" max="15117" width="10.77734375" style="2" customWidth="1"/>
    <col min="15118" max="15118" width="8.21875" style="2" customWidth="1"/>
    <col min="15119" max="15119" width="12.21875" style="2" customWidth="1"/>
    <col min="15120" max="15120" width="10.21875" style="2" customWidth="1"/>
    <col min="15121" max="15121" width="9.21875" style="2" customWidth="1"/>
    <col min="15122" max="15360" width="9.21875" style="2"/>
    <col min="15361" max="15361" width="4.21875" style="2" customWidth="1"/>
    <col min="15362" max="15362" width="2.5546875" style="2" customWidth="1"/>
    <col min="15363" max="15364" width="9.21875" style="2"/>
    <col min="15365" max="15365" width="7.21875" style="2" customWidth="1"/>
    <col min="15366" max="15366" width="8.21875" style="2" customWidth="1"/>
    <col min="15367" max="15368" width="10.21875" style="2" customWidth="1"/>
    <col min="15369" max="15369" width="3.77734375" style="2" customWidth="1"/>
    <col min="15370" max="15370" width="9.21875" style="2"/>
    <col min="15371" max="15371" width="6.21875" style="2" customWidth="1"/>
    <col min="15372" max="15372" width="5.5546875" style="2" customWidth="1"/>
    <col min="15373" max="15373" width="10.77734375" style="2" customWidth="1"/>
    <col min="15374" max="15374" width="8.21875" style="2" customWidth="1"/>
    <col min="15375" max="15375" width="12.21875" style="2" customWidth="1"/>
    <col min="15376" max="15376" width="10.21875" style="2" customWidth="1"/>
    <col min="15377" max="15377" width="9.21875" style="2" customWidth="1"/>
    <col min="15378" max="15616" width="9.21875" style="2"/>
    <col min="15617" max="15617" width="4.21875" style="2" customWidth="1"/>
    <col min="15618" max="15618" width="2.5546875" style="2" customWidth="1"/>
    <col min="15619" max="15620" width="9.21875" style="2"/>
    <col min="15621" max="15621" width="7.21875" style="2" customWidth="1"/>
    <col min="15622" max="15622" width="8.21875" style="2" customWidth="1"/>
    <col min="15623" max="15624" width="10.21875" style="2" customWidth="1"/>
    <col min="15625" max="15625" width="3.77734375" style="2" customWidth="1"/>
    <col min="15626" max="15626" width="9.21875" style="2"/>
    <col min="15627" max="15627" width="6.21875" style="2" customWidth="1"/>
    <col min="15628" max="15628" width="5.5546875" style="2" customWidth="1"/>
    <col min="15629" max="15629" width="10.77734375" style="2" customWidth="1"/>
    <col min="15630" max="15630" width="8.21875" style="2" customWidth="1"/>
    <col min="15631" max="15631" width="12.21875" style="2" customWidth="1"/>
    <col min="15632" max="15632" width="10.21875" style="2" customWidth="1"/>
    <col min="15633" max="15633" width="9.21875" style="2" customWidth="1"/>
    <col min="15634" max="15872" width="9.21875" style="2"/>
    <col min="15873" max="15873" width="4.21875" style="2" customWidth="1"/>
    <col min="15874" max="15874" width="2.5546875" style="2" customWidth="1"/>
    <col min="15875" max="15876" width="9.21875" style="2"/>
    <col min="15877" max="15877" width="7.21875" style="2" customWidth="1"/>
    <col min="15878" max="15878" width="8.21875" style="2" customWidth="1"/>
    <col min="15879" max="15880" width="10.21875" style="2" customWidth="1"/>
    <col min="15881" max="15881" width="3.77734375" style="2" customWidth="1"/>
    <col min="15882" max="15882" width="9.21875" style="2"/>
    <col min="15883" max="15883" width="6.21875" style="2" customWidth="1"/>
    <col min="15884" max="15884" width="5.5546875" style="2" customWidth="1"/>
    <col min="15885" max="15885" width="10.77734375" style="2" customWidth="1"/>
    <col min="15886" max="15886" width="8.21875" style="2" customWidth="1"/>
    <col min="15887" max="15887" width="12.21875" style="2" customWidth="1"/>
    <col min="15888" max="15888" width="10.21875" style="2" customWidth="1"/>
    <col min="15889" max="15889" width="9.21875" style="2" customWidth="1"/>
    <col min="15890" max="16128" width="9.21875" style="2"/>
    <col min="16129" max="16129" width="4.21875" style="2" customWidth="1"/>
    <col min="16130" max="16130" width="2.5546875" style="2" customWidth="1"/>
    <col min="16131" max="16132" width="9.21875" style="2"/>
    <col min="16133" max="16133" width="7.21875" style="2" customWidth="1"/>
    <col min="16134" max="16134" width="8.21875" style="2" customWidth="1"/>
    <col min="16135" max="16136" width="10.21875" style="2" customWidth="1"/>
    <col min="16137" max="16137" width="3.77734375" style="2" customWidth="1"/>
    <col min="16138" max="16138" width="9.21875" style="2"/>
    <col min="16139" max="16139" width="6.21875" style="2" customWidth="1"/>
    <col min="16140" max="16140" width="5.5546875" style="2" customWidth="1"/>
    <col min="16141" max="16141" width="10.77734375" style="2" customWidth="1"/>
    <col min="16142" max="16142" width="8.21875" style="2" customWidth="1"/>
    <col min="16143" max="16143" width="12.21875" style="2" customWidth="1"/>
    <col min="16144" max="16144" width="10.21875" style="2" customWidth="1"/>
    <col min="16145" max="16145" width="9.21875" style="2" customWidth="1"/>
    <col min="16146" max="16384" width="9.21875" style="2"/>
  </cols>
  <sheetData>
    <row r="1" spans="1:18" ht="15.6">
      <c r="A1" s="1220" t="s">
        <v>20</v>
      </c>
      <c r="B1" s="1220"/>
      <c r="C1" s="1220"/>
      <c r="D1" s="1220"/>
      <c r="E1" s="1220"/>
      <c r="F1" s="1220"/>
      <c r="G1" s="1220"/>
      <c r="H1" s="1220"/>
      <c r="I1" s="1220"/>
      <c r="J1" s="1220"/>
      <c r="K1" s="1220"/>
      <c r="L1" s="1220"/>
      <c r="M1" s="1220"/>
      <c r="N1" s="1220"/>
      <c r="O1" s="1220"/>
      <c r="P1" s="49"/>
      <c r="Q1" s="50"/>
      <c r="R1" s="49"/>
    </row>
    <row r="2" spans="1:18" ht="15.6">
      <c r="A2" s="1220" t="s">
        <v>42</v>
      </c>
      <c r="B2" s="1220"/>
      <c r="C2" s="1220"/>
      <c r="D2" s="1220"/>
      <c r="E2" s="1220"/>
      <c r="F2" s="1220"/>
      <c r="G2" s="1220"/>
      <c r="H2" s="1220"/>
      <c r="I2" s="1220"/>
      <c r="J2" s="1220"/>
      <c r="K2" s="1220"/>
      <c r="L2" s="1220"/>
      <c r="M2" s="1220"/>
      <c r="N2" s="1220"/>
      <c r="O2" s="1220"/>
    </row>
    <row r="3" spans="1:18" ht="15" customHeight="1">
      <c r="A3" s="1225" t="s">
        <v>48</v>
      </c>
      <c r="B3" s="1225"/>
      <c r="C3" s="1225"/>
      <c r="D3" s="1225"/>
      <c r="E3" s="1225"/>
      <c r="F3" s="1225"/>
      <c r="G3" s="1225"/>
      <c r="H3" s="1225"/>
      <c r="I3" s="1225"/>
      <c r="J3" s="1225"/>
      <c r="K3" s="1225"/>
      <c r="L3" s="1225"/>
      <c r="M3" s="1225"/>
      <c r="N3" s="1225"/>
      <c r="O3" s="1225"/>
    </row>
    <row r="4" spans="1:18" ht="7.5" customHeight="1"/>
    <row r="5" spans="1:18" ht="39" customHeight="1">
      <c r="A5" s="33" t="s">
        <v>22</v>
      </c>
      <c r="F5" s="34" t="s">
        <v>23</v>
      </c>
      <c r="H5" s="35" t="s">
        <v>24</v>
      </c>
      <c r="I5" s="36"/>
      <c r="J5" s="1221" t="s">
        <v>25</v>
      </c>
      <c r="K5" s="1217"/>
      <c r="M5" s="3" t="s">
        <v>26</v>
      </c>
      <c r="O5" s="37" t="s">
        <v>27</v>
      </c>
    </row>
    <row r="6" spans="1:18" ht="6.75" customHeight="1"/>
    <row r="7" spans="1:18" ht="15">
      <c r="B7" s="5" t="s">
        <v>6</v>
      </c>
      <c r="F7" s="38">
        <f>IF('Input (3)'!$G$4=0," ",'Input (3)'!$G$4)</f>
        <v>20.68</v>
      </c>
      <c r="G7" s="39"/>
      <c r="J7" s="1222">
        <f>IF('Input (3)'!G4=0,"0",'Input (3)'!G4)</f>
        <v>20.68</v>
      </c>
      <c r="K7" s="1222"/>
      <c r="L7" s="40" t="s">
        <v>28</v>
      </c>
      <c r="M7" s="41">
        <f>IF('Input (3)'!G4=0,0,LOOKUP(J7,'criteria (3)'!$A$3:$A$10,'criteria (3)'!$B$3:$B$10))</f>
        <v>40</v>
      </c>
      <c r="N7" s="42" t="s">
        <v>29</v>
      </c>
      <c r="O7" s="38">
        <f>IF(Q7=0,0,IF(Q7&lt;LOOKUP(J7,'criteria (3)'!$A$3:$A$10,'criteria (3)'!$C$3:$C$10),LOOKUP(J7,'criteria (3)'!$A$3:$A$10,'criteria (3)'!$C$3:$C$10),IF(LOOKUP(J7,'criteria (3)'!$A$3:$A$10,'criteria (3)'!$C$3:$C$10)=0,0,Q7)))</f>
        <v>0.6</v>
      </c>
      <c r="P7" s="28" t="str">
        <f>IF('Input (3)'!G4=0," ",IF(O7=0,"ADD to 1-6",IF(O7=Q7," ","Minimum")))</f>
        <v>Minimum</v>
      </c>
      <c r="Q7" s="32">
        <f>ROUND(IF('Input (3)'!G4=0,0,IF(M7=0,0,(J7/M7))),2)</f>
        <v>0.52</v>
      </c>
    </row>
    <row r="8" spans="1:18" ht="6.75" customHeight="1">
      <c r="J8" s="43"/>
      <c r="K8" s="43"/>
      <c r="O8" s="43"/>
    </row>
    <row r="9" spans="1:18">
      <c r="B9" s="5" t="s">
        <v>7</v>
      </c>
      <c r="J9" s="43"/>
      <c r="K9" s="43"/>
      <c r="O9" s="43"/>
    </row>
    <row r="10" spans="1:18">
      <c r="B10" s="28" t="s">
        <v>30</v>
      </c>
      <c r="J10" s="43"/>
      <c r="K10" s="43"/>
      <c r="O10" s="43"/>
    </row>
    <row r="11" spans="1:18" ht="16.5" customHeight="1">
      <c r="C11" s="12" t="s">
        <v>8</v>
      </c>
      <c r="F11" s="41" t="str">
        <f>IF(J11=0," ",IF($J$16&gt;300," ",'Input (3)'!G7))</f>
        <v xml:space="preserve"> </v>
      </c>
      <c r="G11" s="44" t="s">
        <v>31</v>
      </c>
      <c r="H11" s="38" t="str">
        <f>IF(J11=0," ",'C (3)'!H25)</f>
        <v xml:space="preserve"> </v>
      </c>
      <c r="I11" s="42" t="s">
        <v>29</v>
      </c>
      <c r="J11" s="1222">
        <f>IF('Input (3)'!G7=0,0,IF(SUM('Input (3)'!G7-'C (3)'!H25)+SUM('Input (3)'!G8-'C (3)'!H26)&gt;299.99,SUM('Input (3)'!G7-'C (3)'!H25),0))</f>
        <v>0</v>
      </c>
      <c r="K11" s="1222"/>
      <c r="L11" s="40" t="s">
        <v>28</v>
      </c>
      <c r="M11" s="41">
        <f>IF(SUM('Input (3)'!$G$7-'C (3)'!$H$25)+SUM('Input (3)'!$G$8-'C (3)'!$H$26)&gt;299.99,20,0)</f>
        <v>0</v>
      </c>
      <c r="N11" s="42" t="s">
        <v>29</v>
      </c>
      <c r="O11" s="38">
        <f>ROUND(IF(SUM('Input (3)'!$G$7-'C (3)'!$H$25)+SUM('Input (3)'!$G$8-'C (3)'!$H$26)&lt;299.99,0,IF(Q11+Q13&lt;15,0,(J11/M11))),2)</f>
        <v>0</v>
      </c>
      <c r="P11" s="2" t="str">
        <f>IF(O11=0," ",IF(O11=Q11," ","Minimum"))</f>
        <v xml:space="preserve"> </v>
      </c>
      <c r="Q11" s="32">
        <f>ROUND(IF(SUM('Input (3)'!$G$7-'C (3)'!$H$25)+SUM('Input (3)'!$G$8-'C (3)'!$H$26)&lt;299.99,0,(J11/M11)),2)</f>
        <v>0</v>
      </c>
    </row>
    <row r="12" spans="1:18" ht="9" customHeight="1">
      <c r="B12" s="12"/>
      <c r="J12" s="43"/>
      <c r="K12" s="43"/>
      <c r="O12" s="43"/>
    </row>
    <row r="13" spans="1:18" ht="15">
      <c r="C13" s="12" t="s">
        <v>9</v>
      </c>
      <c r="F13" s="41" t="str">
        <f>IF(J13=0," ",IF($J$16&gt;300," ",'Input (3)'!G8))</f>
        <v xml:space="preserve"> </v>
      </c>
      <c r="G13" s="44" t="s">
        <v>31</v>
      </c>
      <c r="H13" s="38" t="str">
        <f>IF(J13=0," ",'C (3)'!H26)</f>
        <v xml:space="preserve"> </v>
      </c>
      <c r="I13" s="42" t="s">
        <v>29</v>
      </c>
      <c r="J13" s="1222">
        <f>IF('Input (3)'!G8=0,0,IF(SUM('Input (3)'!G7-'C (3)'!H25)+SUM('Input (3)'!G8-'C (3)'!H26)&gt;299.99,SUM('Input (3)'!G8-'C (3)'!H26),0))</f>
        <v>0</v>
      </c>
      <c r="K13" s="1222"/>
      <c r="L13" s="40" t="s">
        <v>28</v>
      </c>
      <c r="M13" s="41">
        <f>IF(SUM('Input (3)'!$G$7-'C (3)'!$H$25)+SUM('Input (3)'!$G$8-'C (3)'!$H$26)&gt;299.99,23,0)</f>
        <v>0</v>
      </c>
      <c r="N13" s="42" t="s">
        <v>29</v>
      </c>
      <c r="O13" s="38">
        <f>ROUND(IF(SUM('Input (3)'!$G$7-'C (3)'!$H$25)+SUM('Input (3)'!$G$8-'C (3)'!$H$26)&lt;299.99,0,IF(Q11+Q13&lt;15,0,($J$13/$M$13))),2)</f>
        <v>0</v>
      </c>
      <c r="P13" s="2" t="str">
        <f>IF(O13=0," ",IF(O13=Q13," ","Minimum"))</f>
        <v xml:space="preserve"> </v>
      </c>
      <c r="Q13" s="32">
        <f>ROUND(IF(SUM('Input (3)'!$G$7-'C (3)'!$H$25)+SUM('Input (3)'!$G$8-'C (3)'!$H$26)&lt;299.99,0,($J$13/$M$13)),2)</f>
        <v>0</v>
      </c>
    </row>
    <row r="14" spans="1:18" ht="15">
      <c r="B14" s="5" t="s">
        <v>7</v>
      </c>
      <c r="F14" s="36"/>
      <c r="G14" s="44"/>
      <c r="H14" s="39"/>
      <c r="I14" s="42"/>
      <c r="O14" s="39" t="str">
        <f>IF(P14="Minimum",15," ")</f>
        <v xml:space="preserve"> </v>
      </c>
      <c r="P14" s="2" t="str">
        <f>IF(Q11+Q13=0," ",IF(Q11+Q13&lt;15,"Minimum"," "))</f>
        <v xml:space="preserve"> </v>
      </c>
    </row>
    <row r="15" spans="1:18">
      <c r="B15" s="28" t="s">
        <v>32</v>
      </c>
      <c r="O15" s="43"/>
    </row>
    <row r="16" spans="1:18" ht="15">
      <c r="C16" s="12" t="s">
        <v>33</v>
      </c>
      <c r="F16" s="41">
        <f>IF(J16=0," ",IF(J16&lt;300,SUM('Input (3)'!G7+'Input (3)'!G8)," "))</f>
        <v>79.900000000000006</v>
      </c>
      <c r="G16" s="44" t="s">
        <v>31</v>
      </c>
      <c r="H16" s="38">
        <f>IF(J16=0," ",'C (3)'!H22)</f>
        <v>6.42</v>
      </c>
      <c r="I16" s="42" t="s">
        <v>29</v>
      </c>
      <c r="J16" s="1222">
        <f>IF('Input (3)'!G9=0,0,IF(SUM('Input (3)'!G7-'C (3)'!H25)+SUM('Input (3)'!G8-'C (3)'!H26)&lt;300,IF(P7="ADD to 1-6",SUM('Input (3)'!G7-'C (3)'!H25)+SUM('Input (3)'!G8-'C (3)'!H26)+'Input (3)'!G4,SUM('Input (3)'!G7-'C (3)'!H25)+SUM('Input (3)'!G8-'C (3)'!H26)),0))</f>
        <v>73.48</v>
      </c>
      <c r="K16" s="1222"/>
      <c r="L16" s="40" t="s">
        <v>28</v>
      </c>
      <c r="M16" s="41">
        <f>IF(SUM('Input (3)'!$G$7-'C (3)'!$H$25)+SUM('Input (3)'!$G$8-'C (3)'!$H$26)&lt;299.99,LOOKUP(J16,'criteria (3)'!$M$3:$M$11,'criteria (3)'!$N$3:$N$11),0)</f>
        <v>16</v>
      </c>
      <c r="N16" s="42" t="s">
        <v>29</v>
      </c>
      <c r="O16" s="38">
        <f>IF(Q16=0,0,IF(Q16&lt;LOOKUP(J16,'criteria (3)'!$M$3:$M$10,'criteria (3)'!$O$3:$O$10),LOOKUP(J16,'criteria (3)'!$M$3:$M$10,'criteria (3)'!$O$3:$O$10),Q16))</f>
        <v>4.7</v>
      </c>
      <c r="P16" s="2" t="str">
        <f>IF(O16=0," ",IF(O16=Q16," ","Minimum"))</f>
        <v>Minimum</v>
      </c>
      <c r="Q16" s="32">
        <f>ROUND(IF('Input (3)'!G9=0,0,IF(SUM('Input (3)'!$G$7-'C (3)'!$H$25)+SUM('Input (3)'!$G$8-'C (3)'!$H$26)&gt;299.99,0,(J16/M16))),2)</f>
        <v>4.59</v>
      </c>
    </row>
    <row r="17" spans="1:17" ht="6" customHeight="1">
      <c r="J17" s="43"/>
      <c r="K17" s="43"/>
      <c r="O17" s="43"/>
    </row>
    <row r="18" spans="1:17" ht="15">
      <c r="B18" s="5" t="s">
        <v>10</v>
      </c>
      <c r="F18" s="41">
        <f>IF(J18=0," ",'Input (3)'!G10)</f>
        <v>95.88</v>
      </c>
      <c r="G18" s="44" t="s">
        <v>31</v>
      </c>
      <c r="H18" s="38"/>
      <c r="I18" s="42" t="s">
        <v>29</v>
      </c>
      <c r="J18" s="1222">
        <f>IF('Input (3)'!G10=0,0,'Input (3)'!G10)</f>
        <v>95.88</v>
      </c>
      <c r="K18" s="1222"/>
      <c r="L18" s="40" t="s">
        <v>28</v>
      </c>
      <c r="M18" s="41">
        <f>IF(J18=0,0,IF(J18&gt;99.99,LOOKUP(J18,'criteria (3)'!Q3:Q10,'criteria (3)'!R3:R10),12))</f>
        <v>12</v>
      </c>
      <c r="N18" s="42" t="s">
        <v>29</v>
      </c>
      <c r="O18" s="38">
        <f>ROUND(IF(J18=0,0,IF(J18&lt;99.99,IF(M18=0,8,(J18/M18)),IF(Q18&lt;LOOKUP(J18,'criteria (3)'!$Q$3:$Q$10,'criteria (3)'!$S$3:$S$10),LOOKUP(J18,'criteria (3)'!$Q$3:$Q$10,'criteria (3)'!$S$3:$S$10),Q18))),2)</f>
        <v>7.99</v>
      </c>
      <c r="P18" s="2" t="str">
        <f>IF(O18=0," ",IF(O18=Q18," ","Minimum"))</f>
        <v xml:space="preserve"> </v>
      </c>
      <c r="Q18" s="32">
        <f>ROUND(IF(M18=0,0,(J18/M18)),2)</f>
        <v>7.99</v>
      </c>
    </row>
    <row r="19" spans="1:17">
      <c r="B19" s="5"/>
      <c r="J19" s="39"/>
      <c r="K19" s="39"/>
      <c r="M19" s="36"/>
      <c r="N19" s="42"/>
      <c r="O19" s="36"/>
    </row>
    <row r="20" spans="1:17" ht="15.6">
      <c r="A20" s="48" t="s">
        <v>43</v>
      </c>
      <c r="J20" s="43"/>
      <c r="K20" s="43"/>
    </row>
    <row r="21" spans="1:17" ht="3.75" customHeight="1">
      <c r="J21" s="43"/>
      <c r="K21" s="43"/>
    </row>
    <row r="22" spans="1:17">
      <c r="B22" s="2" t="s">
        <v>44</v>
      </c>
      <c r="J22" s="1222" t="str">
        <f>IF('C (3)'!H55=0," ",'C (3)'!H55)</f>
        <v xml:space="preserve"> </v>
      </c>
      <c r="K22" s="1222"/>
    </row>
    <row r="23" spans="1:17" ht="6" customHeight="1">
      <c r="J23" s="43"/>
      <c r="K23" s="43"/>
    </row>
    <row r="24" spans="1:17">
      <c r="B24" s="2" t="s">
        <v>45</v>
      </c>
      <c r="J24" s="1222">
        <f>IF('C (3)'!H22=0," ",'C (3)'!H22)</f>
        <v>6.42</v>
      </c>
      <c r="K24" s="1222"/>
    </row>
    <row r="25" spans="1:17" ht="6" customHeight="1">
      <c r="J25" s="43"/>
      <c r="K25" s="43"/>
    </row>
    <row r="26" spans="1:17">
      <c r="B26" s="2" t="s">
        <v>46</v>
      </c>
      <c r="J26" s="1222">
        <f>0</f>
        <v>0</v>
      </c>
      <c r="K26" s="1222"/>
    </row>
    <row r="27" spans="1:17" ht="6" customHeight="1">
      <c r="J27" s="43"/>
      <c r="K27" s="43"/>
    </row>
    <row r="28" spans="1:17" ht="6" customHeight="1">
      <c r="J28" s="39"/>
      <c r="K28" s="39"/>
    </row>
    <row r="29" spans="1:17" ht="13.5" customHeight="1" thickBot="1">
      <c r="B29" s="46" t="s">
        <v>47</v>
      </c>
      <c r="J29" s="1219">
        <f>SUM(J22:K27)</f>
        <v>6.42</v>
      </c>
      <c r="K29" s="1219"/>
      <c r="L29" s="40" t="s">
        <v>28</v>
      </c>
      <c r="M29" s="41">
        <f>IF(SUM('Input (3)'!C4:C10)=0,0,IF(J29&gt;=14,LOOKUP(J29,'criteria (3)'!$U$3:$U$10,'criteria (3)'!$V$3:$V$10),0))</f>
        <v>0</v>
      </c>
      <c r="N29" s="42" t="s">
        <v>29</v>
      </c>
      <c r="O29" s="38">
        <f>IF(J29=0,0,IF(Q29&lt;LOOKUP(J29,'criteria (3)'!$U$3:$U$10,'criteria (3)'!$W$3:$W$10),LOOKUP(J29,'criteria (3)'!$U$3:$U$10,'criteria (3)'!$W$3:$W$10),Q29))</f>
        <v>0.5</v>
      </c>
      <c r="P29" s="2" t="str">
        <f>IF(O29=0," ",IF(O29=Q29," ","Minimum"))</f>
        <v>Minimum</v>
      </c>
      <c r="Q29" s="32">
        <f>ROUND(IF(SUM('Input (3)'!C4:C10)=0,0,IF(M29=0,0,(J29/M29))),2)</f>
        <v>0</v>
      </c>
    </row>
    <row r="30" spans="1:17" ht="12" customHeight="1" thickTop="1">
      <c r="B30" s="1226"/>
      <c r="C30" s="1226"/>
      <c r="D30" s="1226"/>
      <c r="E30" s="1226"/>
      <c r="F30" s="47"/>
      <c r="G30" s="47"/>
      <c r="H30" s="47"/>
      <c r="J30" s="12"/>
      <c r="N30" s="42"/>
      <c r="O30" s="39"/>
      <c r="P30" s="46"/>
    </row>
    <row r="31" spans="1:17" ht="19.5" customHeight="1">
      <c r="A31" s="48" t="s">
        <v>39</v>
      </c>
      <c r="O31" s="43"/>
    </row>
    <row r="32" spans="1:17" ht="15">
      <c r="B32" s="1227" t="str">
        <f>IF('Input (3)'!E14=0," ","Alternative Secondary High School")</f>
        <v xml:space="preserve"> </v>
      </c>
      <c r="C32" s="1227"/>
      <c r="D32" s="1227"/>
      <c r="E32" s="1227"/>
      <c r="F32" s="1227"/>
      <c r="J32" s="1222">
        <f>'Input (3)'!G14</f>
        <v>0</v>
      </c>
      <c r="K32" s="1222"/>
      <c r="L32" s="40" t="s">
        <v>28</v>
      </c>
      <c r="M32" s="41">
        <f>IF(J32=0,0,IF(Q32&lt;1,M18,12))</f>
        <v>0</v>
      </c>
      <c r="N32" s="42" t="s">
        <v>29</v>
      </c>
      <c r="O32" s="38">
        <f>ROUND(IF(J32=0,0,J32/M32),2)</f>
        <v>0</v>
      </c>
      <c r="P32" s="45"/>
      <c r="Q32" s="32">
        <f>ROUND(IF(J32=0,0,J32/12),2)</f>
        <v>0</v>
      </c>
    </row>
    <row r="33" spans="1:17" ht="11.25" customHeight="1">
      <c r="J33" s="43"/>
      <c r="K33" s="43"/>
      <c r="O33" s="43"/>
    </row>
    <row r="34" spans="1:17" ht="11.25" customHeight="1">
      <c r="B34" s="1227" t="str">
        <f>IF('Input (3)'!E15=0," ","Summer Alternative Secondary High School")</f>
        <v xml:space="preserve"> </v>
      </c>
      <c r="C34" s="1227"/>
      <c r="D34" s="1227"/>
      <c r="E34" s="1227"/>
      <c r="F34" s="1227"/>
      <c r="J34" s="1222">
        <f>'Input (3)'!E15</f>
        <v>0</v>
      </c>
      <c r="K34" s="1222"/>
      <c r="L34" s="40" t="s">
        <v>28</v>
      </c>
      <c r="M34" s="41">
        <f>IF(J34=0,0,40)</f>
        <v>0</v>
      </c>
      <c r="N34" s="42" t="s">
        <v>29</v>
      </c>
      <c r="O34" s="38">
        <f>ROUND(IF(J34=0,0,J34/M34),2)</f>
        <v>0</v>
      </c>
      <c r="P34" s="45"/>
      <c r="Q34" s="32">
        <f>ROUND(IF(J34=0,0,J34/12),2)</f>
        <v>0</v>
      </c>
    </row>
    <row r="35" spans="1:17" ht="13.5" customHeight="1">
      <c r="J35" s="36"/>
      <c r="K35" s="36"/>
      <c r="L35" s="40"/>
      <c r="M35" s="36"/>
      <c r="N35" s="42"/>
      <c r="O35" s="36"/>
      <c r="P35" s="46"/>
    </row>
    <row r="36" spans="1:17" ht="18.75" customHeight="1" thickBot="1">
      <c r="A36" s="45"/>
      <c r="B36" s="12" t="s">
        <v>40</v>
      </c>
      <c r="C36" s="46"/>
      <c r="D36" s="46"/>
      <c r="E36" s="46"/>
      <c r="F36" s="46"/>
      <c r="G36" s="46"/>
      <c r="H36" s="46"/>
      <c r="I36" s="46"/>
      <c r="J36" s="46"/>
      <c r="K36" s="46"/>
      <c r="M36" s="36"/>
      <c r="O36" s="52">
        <f>ROUND(IF(SUM(O7:O34)=0,0,SUM(O7:O34)),2)</f>
        <v>13.79</v>
      </c>
    </row>
    <row r="37" spans="1:17" ht="13.8" thickTop="1">
      <c r="M37" s="1218" t="str">
        <f>IF(O36=0," ",IF(O36&lt;'Best 28 (3)'!O36,"Do Not Use","You May Use this Calculation"))</f>
        <v>Do Not Use</v>
      </c>
      <c r="N37" s="1218"/>
      <c r="O37" s="1218"/>
      <c r="P37" s="1218"/>
    </row>
  </sheetData>
  <sheetProtection password="CDD6" sheet="1" objects="1" scenarios="1"/>
  <mergeCells count="19">
    <mergeCell ref="M37:P37"/>
    <mergeCell ref="J29:K29"/>
    <mergeCell ref="B30:E30"/>
    <mergeCell ref="B32:F32"/>
    <mergeCell ref="J32:K32"/>
    <mergeCell ref="B34:F34"/>
    <mergeCell ref="J34:K34"/>
    <mergeCell ref="J26:K26"/>
    <mergeCell ref="A1:O1"/>
    <mergeCell ref="A2:O2"/>
    <mergeCell ref="A3:O3"/>
    <mergeCell ref="J5:K5"/>
    <mergeCell ref="J7:K7"/>
    <mergeCell ref="J11:K11"/>
    <mergeCell ref="J13:K13"/>
    <mergeCell ref="J16:K16"/>
    <mergeCell ref="J18:K18"/>
    <mergeCell ref="J22:K22"/>
    <mergeCell ref="J24:K24"/>
  </mergeCells>
  <conditionalFormatting sqref="M37:P37">
    <cfRule type="cellIs" dxfId="36" priority="1" stopIfTrue="1" operator="equal">
      <formula>"Do Not Use"</formula>
    </cfRule>
    <cfRule type="cellIs" dxfId="35" priority="2" stopIfTrue="1" operator="equal">
      <formula>"You May Use this Calculation"</formula>
    </cfRule>
  </conditionalFormatting>
  <pageMargins left="0.5" right="0.5" top="0.5" bottom="0.5" header="0.25" footer="0.25"/>
  <pageSetup scale="76" orientation="portrait" r:id="rId1"/>
  <headerFooter alignWithMargins="0">
    <oddFooter>&amp;L&amp;F</oddFooter>
  </headerFooter>
  <colBreaks count="1" manualBreakCount="1">
    <brk id="16"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dimension ref="A1:K57"/>
  <sheetViews>
    <sheetView showGridLines="0" zoomScaleNormal="100" workbookViewId="0">
      <selection activeCell="A2" sqref="A2:O2"/>
    </sheetView>
  </sheetViews>
  <sheetFormatPr defaultRowHeight="13.2"/>
  <cols>
    <col min="1" max="1" width="6" style="30" customWidth="1"/>
    <col min="2" max="5" width="9.21875" style="2"/>
    <col min="6" max="6" width="17.21875" style="2" customWidth="1"/>
    <col min="7" max="7" width="2.77734375" style="30" customWidth="1"/>
    <col min="8" max="9" width="9.21875" style="2"/>
    <col min="10" max="10" width="6.5546875" style="2" customWidth="1"/>
    <col min="11" max="11" width="10.21875" style="2" bestFit="1" customWidth="1"/>
    <col min="12" max="256" width="9.21875" style="2"/>
    <col min="257" max="257" width="6" style="2" customWidth="1"/>
    <col min="258" max="261" width="9.21875" style="2"/>
    <col min="262" max="262" width="17.21875" style="2" customWidth="1"/>
    <col min="263" max="263" width="2.77734375" style="2" customWidth="1"/>
    <col min="264" max="265" width="9.21875" style="2"/>
    <col min="266" max="266" width="6.5546875" style="2" customWidth="1"/>
    <col min="267" max="267" width="10.21875" style="2" bestFit="1" customWidth="1"/>
    <col min="268" max="512" width="9.21875" style="2"/>
    <col min="513" max="513" width="6" style="2" customWidth="1"/>
    <col min="514" max="517" width="9.21875" style="2"/>
    <col min="518" max="518" width="17.21875" style="2" customWidth="1"/>
    <col min="519" max="519" width="2.77734375" style="2" customWidth="1"/>
    <col min="520" max="521" width="9.21875" style="2"/>
    <col min="522" max="522" width="6.5546875" style="2" customWidth="1"/>
    <col min="523" max="523" width="10.21875" style="2" bestFit="1" customWidth="1"/>
    <col min="524" max="768" width="9.21875" style="2"/>
    <col min="769" max="769" width="6" style="2" customWidth="1"/>
    <col min="770" max="773" width="9.21875" style="2"/>
    <col min="774" max="774" width="17.21875" style="2" customWidth="1"/>
    <col min="775" max="775" width="2.77734375" style="2" customWidth="1"/>
    <col min="776" max="777" width="9.21875" style="2"/>
    <col min="778" max="778" width="6.5546875" style="2" customWidth="1"/>
    <col min="779" max="779" width="10.21875" style="2" bestFit="1" customWidth="1"/>
    <col min="780" max="1024" width="9.21875" style="2"/>
    <col min="1025" max="1025" width="6" style="2" customWidth="1"/>
    <col min="1026" max="1029" width="9.21875" style="2"/>
    <col min="1030" max="1030" width="17.21875" style="2" customWidth="1"/>
    <col min="1031" max="1031" width="2.77734375" style="2" customWidth="1"/>
    <col min="1032" max="1033" width="9.21875" style="2"/>
    <col min="1034" max="1034" width="6.5546875" style="2" customWidth="1"/>
    <col min="1035" max="1035" width="10.21875" style="2" bestFit="1" customWidth="1"/>
    <col min="1036" max="1280" width="9.21875" style="2"/>
    <col min="1281" max="1281" width="6" style="2" customWidth="1"/>
    <col min="1282" max="1285" width="9.21875" style="2"/>
    <col min="1286" max="1286" width="17.21875" style="2" customWidth="1"/>
    <col min="1287" max="1287" width="2.77734375" style="2" customWidth="1"/>
    <col min="1288" max="1289" width="9.21875" style="2"/>
    <col min="1290" max="1290" width="6.5546875" style="2" customWidth="1"/>
    <col min="1291" max="1291" width="10.21875" style="2" bestFit="1" customWidth="1"/>
    <col min="1292" max="1536" width="9.21875" style="2"/>
    <col min="1537" max="1537" width="6" style="2" customWidth="1"/>
    <col min="1538" max="1541" width="9.21875" style="2"/>
    <col min="1542" max="1542" width="17.21875" style="2" customWidth="1"/>
    <col min="1543" max="1543" width="2.77734375" style="2" customWidth="1"/>
    <col min="1544" max="1545" width="9.21875" style="2"/>
    <col min="1546" max="1546" width="6.5546875" style="2" customWidth="1"/>
    <col min="1547" max="1547" width="10.21875" style="2" bestFit="1" customWidth="1"/>
    <col min="1548" max="1792" width="9.21875" style="2"/>
    <col min="1793" max="1793" width="6" style="2" customWidth="1"/>
    <col min="1794" max="1797" width="9.21875" style="2"/>
    <col min="1798" max="1798" width="17.21875" style="2" customWidth="1"/>
    <col min="1799" max="1799" width="2.77734375" style="2" customWidth="1"/>
    <col min="1800" max="1801" width="9.21875" style="2"/>
    <col min="1802" max="1802" width="6.5546875" style="2" customWidth="1"/>
    <col min="1803" max="1803" width="10.21875" style="2" bestFit="1" customWidth="1"/>
    <col min="1804" max="2048" width="9.21875" style="2"/>
    <col min="2049" max="2049" width="6" style="2" customWidth="1"/>
    <col min="2050" max="2053" width="9.21875" style="2"/>
    <col min="2054" max="2054" width="17.21875" style="2" customWidth="1"/>
    <col min="2055" max="2055" width="2.77734375" style="2" customWidth="1"/>
    <col min="2056" max="2057" width="9.21875" style="2"/>
    <col min="2058" max="2058" width="6.5546875" style="2" customWidth="1"/>
    <col min="2059" max="2059" width="10.21875" style="2" bestFit="1" customWidth="1"/>
    <col min="2060" max="2304" width="9.21875" style="2"/>
    <col min="2305" max="2305" width="6" style="2" customWidth="1"/>
    <col min="2306" max="2309" width="9.21875" style="2"/>
    <col min="2310" max="2310" width="17.21875" style="2" customWidth="1"/>
    <col min="2311" max="2311" width="2.77734375" style="2" customWidth="1"/>
    <col min="2312" max="2313" width="9.21875" style="2"/>
    <col min="2314" max="2314" width="6.5546875" style="2" customWidth="1"/>
    <col min="2315" max="2315" width="10.21875" style="2" bestFit="1" customWidth="1"/>
    <col min="2316" max="2560" width="9.21875" style="2"/>
    <col min="2561" max="2561" width="6" style="2" customWidth="1"/>
    <col min="2562" max="2565" width="9.21875" style="2"/>
    <col min="2566" max="2566" width="17.21875" style="2" customWidth="1"/>
    <col min="2567" max="2567" width="2.77734375" style="2" customWidth="1"/>
    <col min="2568" max="2569" width="9.21875" style="2"/>
    <col min="2570" max="2570" width="6.5546875" style="2" customWidth="1"/>
    <col min="2571" max="2571" width="10.21875" style="2" bestFit="1" customWidth="1"/>
    <col min="2572" max="2816" width="9.21875" style="2"/>
    <col min="2817" max="2817" width="6" style="2" customWidth="1"/>
    <col min="2818" max="2821" width="9.21875" style="2"/>
    <col min="2822" max="2822" width="17.21875" style="2" customWidth="1"/>
    <col min="2823" max="2823" width="2.77734375" style="2" customWidth="1"/>
    <col min="2824" max="2825" width="9.21875" style="2"/>
    <col min="2826" max="2826" width="6.5546875" style="2" customWidth="1"/>
    <col min="2827" max="2827" width="10.21875" style="2" bestFit="1" customWidth="1"/>
    <col min="2828" max="3072" width="9.21875" style="2"/>
    <col min="3073" max="3073" width="6" style="2" customWidth="1"/>
    <col min="3074" max="3077" width="9.21875" style="2"/>
    <col min="3078" max="3078" width="17.21875" style="2" customWidth="1"/>
    <col min="3079" max="3079" width="2.77734375" style="2" customWidth="1"/>
    <col min="3080" max="3081" width="9.21875" style="2"/>
    <col min="3082" max="3082" width="6.5546875" style="2" customWidth="1"/>
    <col min="3083" max="3083" width="10.21875" style="2" bestFit="1" customWidth="1"/>
    <col min="3084" max="3328" width="9.21875" style="2"/>
    <col min="3329" max="3329" width="6" style="2" customWidth="1"/>
    <col min="3330" max="3333" width="9.21875" style="2"/>
    <col min="3334" max="3334" width="17.21875" style="2" customWidth="1"/>
    <col min="3335" max="3335" width="2.77734375" style="2" customWidth="1"/>
    <col min="3336" max="3337" width="9.21875" style="2"/>
    <col min="3338" max="3338" width="6.5546875" style="2" customWidth="1"/>
    <col min="3339" max="3339" width="10.21875" style="2" bestFit="1" customWidth="1"/>
    <col min="3340" max="3584" width="9.21875" style="2"/>
    <col min="3585" max="3585" width="6" style="2" customWidth="1"/>
    <col min="3586" max="3589" width="9.21875" style="2"/>
    <col min="3590" max="3590" width="17.21875" style="2" customWidth="1"/>
    <col min="3591" max="3591" width="2.77734375" style="2" customWidth="1"/>
    <col min="3592" max="3593" width="9.21875" style="2"/>
    <col min="3594" max="3594" width="6.5546875" style="2" customWidth="1"/>
    <col min="3595" max="3595" width="10.21875" style="2" bestFit="1" customWidth="1"/>
    <col min="3596" max="3840" width="9.21875" style="2"/>
    <col min="3841" max="3841" width="6" style="2" customWidth="1"/>
    <col min="3842" max="3845" width="9.21875" style="2"/>
    <col min="3846" max="3846" width="17.21875" style="2" customWidth="1"/>
    <col min="3847" max="3847" width="2.77734375" style="2" customWidth="1"/>
    <col min="3848" max="3849" width="9.21875" style="2"/>
    <col min="3850" max="3850" width="6.5546875" style="2" customWidth="1"/>
    <col min="3851" max="3851" width="10.21875" style="2" bestFit="1" customWidth="1"/>
    <col min="3852" max="4096" width="9.21875" style="2"/>
    <col min="4097" max="4097" width="6" style="2" customWidth="1"/>
    <col min="4098" max="4101" width="9.21875" style="2"/>
    <col min="4102" max="4102" width="17.21875" style="2" customWidth="1"/>
    <col min="4103" max="4103" width="2.77734375" style="2" customWidth="1"/>
    <col min="4104" max="4105" width="9.21875" style="2"/>
    <col min="4106" max="4106" width="6.5546875" style="2" customWidth="1"/>
    <col min="4107" max="4107" width="10.21875" style="2" bestFit="1" customWidth="1"/>
    <col min="4108" max="4352" width="9.21875" style="2"/>
    <col min="4353" max="4353" width="6" style="2" customWidth="1"/>
    <col min="4354" max="4357" width="9.21875" style="2"/>
    <col min="4358" max="4358" width="17.21875" style="2" customWidth="1"/>
    <col min="4359" max="4359" width="2.77734375" style="2" customWidth="1"/>
    <col min="4360" max="4361" width="9.21875" style="2"/>
    <col min="4362" max="4362" width="6.5546875" style="2" customWidth="1"/>
    <col min="4363" max="4363" width="10.21875" style="2" bestFit="1" customWidth="1"/>
    <col min="4364" max="4608" width="9.21875" style="2"/>
    <col min="4609" max="4609" width="6" style="2" customWidth="1"/>
    <col min="4610" max="4613" width="9.21875" style="2"/>
    <col min="4614" max="4614" width="17.21875" style="2" customWidth="1"/>
    <col min="4615" max="4615" width="2.77734375" style="2" customWidth="1"/>
    <col min="4616" max="4617" width="9.21875" style="2"/>
    <col min="4618" max="4618" width="6.5546875" style="2" customWidth="1"/>
    <col min="4619" max="4619" width="10.21875" style="2" bestFit="1" customWidth="1"/>
    <col min="4620" max="4864" width="9.21875" style="2"/>
    <col min="4865" max="4865" width="6" style="2" customWidth="1"/>
    <col min="4866" max="4869" width="9.21875" style="2"/>
    <col min="4870" max="4870" width="17.21875" style="2" customWidth="1"/>
    <col min="4871" max="4871" width="2.77734375" style="2" customWidth="1"/>
    <col min="4872" max="4873" width="9.21875" style="2"/>
    <col min="4874" max="4874" width="6.5546875" style="2" customWidth="1"/>
    <col min="4875" max="4875" width="10.21875" style="2" bestFit="1" customWidth="1"/>
    <col min="4876" max="5120" width="9.21875" style="2"/>
    <col min="5121" max="5121" width="6" style="2" customWidth="1"/>
    <col min="5122" max="5125" width="9.21875" style="2"/>
    <col min="5126" max="5126" width="17.21875" style="2" customWidth="1"/>
    <col min="5127" max="5127" width="2.77734375" style="2" customWidth="1"/>
    <col min="5128" max="5129" width="9.21875" style="2"/>
    <col min="5130" max="5130" width="6.5546875" style="2" customWidth="1"/>
    <col min="5131" max="5131" width="10.21875" style="2" bestFit="1" customWidth="1"/>
    <col min="5132" max="5376" width="9.21875" style="2"/>
    <col min="5377" max="5377" width="6" style="2" customWidth="1"/>
    <col min="5378" max="5381" width="9.21875" style="2"/>
    <col min="5382" max="5382" width="17.21875" style="2" customWidth="1"/>
    <col min="5383" max="5383" width="2.77734375" style="2" customWidth="1"/>
    <col min="5384" max="5385" width="9.21875" style="2"/>
    <col min="5386" max="5386" width="6.5546875" style="2" customWidth="1"/>
    <col min="5387" max="5387" width="10.21875" style="2" bestFit="1" customWidth="1"/>
    <col min="5388" max="5632" width="9.21875" style="2"/>
    <col min="5633" max="5633" width="6" style="2" customWidth="1"/>
    <col min="5634" max="5637" width="9.21875" style="2"/>
    <col min="5638" max="5638" width="17.21875" style="2" customWidth="1"/>
    <col min="5639" max="5639" width="2.77734375" style="2" customWidth="1"/>
    <col min="5640" max="5641" width="9.21875" style="2"/>
    <col min="5642" max="5642" width="6.5546875" style="2" customWidth="1"/>
    <col min="5643" max="5643" width="10.21875" style="2" bestFit="1" customWidth="1"/>
    <col min="5644" max="5888" width="9.21875" style="2"/>
    <col min="5889" max="5889" width="6" style="2" customWidth="1"/>
    <col min="5890" max="5893" width="9.21875" style="2"/>
    <col min="5894" max="5894" width="17.21875" style="2" customWidth="1"/>
    <col min="5895" max="5895" width="2.77734375" style="2" customWidth="1"/>
    <col min="5896" max="5897" width="9.21875" style="2"/>
    <col min="5898" max="5898" width="6.5546875" style="2" customWidth="1"/>
    <col min="5899" max="5899" width="10.21875" style="2" bestFit="1" customWidth="1"/>
    <col min="5900" max="6144" width="9.21875" style="2"/>
    <col min="6145" max="6145" width="6" style="2" customWidth="1"/>
    <col min="6146" max="6149" width="9.21875" style="2"/>
    <col min="6150" max="6150" width="17.21875" style="2" customWidth="1"/>
    <col min="6151" max="6151" width="2.77734375" style="2" customWidth="1"/>
    <col min="6152" max="6153" width="9.21875" style="2"/>
    <col min="6154" max="6154" width="6.5546875" style="2" customWidth="1"/>
    <col min="6155" max="6155" width="10.21875" style="2" bestFit="1" customWidth="1"/>
    <col min="6156" max="6400" width="9.21875" style="2"/>
    <col min="6401" max="6401" width="6" style="2" customWidth="1"/>
    <col min="6402" max="6405" width="9.21875" style="2"/>
    <col min="6406" max="6406" width="17.21875" style="2" customWidth="1"/>
    <col min="6407" max="6407" width="2.77734375" style="2" customWidth="1"/>
    <col min="6408" max="6409" width="9.21875" style="2"/>
    <col min="6410" max="6410" width="6.5546875" style="2" customWidth="1"/>
    <col min="6411" max="6411" width="10.21875" style="2" bestFit="1" customWidth="1"/>
    <col min="6412" max="6656" width="9.21875" style="2"/>
    <col min="6657" max="6657" width="6" style="2" customWidth="1"/>
    <col min="6658" max="6661" width="9.21875" style="2"/>
    <col min="6662" max="6662" width="17.21875" style="2" customWidth="1"/>
    <col min="6663" max="6663" width="2.77734375" style="2" customWidth="1"/>
    <col min="6664" max="6665" width="9.21875" style="2"/>
    <col min="6666" max="6666" width="6.5546875" style="2" customWidth="1"/>
    <col min="6667" max="6667" width="10.21875" style="2" bestFit="1" customWidth="1"/>
    <col min="6668" max="6912" width="9.21875" style="2"/>
    <col min="6913" max="6913" width="6" style="2" customWidth="1"/>
    <col min="6914" max="6917" width="9.21875" style="2"/>
    <col min="6918" max="6918" width="17.21875" style="2" customWidth="1"/>
    <col min="6919" max="6919" width="2.77734375" style="2" customWidth="1"/>
    <col min="6920" max="6921" width="9.21875" style="2"/>
    <col min="6922" max="6922" width="6.5546875" style="2" customWidth="1"/>
    <col min="6923" max="6923" width="10.21875" style="2" bestFit="1" customWidth="1"/>
    <col min="6924" max="7168" width="9.21875" style="2"/>
    <col min="7169" max="7169" width="6" style="2" customWidth="1"/>
    <col min="7170" max="7173" width="9.21875" style="2"/>
    <col min="7174" max="7174" width="17.21875" style="2" customWidth="1"/>
    <col min="7175" max="7175" width="2.77734375" style="2" customWidth="1"/>
    <col min="7176" max="7177" width="9.21875" style="2"/>
    <col min="7178" max="7178" width="6.5546875" style="2" customWidth="1"/>
    <col min="7179" max="7179" width="10.21875" style="2" bestFit="1" customWidth="1"/>
    <col min="7180" max="7424" width="9.21875" style="2"/>
    <col min="7425" max="7425" width="6" style="2" customWidth="1"/>
    <col min="7426" max="7429" width="9.21875" style="2"/>
    <col min="7430" max="7430" width="17.21875" style="2" customWidth="1"/>
    <col min="7431" max="7431" width="2.77734375" style="2" customWidth="1"/>
    <col min="7432" max="7433" width="9.21875" style="2"/>
    <col min="7434" max="7434" width="6.5546875" style="2" customWidth="1"/>
    <col min="7435" max="7435" width="10.21875" style="2" bestFit="1" customWidth="1"/>
    <col min="7436" max="7680" width="9.21875" style="2"/>
    <col min="7681" max="7681" width="6" style="2" customWidth="1"/>
    <col min="7682" max="7685" width="9.21875" style="2"/>
    <col min="7686" max="7686" width="17.21875" style="2" customWidth="1"/>
    <col min="7687" max="7687" width="2.77734375" style="2" customWidth="1"/>
    <col min="7688" max="7689" width="9.21875" style="2"/>
    <col min="7690" max="7690" width="6.5546875" style="2" customWidth="1"/>
    <col min="7691" max="7691" width="10.21875" style="2" bestFit="1" customWidth="1"/>
    <col min="7692" max="7936" width="9.21875" style="2"/>
    <col min="7937" max="7937" width="6" style="2" customWidth="1"/>
    <col min="7938" max="7941" width="9.21875" style="2"/>
    <col min="7942" max="7942" width="17.21875" style="2" customWidth="1"/>
    <col min="7943" max="7943" width="2.77734375" style="2" customWidth="1"/>
    <col min="7944" max="7945" width="9.21875" style="2"/>
    <col min="7946" max="7946" width="6.5546875" style="2" customWidth="1"/>
    <col min="7947" max="7947" width="10.21875" style="2" bestFit="1" customWidth="1"/>
    <col min="7948" max="8192" width="9.21875" style="2"/>
    <col min="8193" max="8193" width="6" style="2" customWidth="1"/>
    <col min="8194" max="8197" width="9.21875" style="2"/>
    <col min="8198" max="8198" width="17.21875" style="2" customWidth="1"/>
    <col min="8199" max="8199" width="2.77734375" style="2" customWidth="1"/>
    <col min="8200" max="8201" width="9.21875" style="2"/>
    <col min="8202" max="8202" width="6.5546875" style="2" customWidth="1"/>
    <col min="8203" max="8203" width="10.21875" style="2" bestFit="1" customWidth="1"/>
    <col min="8204" max="8448" width="9.21875" style="2"/>
    <col min="8449" max="8449" width="6" style="2" customWidth="1"/>
    <col min="8450" max="8453" width="9.21875" style="2"/>
    <col min="8454" max="8454" width="17.21875" style="2" customWidth="1"/>
    <col min="8455" max="8455" width="2.77734375" style="2" customWidth="1"/>
    <col min="8456" max="8457" width="9.21875" style="2"/>
    <col min="8458" max="8458" width="6.5546875" style="2" customWidth="1"/>
    <col min="8459" max="8459" width="10.21875" style="2" bestFit="1" customWidth="1"/>
    <col min="8460" max="8704" width="9.21875" style="2"/>
    <col min="8705" max="8705" width="6" style="2" customWidth="1"/>
    <col min="8706" max="8709" width="9.21875" style="2"/>
    <col min="8710" max="8710" width="17.21875" style="2" customWidth="1"/>
    <col min="8711" max="8711" width="2.77734375" style="2" customWidth="1"/>
    <col min="8712" max="8713" width="9.21875" style="2"/>
    <col min="8714" max="8714" width="6.5546875" style="2" customWidth="1"/>
    <col min="8715" max="8715" width="10.21875" style="2" bestFit="1" customWidth="1"/>
    <col min="8716" max="8960" width="9.21875" style="2"/>
    <col min="8961" max="8961" width="6" style="2" customWidth="1"/>
    <col min="8962" max="8965" width="9.21875" style="2"/>
    <col min="8966" max="8966" width="17.21875" style="2" customWidth="1"/>
    <col min="8967" max="8967" width="2.77734375" style="2" customWidth="1"/>
    <col min="8968" max="8969" width="9.21875" style="2"/>
    <col min="8970" max="8970" width="6.5546875" style="2" customWidth="1"/>
    <col min="8971" max="8971" width="10.21875" style="2" bestFit="1" customWidth="1"/>
    <col min="8972" max="9216" width="9.21875" style="2"/>
    <col min="9217" max="9217" width="6" style="2" customWidth="1"/>
    <col min="9218" max="9221" width="9.21875" style="2"/>
    <col min="9222" max="9222" width="17.21875" style="2" customWidth="1"/>
    <col min="9223" max="9223" width="2.77734375" style="2" customWidth="1"/>
    <col min="9224" max="9225" width="9.21875" style="2"/>
    <col min="9226" max="9226" width="6.5546875" style="2" customWidth="1"/>
    <col min="9227" max="9227" width="10.21875" style="2" bestFit="1" customWidth="1"/>
    <col min="9228" max="9472" width="9.21875" style="2"/>
    <col min="9473" max="9473" width="6" style="2" customWidth="1"/>
    <col min="9474" max="9477" width="9.21875" style="2"/>
    <col min="9478" max="9478" width="17.21875" style="2" customWidth="1"/>
    <col min="9479" max="9479" width="2.77734375" style="2" customWidth="1"/>
    <col min="9480" max="9481" width="9.21875" style="2"/>
    <col min="9482" max="9482" width="6.5546875" style="2" customWidth="1"/>
    <col min="9483" max="9483" width="10.21875" style="2" bestFit="1" customWidth="1"/>
    <col min="9484" max="9728" width="9.21875" style="2"/>
    <col min="9729" max="9729" width="6" style="2" customWidth="1"/>
    <col min="9730" max="9733" width="9.21875" style="2"/>
    <col min="9734" max="9734" width="17.21875" style="2" customWidth="1"/>
    <col min="9735" max="9735" width="2.77734375" style="2" customWidth="1"/>
    <col min="9736" max="9737" width="9.21875" style="2"/>
    <col min="9738" max="9738" width="6.5546875" style="2" customWidth="1"/>
    <col min="9739" max="9739" width="10.21875" style="2" bestFit="1" customWidth="1"/>
    <col min="9740" max="9984" width="9.21875" style="2"/>
    <col min="9985" max="9985" width="6" style="2" customWidth="1"/>
    <col min="9986" max="9989" width="9.21875" style="2"/>
    <col min="9990" max="9990" width="17.21875" style="2" customWidth="1"/>
    <col min="9991" max="9991" width="2.77734375" style="2" customWidth="1"/>
    <col min="9992" max="9993" width="9.21875" style="2"/>
    <col min="9994" max="9994" width="6.5546875" style="2" customWidth="1"/>
    <col min="9995" max="9995" width="10.21875" style="2" bestFit="1" customWidth="1"/>
    <col min="9996" max="10240" width="9.21875" style="2"/>
    <col min="10241" max="10241" width="6" style="2" customWidth="1"/>
    <col min="10242" max="10245" width="9.21875" style="2"/>
    <col min="10246" max="10246" width="17.21875" style="2" customWidth="1"/>
    <col min="10247" max="10247" width="2.77734375" style="2" customWidth="1"/>
    <col min="10248" max="10249" width="9.21875" style="2"/>
    <col min="10250" max="10250" width="6.5546875" style="2" customWidth="1"/>
    <col min="10251" max="10251" width="10.21875" style="2" bestFit="1" customWidth="1"/>
    <col min="10252" max="10496" width="9.21875" style="2"/>
    <col min="10497" max="10497" width="6" style="2" customWidth="1"/>
    <col min="10498" max="10501" width="9.21875" style="2"/>
    <col min="10502" max="10502" width="17.21875" style="2" customWidth="1"/>
    <col min="10503" max="10503" width="2.77734375" style="2" customWidth="1"/>
    <col min="10504" max="10505" width="9.21875" style="2"/>
    <col min="10506" max="10506" width="6.5546875" style="2" customWidth="1"/>
    <col min="10507" max="10507" width="10.21875" style="2" bestFit="1" customWidth="1"/>
    <col min="10508" max="10752" width="9.21875" style="2"/>
    <col min="10753" max="10753" width="6" style="2" customWidth="1"/>
    <col min="10754" max="10757" width="9.21875" style="2"/>
    <col min="10758" max="10758" width="17.21875" style="2" customWidth="1"/>
    <col min="10759" max="10759" width="2.77734375" style="2" customWidth="1"/>
    <col min="10760" max="10761" width="9.21875" style="2"/>
    <col min="10762" max="10762" width="6.5546875" style="2" customWidth="1"/>
    <col min="10763" max="10763" width="10.21875" style="2" bestFit="1" customWidth="1"/>
    <col min="10764" max="11008" width="9.21875" style="2"/>
    <col min="11009" max="11009" width="6" style="2" customWidth="1"/>
    <col min="11010" max="11013" width="9.21875" style="2"/>
    <col min="11014" max="11014" width="17.21875" style="2" customWidth="1"/>
    <col min="11015" max="11015" width="2.77734375" style="2" customWidth="1"/>
    <col min="11016" max="11017" width="9.21875" style="2"/>
    <col min="11018" max="11018" width="6.5546875" style="2" customWidth="1"/>
    <col min="11019" max="11019" width="10.21875" style="2" bestFit="1" customWidth="1"/>
    <col min="11020" max="11264" width="9.21875" style="2"/>
    <col min="11265" max="11265" width="6" style="2" customWidth="1"/>
    <col min="11266" max="11269" width="9.21875" style="2"/>
    <col min="11270" max="11270" width="17.21875" style="2" customWidth="1"/>
    <col min="11271" max="11271" width="2.77734375" style="2" customWidth="1"/>
    <col min="11272" max="11273" width="9.21875" style="2"/>
    <col min="11274" max="11274" width="6.5546875" style="2" customWidth="1"/>
    <col min="11275" max="11275" width="10.21875" style="2" bestFit="1" customWidth="1"/>
    <col min="11276" max="11520" width="9.21875" style="2"/>
    <col min="11521" max="11521" width="6" style="2" customWidth="1"/>
    <col min="11522" max="11525" width="9.21875" style="2"/>
    <col min="11526" max="11526" width="17.21875" style="2" customWidth="1"/>
    <col min="11527" max="11527" width="2.77734375" style="2" customWidth="1"/>
    <col min="11528" max="11529" width="9.21875" style="2"/>
    <col min="11530" max="11530" width="6.5546875" style="2" customWidth="1"/>
    <col min="11531" max="11531" width="10.21875" style="2" bestFit="1" customWidth="1"/>
    <col min="11532" max="11776" width="9.21875" style="2"/>
    <col min="11777" max="11777" width="6" style="2" customWidth="1"/>
    <col min="11778" max="11781" width="9.21875" style="2"/>
    <col min="11782" max="11782" width="17.21875" style="2" customWidth="1"/>
    <col min="11783" max="11783" width="2.77734375" style="2" customWidth="1"/>
    <col min="11784" max="11785" width="9.21875" style="2"/>
    <col min="11786" max="11786" width="6.5546875" style="2" customWidth="1"/>
    <col min="11787" max="11787" width="10.21875" style="2" bestFit="1" customWidth="1"/>
    <col min="11788" max="12032" width="9.21875" style="2"/>
    <col min="12033" max="12033" width="6" style="2" customWidth="1"/>
    <col min="12034" max="12037" width="9.21875" style="2"/>
    <col min="12038" max="12038" width="17.21875" style="2" customWidth="1"/>
    <col min="12039" max="12039" width="2.77734375" style="2" customWidth="1"/>
    <col min="12040" max="12041" width="9.21875" style="2"/>
    <col min="12042" max="12042" width="6.5546875" style="2" customWidth="1"/>
    <col min="12043" max="12043" width="10.21875" style="2" bestFit="1" customWidth="1"/>
    <col min="12044" max="12288" width="9.21875" style="2"/>
    <col min="12289" max="12289" width="6" style="2" customWidth="1"/>
    <col min="12290" max="12293" width="9.21875" style="2"/>
    <col min="12294" max="12294" width="17.21875" style="2" customWidth="1"/>
    <col min="12295" max="12295" width="2.77734375" style="2" customWidth="1"/>
    <col min="12296" max="12297" width="9.21875" style="2"/>
    <col min="12298" max="12298" width="6.5546875" style="2" customWidth="1"/>
    <col min="12299" max="12299" width="10.21875" style="2" bestFit="1" customWidth="1"/>
    <col min="12300" max="12544" width="9.21875" style="2"/>
    <col min="12545" max="12545" width="6" style="2" customWidth="1"/>
    <col min="12546" max="12549" width="9.21875" style="2"/>
    <col min="12550" max="12550" width="17.21875" style="2" customWidth="1"/>
    <col min="12551" max="12551" width="2.77734375" style="2" customWidth="1"/>
    <col min="12552" max="12553" width="9.21875" style="2"/>
    <col min="12554" max="12554" width="6.5546875" style="2" customWidth="1"/>
    <col min="12555" max="12555" width="10.21875" style="2" bestFit="1" customWidth="1"/>
    <col min="12556" max="12800" width="9.21875" style="2"/>
    <col min="12801" max="12801" width="6" style="2" customWidth="1"/>
    <col min="12802" max="12805" width="9.21875" style="2"/>
    <col min="12806" max="12806" width="17.21875" style="2" customWidth="1"/>
    <col min="12807" max="12807" width="2.77734375" style="2" customWidth="1"/>
    <col min="12808" max="12809" width="9.21875" style="2"/>
    <col min="12810" max="12810" width="6.5546875" style="2" customWidth="1"/>
    <col min="12811" max="12811" width="10.21875" style="2" bestFit="1" customWidth="1"/>
    <col min="12812" max="13056" width="9.21875" style="2"/>
    <col min="13057" max="13057" width="6" style="2" customWidth="1"/>
    <col min="13058" max="13061" width="9.21875" style="2"/>
    <col min="13062" max="13062" width="17.21875" style="2" customWidth="1"/>
    <col min="13063" max="13063" width="2.77734375" style="2" customWidth="1"/>
    <col min="13064" max="13065" width="9.21875" style="2"/>
    <col min="13066" max="13066" width="6.5546875" style="2" customWidth="1"/>
    <col min="13067" max="13067" width="10.21875" style="2" bestFit="1" customWidth="1"/>
    <col min="13068" max="13312" width="9.21875" style="2"/>
    <col min="13313" max="13313" width="6" style="2" customWidth="1"/>
    <col min="13314" max="13317" width="9.21875" style="2"/>
    <col min="13318" max="13318" width="17.21875" style="2" customWidth="1"/>
    <col min="13319" max="13319" width="2.77734375" style="2" customWidth="1"/>
    <col min="13320" max="13321" width="9.21875" style="2"/>
    <col min="13322" max="13322" width="6.5546875" style="2" customWidth="1"/>
    <col min="13323" max="13323" width="10.21875" style="2" bestFit="1" customWidth="1"/>
    <col min="13324" max="13568" width="9.21875" style="2"/>
    <col min="13569" max="13569" width="6" style="2" customWidth="1"/>
    <col min="13570" max="13573" width="9.21875" style="2"/>
    <col min="13574" max="13574" width="17.21875" style="2" customWidth="1"/>
    <col min="13575" max="13575" width="2.77734375" style="2" customWidth="1"/>
    <col min="13576" max="13577" width="9.21875" style="2"/>
    <col min="13578" max="13578" width="6.5546875" style="2" customWidth="1"/>
    <col min="13579" max="13579" width="10.21875" style="2" bestFit="1" customWidth="1"/>
    <col min="13580" max="13824" width="9.21875" style="2"/>
    <col min="13825" max="13825" width="6" style="2" customWidth="1"/>
    <col min="13826" max="13829" width="9.21875" style="2"/>
    <col min="13830" max="13830" width="17.21875" style="2" customWidth="1"/>
    <col min="13831" max="13831" width="2.77734375" style="2" customWidth="1"/>
    <col min="13832" max="13833" width="9.21875" style="2"/>
    <col min="13834" max="13834" width="6.5546875" style="2" customWidth="1"/>
    <col min="13835" max="13835" width="10.21875" style="2" bestFit="1" customWidth="1"/>
    <col min="13836" max="14080" width="9.21875" style="2"/>
    <col min="14081" max="14081" width="6" style="2" customWidth="1"/>
    <col min="14082" max="14085" width="9.21875" style="2"/>
    <col min="14086" max="14086" width="17.21875" style="2" customWidth="1"/>
    <col min="14087" max="14087" width="2.77734375" style="2" customWidth="1"/>
    <col min="14088" max="14089" width="9.21875" style="2"/>
    <col min="14090" max="14090" width="6.5546875" style="2" customWidth="1"/>
    <col min="14091" max="14091" width="10.21875" style="2" bestFit="1" customWidth="1"/>
    <col min="14092" max="14336" width="9.21875" style="2"/>
    <col min="14337" max="14337" width="6" style="2" customWidth="1"/>
    <col min="14338" max="14341" width="9.21875" style="2"/>
    <col min="14342" max="14342" width="17.21875" style="2" customWidth="1"/>
    <col min="14343" max="14343" width="2.77734375" style="2" customWidth="1"/>
    <col min="14344" max="14345" width="9.21875" style="2"/>
    <col min="14346" max="14346" width="6.5546875" style="2" customWidth="1"/>
    <col min="14347" max="14347" width="10.21875" style="2" bestFit="1" customWidth="1"/>
    <col min="14348" max="14592" width="9.21875" style="2"/>
    <col min="14593" max="14593" width="6" style="2" customWidth="1"/>
    <col min="14594" max="14597" width="9.21875" style="2"/>
    <col min="14598" max="14598" width="17.21875" style="2" customWidth="1"/>
    <col min="14599" max="14599" width="2.77734375" style="2" customWidth="1"/>
    <col min="14600" max="14601" width="9.21875" style="2"/>
    <col min="14602" max="14602" width="6.5546875" style="2" customWidth="1"/>
    <col min="14603" max="14603" width="10.21875" style="2" bestFit="1" customWidth="1"/>
    <col min="14604" max="14848" width="9.21875" style="2"/>
    <col min="14849" max="14849" width="6" style="2" customWidth="1"/>
    <col min="14850" max="14853" width="9.21875" style="2"/>
    <col min="14854" max="14854" width="17.21875" style="2" customWidth="1"/>
    <col min="14855" max="14855" width="2.77734375" style="2" customWidth="1"/>
    <col min="14856" max="14857" width="9.21875" style="2"/>
    <col min="14858" max="14858" width="6.5546875" style="2" customWidth="1"/>
    <col min="14859" max="14859" width="10.21875" style="2" bestFit="1" customWidth="1"/>
    <col min="14860" max="15104" width="9.21875" style="2"/>
    <col min="15105" max="15105" width="6" style="2" customWidth="1"/>
    <col min="15106" max="15109" width="9.21875" style="2"/>
    <col min="15110" max="15110" width="17.21875" style="2" customWidth="1"/>
    <col min="15111" max="15111" width="2.77734375" style="2" customWidth="1"/>
    <col min="15112" max="15113" width="9.21875" style="2"/>
    <col min="15114" max="15114" width="6.5546875" style="2" customWidth="1"/>
    <col min="15115" max="15115" width="10.21875" style="2" bestFit="1" customWidth="1"/>
    <col min="15116" max="15360" width="9.21875" style="2"/>
    <col min="15361" max="15361" width="6" style="2" customWidth="1"/>
    <col min="15362" max="15365" width="9.21875" style="2"/>
    <col min="15366" max="15366" width="17.21875" style="2" customWidth="1"/>
    <col min="15367" max="15367" width="2.77734375" style="2" customWidth="1"/>
    <col min="15368" max="15369" width="9.21875" style="2"/>
    <col min="15370" max="15370" width="6.5546875" style="2" customWidth="1"/>
    <col min="15371" max="15371" width="10.21875" style="2" bestFit="1" customWidth="1"/>
    <col min="15372" max="15616" width="9.21875" style="2"/>
    <col min="15617" max="15617" width="6" style="2" customWidth="1"/>
    <col min="15618" max="15621" width="9.21875" style="2"/>
    <col min="15622" max="15622" width="17.21875" style="2" customWidth="1"/>
    <col min="15623" max="15623" width="2.77734375" style="2" customWidth="1"/>
    <col min="15624" max="15625" width="9.21875" style="2"/>
    <col min="15626" max="15626" width="6.5546875" style="2" customWidth="1"/>
    <col min="15627" max="15627" width="10.21875" style="2" bestFit="1" customWidth="1"/>
    <col min="15628" max="15872" width="9.21875" style="2"/>
    <col min="15873" max="15873" width="6" style="2" customWidth="1"/>
    <col min="15874" max="15877" width="9.21875" style="2"/>
    <col min="15878" max="15878" width="17.21875" style="2" customWidth="1"/>
    <col min="15879" max="15879" width="2.77734375" style="2" customWidth="1"/>
    <col min="15880" max="15881" width="9.21875" style="2"/>
    <col min="15882" max="15882" width="6.5546875" style="2" customWidth="1"/>
    <col min="15883" max="15883" width="10.21875" style="2" bestFit="1" customWidth="1"/>
    <col min="15884" max="16128" width="9.21875" style="2"/>
    <col min="16129" max="16129" width="6" style="2" customWidth="1"/>
    <col min="16130" max="16133" width="9.21875" style="2"/>
    <col min="16134" max="16134" width="17.21875" style="2" customWidth="1"/>
    <col min="16135" max="16135" width="2.77734375" style="2" customWidth="1"/>
    <col min="16136" max="16137" width="9.21875" style="2"/>
    <col min="16138" max="16138" width="6.5546875" style="2" customWidth="1"/>
    <col min="16139" max="16139" width="10.21875" style="2" bestFit="1" customWidth="1"/>
    <col min="16140" max="16384" width="9.21875" style="2"/>
  </cols>
  <sheetData>
    <row r="1" spans="1:11" ht="15.6">
      <c r="I1" s="31"/>
      <c r="K1" s="31" t="s">
        <v>49</v>
      </c>
    </row>
    <row r="3" spans="1:11" ht="15.6">
      <c r="A3" s="1220" t="s">
        <v>50</v>
      </c>
      <c r="B3" s="1220"/>
      <c r="C3" s="1220"/>
      <c r="D3" s="1220"/>
      <c r="E3" s="1220"/>
      <c r="F3" s="1220"/>
      <c r="G3" s="1220"/>
      <c r="H3" s="1220"/>
      <c r="I3" s="1220"/>
      <c r="J3" s="1227"/>
      <c r="K3" s="1227"/>
    </row>
    <row r="5" spans="1:11" ht="15.6">
      <c r="A5" s="1220" t="s">
        <v>51</v>
      </c>
      <c r="B5" s="1220"/>
      <c r="C5" s="1220"/>
      <c r="D5" s="1220"/>
      <c r="E5" s="1220"/>
      <c r="F5" s="1220"/>
      <c r="G5" s="1220"/>
      <c r="H5" s="1220"/>
      <c r="I5" s="1220"/>
      <c r="J5" s="1229"/>
      <c r="K5" s="1227"/>
    </row>
    <row r="6" spans="1:11">
      <c r="K6" s="2" t="s">
        <v>52</v>
      </c>
    </row>
    <row r="7" spans="1:11">
      <c r="K7" s="2" t="s">
        <v>53</v>
      </c>
    </row>
    <row r="8" spans="1:11" ht="15.6">
      <c r="A8" s="48" t="s">
        <v>54</v>
      </c>
    </row>
    <row r="9" spans="1:11" ht="8.25" customHeight="1">
      <c r="A9" s="48"/>
    </row>
    <row r="10" spans="1:11" ht="15">
      <c r="A10" s="45" t="s">
        <v>55</v>
      </c>
      <c r="B10" s="46" t="s">
        <v>56</v>
      </c>
      <c r="C10" s="46"/>
      <c r="D10" s="46"/>
      <c r="E10" s="46"/>
      <c r="F10" s="46"/>
      <c r="G10" s="45" t="s">
        <v>29</v>
      </c>
      <c r="H10" s="1228">
        <f>IF('Input (3)'!C4+'Input (3)'!C7=0,0,SUM('Input (3)'!C4+'Input (3)'!C7))</f>
        <v>38</v>
      </c>
      <c r="I10" s="1228"/>
      <c r="J10" s="46"/>
      <c r="K10" s="53">
        <f>IF(H10=0,0,(H10/($H$10+$H$13)))</f>
        <v>0.35514018691588783</v>
      </c>
    </row>
    <row r="11" spans="1:11" ht="7.5" customHeight="1">
      <c r="H11" s="54"/>
      <c r="I11" s="54"/>
    </row>
    <row r="12" spans="1:11" s="46" customFormat="1" ht="15">
      <c r="A12" s="45" t="s">
        <v>57</v>
      </c>
      <c r="B12" s="46" t="s">
        <v>58</v>
      </c>
      <c r="G12" s="45"/>
      <c r="H12" s="55"/>
      <c r="I12" s="55"/>
    </row>
    <row r="13" spans="1:11" ht="15">
      <c r="B13" s="28" t="s">
        <v>59</v>
      </c>
      <c r="G13" s="30" t="s">
        <v>29</v>
      </c>
      <c r="H13" s="1228">
        <f>IF('Input (3)'!C8=0,0,SUM('Input (3)'!C8))</f>
        <v>69</v>
      </c>
      <c r="I13" s="1228"/>
      <c r="K13" s="53">
        <f>IF(H13=0,0,(H13/($H$10+$H$13)))</f>
        <v>0.64485981308411211</v>
      </c>
    </row>
    <row r="14" spans="1:11" ht="6.75" customHeight="1">
      <c r="H14" s="54"/>
      <c r="I14" s="54"/>
    </row>
    <row r="15" spans="1:11" s="46" customFormat="1" ht="15">
      <c r="A15" s="45" t="s">
        <v>60</v>
      </c>
      <c r="B15" s="46" t="s">
        <v>61</v>
      </c>
      <c r="G15" s="45"/>
      <c r="H15" s="55"/>
      <c r="I15" s="55"/>
    </row>
    <row r="16" spans="1:11" s="46" customFormat="1" ht="15">
      <c r="A16" s="45"/>
      <c r="B16" s="46" t="s">
        <v>62</v>
      </c>
      <c r="G16" s="45" t="s">
        <v>29</v>
      </c>
      <c r="H16" s="1230">
        <f>IF('Input (3)'!C22=0,0,SUM('Input (3)'!C22))</f>
        <v>0</v>
      </c>
      <c r="I16" s="1230"/>
    </row>
    <row r="17" spans="1:9" ht="6.75" customHeight="1">
      <c r="H17" s="54"/>
      <c r="I17" s="54"/>
    </row>
    <row r="18" spans="1:9" s="46" customFormat="1" ht="15">
      <c r="A18" s="45" t="s">
        <v>63</v>
      </c>
      <c r="B18" s="46" t="s">
        <v>64</v>
      </c>
      <c r="G18" s="45" t="s">
        <v>29</v>
      </c>
      <c r="H18" s="1228">
        <f>H10+H13-H16</f>
        <v>107</v>
      </c>
      <c r="I18" s="1228"/>
    </row>
    <row r="19" spans="1:9" ht="6.75" customHeight="1">
      <c r="H19" s="43"/>
      <c r="I19" s="43"/>
    </row>
    <row r="20" spans="1:9" s="46" customFormat="1" ht="15">
      <c r="A20" s="45" t="s">
        <v>65</v>
      </c>
      <c r="B20" s="46" t="s">
        <v>66</v>
      </c>
      <c r="G20" s="45" t="s">
        <v>29</v>
      </c>
      <c r="H20" s="1228">
        <f>H18*0.06</f>
        <v>6.42</v>
      </c>
      <c r="I20" s="1228"/>
    </row>
    <row r="21" spans="1:9" ht="6.75" customHeight="1">
      <c r="H21" s="43"/>
      <c r="I21" s="43"/>
    </row>
    <row r="22" spans="1:9" s="46" customFormat="1" ht="15">
      <c r="A22" s="45" t="s">
        <v>67</v>
      </c>
      <c r="B22" s="46" t="s">
        <v>68</v>
      </c>
      <c r="G22" s="45" t="s">
        <v>29</v>
      </c>
      <c r="H22" s="1228">
        <f>H16+H20</f>
        <v>6.42</v>
      </c>
      <c r="I22" s="1228"/>
    </row>
    <row r="23" spans="1:9" s="46" customFormat="1" ht="15">
      <c r="A23" s="45"/>
      <c r="B23" s="46" t="s">
        <v>69</v>
      </c>
      <c r="G23" s="45"/>
      <c r="H23" s="55"/>
      <c r="I23" s="55"/>
    </row>
    <row r="24" spans="1:9" s="46" customFormat="1" ht="15">
      <c r="A24" s="45"/>
      <c r="G24" s="45"/>
      <c r="H24" s="55"/>
      <c r="I24" s="55"/>
    </row>
    <row r="25" spans="1:9" s="46" customFormat="1" ht="15">
      <c r="A25" s="45" t="s">
        <v>70</v>
      </c>
      <c r="B25" s="56">
        <f>K10</f>
        <v>0.35514018691588783</v>
      </c>
      <c r="C25" s="44" t="s">
        <v>71</v>
      </c>
      <c r="D25" s="57">
        <f>H22</f>
        <v>6.42</v>
      </c>
      <c r="E25" s="46" t="s">
        <v>72</v>
      </c>
      <c r="G25" s="45" t="s">
        <v>29</v>
      </c>
      <c r="H25" s="1228">
        <f>ROUND(SUM(B25*D25),2)</f>
        <v>2.2799999999999998</v>
      </c>
      <c r="I25" s="1228"/>
    </row>
    <row r="26" spans="1:9" s="46" customFormat="1" ht="15">
      <c r="A26" s="45" t="s">
        <v>73</v>
      </c>
      <c r="B26" s="56">
        <f>K13</f>
        <v>0.64485981308411211</v>
      </c>
      <c r="C26" s="44" t="s">
        <v>71</v>
      </c>
      <c r="D26" s="57">
        <f>H22</f>
        <v>6.42</v>
      </c>
      <c r="E26" s="46" t="s">
        <v>74</v>
      </c>
      <c r="G26" s="45" t="s">
        <v>29</v>
      </c>
      <c r="H26" s="1231">
        <f>ROUND(SUM(H22-H25),2)</f>
        <v>4.1399999999999997</v>
      </c>
      <c r="I26" s="1231"/>
    </row>
    <row r="27" spans="1:9" s="46" customFormat="1" ht="15">
      <c r="A27" s="45"/>
      <c r="G27" s="45"/>
      <c r="H27" s="55"/>
      <c r="I27" s="55"/>
    </row>
    <row r="28" spans="1:9" ht="15.6">
      <c r="A28" s="48" t="s">
        <v>75</v>
      </c>
      <c r="H28" s="54"/>
      <c r="I28" s="54"/>
    </row>
    <row r="29" spans="1:9" ht="6.75" customHeight="1">
      <c r="H29" s="54"/>
      <c r="I29" s="54"/>
    </row>
    <row r="30" spans="1:9" s="46" customFormat="1" ht="15">
      <c r="A30" s="45" t="s">
        <v>76</v>
      </c>
      <c r="B30" s="46" t="s">
        <v>77</v>
      </c>
      <c r="G30" s="45"/>
      <c r="H30" s="55"/>
      <c r="I30" s="55"/>
    </row>
    <row r="31" spans="1:9" s="46" customFormat="1" ht="15">
      <c r="A31" s="45"/>
      <c r="B31" s="46" t="s">
        <v>78</v>
      </c>
      <c r="G31" s="45" t="s">
        <v>29</v>
      </c>
      <c r="H31" s="1228">
        <f>IF('Input (3)'!$C$10=0,0,'Input (3)'!C10)</f>
        <v>102</v>
      </c>
      <c r="I31" s="1228"/>
    </row>
    <row r="32" spans="1:9" s="46" customFormat="1" ht="15">
      <c r="A32" s="45"/>
      <c r="B32" s="28" t="s">
        <v>79</v>
      </c>
      <c r="G32" s="45"/>
      <c r="H32" s="55"/>
      <c r="I32" s="55"/>
    </row>
    <row r="33" spans="1:9" s="46" customFormat="1" ht="15">
      <c r="A33" s="45"/>
      <c r="B33" s="28" t="s">
        <v>80</v>
      </c>
      <c r="G33" s="45"/>
      <c r="H33" s="55"/>
      <c r="I33" s="55"/>
    </row>
    <row r="34" spans="1:9" ht="6.75" customHeight="1">
      <c r="H34" s="54"/>
      <c r="I34" s="54"/>
    </row>
    <row r="35" spans="1:9" s="46" customFormat="1" ht="15">
      <c r="A35" s="45" t="s">
        <v>81</v>
      </c>
      <c r="B35" s="46" t="s">
        <v>82</v>
      </c>
      <c r="G35" s="45"/>
      <c r="H35" s="55"/>
      <c r="I35" s="55"/>
    </row>
    <row r="36" spans="1:9" s="46" customFormat="1" ht="15">
      <c r="A36" s="45"/>
      <c r="B36" s="46" t="s">
        <v>83</v>
      </c>
      <c r="G36" s="45"/>
      <c r="H36" s="55"/>
      <c r="I36" s="55"/>
    </row>
    <row r="37" spans="1:9" s="46" customFormat="1" ht="15">
      <c r="A37" s="45"/>
      <c r="B37" s="28" t="s">
        <v>84</v>
      </c>
      <c r="G37" s="45" t="s">
        <v>29</v>
      </c>
      <c r="H37" s="1228">
        <f>IF('Input (3)'!C23=0,0,SUM('Input (3)'!C23))</f>
        <v>0</v>
      </c>
      <c r="I37" s="1228"/>
    </row>
    <row r="38" spans="1:9" ht="6.75" customHeight="1">
      <c r="H38" s="43"/>
      <c r="I38" s="43"/>
    </row>
    <row r="39" spans="1:9" s="46" customFormat="1" ht="15">
      <c r="A39" s="45" t="s">
        <v>85</v>
      </c>
      <c r="B39" s="46" t="s">
        <v>86</v>
      </c>
      <c r="G39" s="45" t="s">
        <v>29</v>
      </c>
      <c r="H39" s="1228">
        <f>IF('Input (3)'!$C$10=0,0,SUM(H31-H37))</f>
        <v>102</v>
      </c>
      <c r="I39" s="1228"/>
    </row>
    <row r="40" spans="1:9" ht="6.75" customHeight="1">
      <c r="H40" s="43"/>
      <c r="I40" s="43"/>
    </row>
    <row r="41" spans="1:9" s="46" customFormat="1" ht="15">
      <c r="A41" s="45" t="s">
        <v>87</v>
      </c>
      <c r="B41" s="46" t="s">
        <v>88</v>
      </c>
      <c r="G41" s="45" t="s">
        <v>29</v>
      </c>
      <c r="H41" s="1228">
        <f>IF('Input (3)'!$C$10=0,0,H39*0.055)</f>
        <v>5.61</v>
      </c>
      <c r="I41" s="1228"/>
    </row>
    <row r="42" spans="1:9" ht="6.75" customHeight="1">
      <c r="H42" s="43"/>
      <c r="I42" s="43"/>
    </row>
    <row r="43" spans="1:9" s="46" customFormat="1" ht="15">
      <c r="A43" s="45" t="s">
        <v>89</v>
      </c>
      <c r="B43" s="46" t="s">
        <v>90</v>
      </c>
      <c r="G43" s="45" t="s">
        <v>29</v>
      </c>
      <c r="H43" s="1228">
        <f>ROUND(IF('Input (3)'!$C$10=0,0,SUM(H37+H41)),2)</f>
        <v>5.61</v>
      </c>
      <c r="I43" s="1228"/>
    </row>
    <row r="44" spans="1:9" s="46" customFormat="1" ht="15">
      <c r="A44" s="45"/>
      <c r="B44" s="46" t="s">
        <v>91</v>
      </c>
      <c r="G44" s="45"/>
    </row>
    <row r="46" spans="1:9" ht="15.6">
      <c r="A46" s="48" t="s">
        <v>92</v>
      </c>
    </row>
    <row r="47" spans="1:9" ht="6.75" customHeight="1"/>
    <row r="48" spans="1:9" s="46" customFormat="1" ht="15">
      <c r="A48" s="45" t="s">
        <v>93</v>
      </c>
      <c r="B48" s="46" t="s">
        <v>94</v>
      </c>
      <c r="G48" s="45"/>
    </row>
    <row r="49" spans="1:9" s="46" customFormat="1" ht="15">
      <c r="A49" s="45"/>
      <c r="B49" s="46" t="s">
        <v>95</v>
      </c>
      <c r="G49" s="45"/>
    </row>
    <row r="50" spans="1:9" s="46" customFormat="1" ht="15">
      <c r="A50" s="45"/>
      <c r="B50" s="46" t="s">
        <v>96</v>
      </c>
      <c r="G50" s="45"/>
    </row>
    <row r="51" spans="1:9" s="46" customFormat="1" ht="15">
      <c r="A51" s="45"/>
      <c r="B51" s="46" t="s">
        <v>97</v>
      </c>
      <c r="G51" s="45"/>
    </row>
    <row r="52" spans="1:9" s="46" customFormat="1" ht="15">
      <c r="A52" s="45"/>
      <c r="B52" s="46" t="s">
        <v>98</v>
      </c>
      <c r="G52" s="45"/>
    </row>
    <row r="53" spans="1:9" s="46" customFormat="1" ht="15">
      <c r="A53" s="45"/>
      <c r="B53" s="46" t="s">
        <v>99</v>
      </c>
      <c r="G53" s="45"/>
    </row>
    <row r="54" spans="1:9" ht="6.75" customHeight="1"/>
    <row r="55" spans="1:9" s="46" customFormat="1" ht="15">
      <c r="A55" s="45"/>
      <c r="B55" s="46" t="s">
        <v>100</v>
      </c>
      <c r="G55" s="45" t="s">
        <v>29</v>
      </c>
      <c r="H55" s="1230">
        <f>IF('Input (3)'!$E$18+'Input (3)'!$E$19=0,0,SUM(('Input (3)'!E18*'Input (3)'!E19)/16))</f>
        <v>0</v>
      </c>
      <c r="I55" s="1230"/>
    </row>
    <row r="56" spans="1:9" s="46" customFormat="1" ht="15">
      <c r="A56" s="45"/>
      <c r="B56" s="46" t="s">
        <v>101</v>
      </c>
      <c r="G56" s="45"/>
    </row>
    <row r="57" spans="1:9" s="46" customFormat="1" ht="15">
      <c r="A57" s="45"/>
      <c r="B57" s="46" t="s">
        <v>102</v>
      </c>
      <c r="G57" s="45"/>
    </row>
  </sheetData>
  <sheetProtection password="CDD6" sheet="1" objects="1" scenarios="1"/>
  <mergeCells count="16">
    <mergeCell ref="H39:I39"/>
    <mergeCell ref="H41:I41"/>
    <mergeCell ref="H43:I43"/>
    <mergeCell ref="H55:I55"/>
    <mergeCell ref="H20:I20"/>
    <mergeCell ref="H22:I22"/>
    <mergeCell ref="H25:I25"/>
    <mergeCell ref="H26:I26"/>
    <mergeCell ref="H31:I31"/>
    <mergeCell ref="H37:I37"/>
    <mergeCell ref="H18:I18"/>
    <mergeCell ref="A3:K3"/>
    <mergeCell ref="A5:K5"/>
    <mergeCell ref="H10:I10"/>
    <mergeCell ref="H13:I13"/>
    <mergeCell ref="H16:I16"/>
  </mergeCells>
  <pageMargins left="0.5" right="0.5" top="0.63" bottom="1" header="0.33" footer="0.5"/>
  <pageSetup scale="93" orientation="portrait" r:id="rId1"/>
  <headerFooter alignWithMargins="0">
    <oddFooter>&amp;L&amp;F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dimension ref="A1:AB12"/>
  <sheetViews>
    <sheetView workbookViewId="0">
      <selection activeCell="A2" sqref="A2:O2"/>
    </sheetView>
  </sheetViews>
  <sheetFormatPr defaultRowHeight="13.2"/>
  <cols>
    <col min="1" max="1" width="4.5546875" style="2" customWidth="1"/>
    <col min="2" max="3" width="6.77734375" style="2" customWidth="1"/>
    <col min="4" max="4" width="3.21875" style="2" customWidth="1"/>
    <col min="5" max="5" width="4.21875" style="2" customWidth="1"/>
    <col min="6" max="6" width="5.44140625" style="2" customWidth="1"/>
    <col min="7" max="7" width="7.77734375" style="2" customWidth="1"/>
    <col min="8" max="8" width="5.21875" style="2" customWidth="1"/>
    <col min="9" max="9" width="7" style="2" customWidth="1"/>
    <col min="10" max="10" width="5.21875" style="2" customWidth="1"/>
    <col min="11" max="11" width="7" style="2" customWidth="1"/>
    <col min="12" max="12" width="4.21875" style="2" customWidth="1"/>
    <col min="13" max="13" width="6.77734375" style="2" customWidth="1"/>
    <col min="14" max="14" width="5.44140625" style="2" customWidth="1"/>
    <col min="15" max="15" width="7" style="2" customWidth="1"/>
    <col min="16" max="16" width="5.21875" style="2" customWidth="1"/>
    <col min="17" max="17" width="4.77734375" style="2" customWidth="1"/>
    <col min="18" max="18" width="5.77734375" style="2" customWidth="1"/>
    <col min="19" max="19" width="7.44140625" style="2" customWidth="1"/>
    <col min="20" max="20" width="4" style="2" customWidth="1"/>
    <col min="21" max="21" width="6.44140625" style="2" customWidth="1"/>
    <col min="22" max="22" width="5.77734375" style="2" customWidth="1"/>
    <col min="23" max="23" width="6.77734375" style="2" customWidth="1"/>
    <col min="24" max="24" width="4.21875" style="2" customWidth="1"/>
    <col min="25" max="25" width="7.21875" style="2" customWidth="1"/>
    <col min="26" max="256" width="9.21875" style="2"/>
    <col min="257" max="257" width="4.5546875" style="2" customWidth="1"/>
    <col min="258" max="259" width="6.77734375" style="2" customWidth="1"/>
    <col min="260" max="260" width="3.21875" style="2" customWidth="1"/>
    <col min="261" max="261" width="4.21875" style="2" customWidth="1"/>
    <col min="262" max="262" width="5.44140625" style="2" customWidth="1"/>
    <col min="263" max="263" width="7.77734375" style="2" customWidth="1"/>
    <col min="264" max="264" width="5.21875" style="2" customWidth="1"/>
    <col min="265" max="265" width="7" style="2" customWidth="1"/>
    <col min="266" max="266" width="5.21875" style="2" customWidth="1"/>
    <col min="267" max="267" width="7" style="2" customWidth="1"/>
    <col min="268" max="268" width="4.21875" style="2" customWidth="1"/>
    <col min="269" max="269" width="6.77734375" style="2" customWidth="1"/>
    <col min="270" max="270" width="5.44140625" style="2" customWidth="1"/>
    <col min="271" max="271" width="7" style="2" customWidth="1"/>
    <col min="272" max="272" width="5.21875" style="2" customWidth="1"/>
    <col min="273" max="273" width="4.77734375" style="2" customWidth="1"/>
    <col min="274" max="274" width="5.77734375" style="2" customWidth="1"/>
    <col min="275" max="275" width="7.44140625" style="2" customWidth="1"/>
    <col min="276" max="276" width="4" style="2" customWidth="1"/>
    <col min="277" max="277" width="6.44140625" style="2" customWidth="1"/>
    <col min="278" max="278" width="5.77734375" style="2" customWidth="1"/>
    <col min="279" max="279" width="6.77734375" style="2" customWidth="1"/>
    <col min="280" max="280" width="4.21875" style="2" customWidth="1"/>
    <col min="281" max="281" width="7.21875" style="2" customWidth="1"/>
    <col min="282" max="512" width="9.21875" style="2"/>
    <col min="513" max="513" width="4.5546875" style="2" customWidth="1"/>
    <col min="514" max="515" width="6.77734375" style="2" customWidth="1"/>
    <col min="516" max="516" width="3.21875" style="2" customWidth="1"/>
    <col min="517" max="517" width="4.21875" style="2" customWidth="1"/>
    <col min="518" max="518" width="5.44140625" style="2" customWidth="1"/>
    <col min="519" max="519" width="7.77734375" style="2" customWidth="1"/>
    <col min="520" max="520" width="5.21875" style="2" customWidth="1"/>
    <col min="521" max="521" width="7" style="2" customWidth="1"/>
    <col min="522" max="522" width="5.21875" style="2" customWidth="1"/>
    <col min="523" max="523" width="7" style="2" customWidth="1"/>
    <col min="524" max="524" width="4.21875" style="2" customWidth="1"/>
    <col min="525" max="525" width="6.77734375" style="2" customWidth="1"/>
    <col min="526" max="526" width="5.44140625" style="2" customWidth="1"/>
    <col min="527" max="527" width="7" style="2" customWidth="1"/>
    <col min="528" max="528" width="5.21875" style="2" customWidth="1"/>
    <col min="529" max="529" width="4.77734375" style="2" customWidth="1"/>
    <col min="530" max="530" width="5.77734375" style="2" customWidth="1"/>
    <col min="531" max="531" width="7.44140625" style="2" customWidth="1"/>
    <col min="532" max="532" width="4" style="2" customWidth="1"/>
    <col min="533" max="533" width="6.44140625" style="2" customWidth="1"/>
    <col min="534" max="534" width="5.77734375" style="2" customWidth="1"/>
    <col min="535" max="535" width="6.77734375" style="2" customWidth="1"/>
    <col min="536" max="536" width="4.21875" style="2" customWidth="1"/>
    <col min="537" max="537" width="7.21875" style="2" customWidth="1"/>
    <col min="538" max="768" width="9.21875" style="2"/>
    <col min="769" max="769" width="4.5546875" style="2" customWidth="1"/>
    <col min="770" max="771" width="6.77734375" style="2" customWidth="1"/>
    <col min="772" max="772" width="3.21875" style="2" customWidth="1"/>
    <col min="773" max="773" width="4.21875" style="2" customWidth="1"/>
    <col min="774" max="774" width="5.44140625" style="2" customWidth="1"/>
    <col min="775" max="775" width="7.77734375" style="2" customWidth="1"/>
    <col min="776" max="776" width="5.21875" style="2" customWidth="1"/>
    <col min="777" max="777" width="7" style="2" customWidth="1"/>
    <col min="778" max="778" width="5.21875" style="2" customWidth="1"/>
    <col min="779" max="779" width="7" style="2" customWidth="1"/>
    <col min="780" max="780" width="4.21875" style="2" customWidth="1"/>
    <col min="781" max="781" width="6.77734375" style="2" customWidth="1"/>
    <col min="782" max="782" width="5.44140625" style="2" customWidth="1"/>
    <col min="783" max="783" width="7" style="2" customWidth="1"/>
    <col min="784" max="784" width="5.21875" style="2" customWidth="1"/>
    <col min="785" max="785" width="4.77734375" style="2" customWidth="1"/>
    <col min="786" max="786" width="5.77734375" style="2" customWidth="1"/>
    <col min="787" max="787" width="7.44140625" style="2" customWidth="1"/>
    <col min="788" max="788" width="4" style="2" customWidth="1"/>
    <col min="789" max="789" width="6.44140625" style="2" customWidth="1"/>
    <col min="790" max="790" width="5.77734375" style="2" customWidth="1"/>
    <col min="791" max="791" width="6.77734375" style="2" customWidth="1"/>
    <col min="792" max="792" width="4.21875" style="2" customWidth="1"/>
    <col min="793" max="793" width="7.21875" style="2" customWidth="1"/>
    <col min="794" max="1024" width="9.21875" style="2"/>
    <col min="1025" max="1025" width="4.5546875" style="2" customWidth="1"/>
    <col min="1026" max="1027" width="6.77734375" style="2" customWidth="1"/>
    <col min="1028" max="1028" width="3.21875" style="2" customWidth="1"/>
    <col min="1029" max="1029" width="4.21875" style="2" customWidth="1"/>
    <col min="1030" max="1030" width="5.44140625" style="2" customWidth="1"/>
    <col min="1031" max="1031" width="7.77734375" style="2" customWidth="1"/>
    <col min="1032" max="1032" width="5.21875" style="2" customWidth="1"/>
    <col min="1033" max="1033" width="7" style="2" customWidth="1"/>
    <col min="1034" max="1034" width="5.21875" style="2" customWidth="1"/>
    <col min="1035" max="1035" width="7" style="2" customWidth="1"/>
    <col min="1036" max="1036" width="4.21875" style="2" customWidth="1"/>
    <col min="1037" max="1037" width="6.77734375" style="2" customWidth="1"/>
    <col min="1038" max="1038" width="5.44140625" style="2" customWidth="1"/>
    <col min="1039" max="1039" width="7" style="2" customWidth="1"/>
    <col min="1040" max="1040" width="5.21875" style="2" customWidth="1"/>
    <col min="1041" max="1041" width="4.77734375" style="2" customWidth="1"/>
    <col min="1042" max="1042" width="5.77734375" style="2" customWidth="1"/>
    <col min="1043" max="1043" width="7.44140625" style="2" customWidth="1"/>
    <col min="1044" max="1044" width="4" style="2" customWidth="1"/>
    <col min="1045" max="1045" width="6.44140625" style="2" customWidth="1"/>
    <col min="1046" max="1046" width="5.77734375" style="2" customWidth="1"/>
    <col min="1047" max="1047" width="6.77734375" style="2" customWidth="1"/>
    <col min="1048" max="1048" width="4.21875" style="2" customWidth="1"/>
    <col min="1049" max="1049" width="7.21875" style="2" customWidth="1"/>
    <col min="1050" max="1280" width="9.21875" style="2"/>
    <col min="1281" max="1281" width="4.5546875" style="2" customWidth="1"/>
    <col min="1282" max="1283" width="6.77734375" style="2" customWidth="1"/>
    <col min="1284" max="1284" width="3.21875" style="2" customWidth="1"/>
    <col min="1285" max="1285" width="4.21875" style="2" customWidth="1"/>
    <col min="1286" max="1286" width="5.44140625" style="2" customWidth="1"/>
    <col min="1287" max="1287" width="7.77734375" style="2" customWidth="1"/>
    <col min="1288" max="1288" width="5.21875" style="2" customWidth="1"/>
    <col min="1289" max="1289" width="7" style="2" customWidth="1"/>
    <col min="1290" max="1290" width="5.21875" style="2" customWidth="1"/>
    <col min="1291" max="1291" width="7" style="2" customWidth="1"/>
    <col min="1292" max="1292" width="4.21875" style="2" customWidth="1"/>
    <col min="1293" max="1293" width="6.77734375" style="2" customWidth="1"/>
    <col min="1294" max="1294" width="5.44140625" style="2" customWidth="1"/>
    <col min="1295" max="1295" width="7" style="2" customWidth="1"/>
    <col min="1296" max="1296" width="5.21875" style="2" customWidth="1"/>
    <col min="1297" max="1297" width="4.77734375" style="2" customWidth="1"/>
    <col min="1298" max="1298" width="5.77734375" style="2" customWidth="1"/>
    <col min="1299" max="1299" width="7.44140625" style="2" customWidth="1"/>
    <col min="1300" max="1300" width="4" style="2" customWidth="1"/>
    <col min="1301" max="1301" width="6.44140625" style="2" customWidth="1"/>
    <col min="1302" max="1302" width="5.77734375" style="2" customWidth="1"/>
    <col min="1303" max="1303" width="6.77734375" style="2" customWidth="1"/>
    <col min="1304" max="1304" width="4.21875" style="2" customWidth="1"/>
    <col min="1305" max="1305" width="7.21875" style="2" customWidth="1"/>
    <col min="1306" max="1536" width="9.21875" style="2"/>
    <col min="1537" max="1537" width="4.5546875" style="2" customWidth="1"/>
    <col min="1538" max="1539" width="6.77734375" style="2" customWidth="1"/>
    <col min="1540" max="1540" width="3.21875" style="2" customWidth="1"/>
    <col min="1541" max="1541" width="4.21875" style="2" customWidth="1"/>
    <col min="1542" max="1542" width="5.44140625" style="2" customWidth="1"/>
    <col min="1543" max="1543" width="7.77734375" style="2" customWidth="1"/>
    <col min="1544" max="1544" width="5.21875" style="2" customWidth="1"/>
    <col min="1545" max="1545" width="7" style="2" customWidth="1"/>
    <col min="1546" max="1546" width="5.21875" style="2" customWidth="1"/>
    <col min="1547" max="1547" width="7" style="2" customWidth="1"/>
    <col min="1548" max="1548" width="4.21875" style="2" customWidth="1"/>
    <col min="1549" max="1549" width="6.77734375" style="2" customWidth="1"/>
    <col min="1550" max="1550" width="5.44140625" style="2" customWidth="1"/>
    <col min="1551" max="1551" width="7" style="2" customWidth="1"/>
    <col min="1552" max="1552" width="5.21875" style="2" customWidth="1"/>
    <col min="1553" max="1553" width="4.77734375" style="2" customWidth="1"/>
    <col min="1554" max="1554" width="5.77734375" style="2" customWidth="1"/>
    <col min="1555" max="1555" width="7.44140625" style="2" customWidth="1"/>
    <col min="1556" max="1556" width="4" style="2" customWidth="1"/>
    <col min="1557" max="1557" width="6.44140625" style="2" customWidth="1"/>
    <col min="1558" max="1558" width="5.77734375" style="2" customWidth="1"/>
    <col min="1559" max="1559" width="6.77734375" style="2" customWidth="1"/>
    <col min="1560" max="1560" width="4.21875" style="2" customWidth="1"/>
    <col min="1561" max="1561" width="7.21875" style="2" customWidth="1"/>
    <col min="1562" max="1792" width="9.21875" style="2"/>
    <col min="1793" max="1793" width="4.5546875" style="2" customWidth="1"/>
    <col min="1794" max="1795" width="6.77734375" style="2" customWidth="1"/>
    <col min="1796" max="1796" width="3.21875" style="2" customWidth="1"/>
    <col min="1797" max="1797" width="4.21875" style="2" customWidth="1"/>
    <col min="1798" max="1798" width="5.44140625" style="2" customWidth="1"/>
    <col min="1799" max="1799" width="7.77734375" style="2" customWidth="1"/>
    <col min="1800" max="1800" width="5.21875" style="2" customWidth="1"/>
    <col min="1801" max="1801" width="7" style="2" customWidth="1"/>
    <col min="1802" max="1802" width="5.21875" style="2" customWidth="1"/>
    <col min="1803" max="1803" width="7" style="2" customWidth="1"/>
    <col min="1804" max="1804" width="4.21875" style="2" customWidth="1"/>
    <col min="1805" max="1805" width="6.77734375" style="2" customWidth="1"/>
    <col min="1806" max="1806" width="5.44140625" style="2" customWidth="1"/>
    <col min="1807" max="1807" width="7" style="2" customWidth="1"/>
    <col min="1808" max="1808" width="5.21875" style="2" customWidth="1"/>
    <col min="1809" max="1809" width="4.77734375" style="2" customWidth="1"/>
    <col min="1810" max="1810" width="5.77734375" style="2" customWidth="1"/>
    <col min="1811" max="1811" width="7.44140625" style="2" customWidth="1"/>
    <col min="1812" max="1812" width="4" style="2" customWidth="1"/>
    <col min="1813" max="1813" width="6.44140625" style="2" customWidth="1"/>
    <col min="1814" max="1814" width="5.77734375" style="2" customWidth="1"/>
    <col min="1815" max="1815" width="6.77734375" style="2" customWidth="1"/>
    <col min="1816" max="1816" width="4.21875" style="2" customWidth="1"/>
    <col min="1817" max="1817" width="7.21875" style="2" customWidth="1"/>
    <col min="1818" max="2048" width="9.21875" style="2"/>
    <col min="2049" max="2049" width="4.5546875" style="2" customWidth="1"/>
    <col min="2050" max="2051" width="6.77734375" style="2" customWidth="1"/>
    <col min="2052" max="2052" width="3.21875" style="2" customWidth="1"/>
    <col min="2053" max="2053" width="4.21875" style="2" customWidth="1"/>
    <col min="2054" max="2054" width="5.44140625" style="2" customWidth="1"/>
    <col min="2055" max="2055" width="7.77734375" style="2" customWidth="1"/>
    <col min="2056" max="2056" width="5.21875" style="2" customWidth="1"/>
    <col min="2057" max="2057" width="7" style="2" customWidth="1"/>
    <col min="2058" max="2058" width="5.21875" style="2" customWidth="1"/>
    <col min="2059" max="2059" width="7" style="2" customWidth="1"/>
    <col min="2060" max="2060" width="4.21875" style="2" customWidth="1"/>
    <col min="2061" max="2061" width="6.77734375" style="2" customWidth="1"/>
    <col min="2062" max="2062" width="5.44140625" style="2" customWidth="1"/>
    <col min="2063" max="2063" width="7" style="2" customWidth="1"/>
    <col min="2064" max="2064" width="5.21875" style="2" customWidth="1"/>
    <col min="2065" max="2065" width="4.77734375" style="2" customWidth="1"/>
    <col min="2066" max="2066" width="5.77734375" style="2" customWidth="1"/>
    <col min="2067" max="2067" width="7.44140625" style="2" customWidth="1"/>
    <col min="2068" max="2068" width="4" style="2" customWidth="1"/>
    <col min="2069" max="2069" width="6.44140625" style="2" customWidth="1"/>
    <col min="2070" max="2070" width="5.77734375" style="2" customWidth="1"/>
    <col min="2071" max="2071" width="6.77734375" style="2" customWidth="1"/>
    <col min="2072" max="2072" width="4.21875" style="2" customWidth="1"/>
    <col min="2073" max="2073" width="7.21875" style="2" customWidth="1"/>
    <col min="2074" max="2304" width="9.21875" style="2"/>
    <col min="2305" max="2305" width="4.5546875" style="2" customWidth="1"/>
    <col min="2306" max="2307" width="6.77734375" style="2" customWidth="1"/>
    <col min="2308" max="2308" width="3.21875" style="2" customWidth="1"/>
    <col min="2309" max="2309" width="4.21875" style="2" customWidth="1"/>
    <col min="2310" max="2310" width="5.44140625" style="2" customWidth="1"/>
    <col min="2311" max="2311" width="7.77734375" style="2" customWidth="1"/>
    <col min="2312" max="2312" width="5.21875" style="2" customWidth="1"/>
    <col min="2313" max="2313" width="7" style="2" customWidth="1"/>
    <col min="2314" max="2314" width="5.21875" style="2" customWidth="1"/>
    <col min="2315" max="2315" width="7" style="2" customWidth="1"/>
    <col min="2316" max="2316" width="4.21875" style="2" customWidth="1"/>
    <col min="2317" max="2317" width="6.77734375" style="2" customWidth="1"/>
    <col min="2318" max="2318" width="5.44140625" style="2" customWidth="1"/>
    <col min="2319" max="2319" width="7" style="2" customWidth="1"/>
    <col min="2320" max="2320" width="5.21875" style="2" customWidth="1"/>
    <col min="2321" max="2321" width="4.77734375" style="2" customWidth="1"/>
    <col min="2322" max="2322" width="5.77734375" style="2" customWidth="1"/>
    <col min="2323" max="2323" width="7.44140625" style="2" customWidth="1"/>
    <col min="2324" max="2324" width="4" style="2" customWidth="1"/>
    <col min="2325" max="2325" width="6.44140625" style="2" customWidth="1"/>
    <col min="2326" max="2326" width="5.77734375" style="2" customWidth="1"/>
    <col min="2327" max="2327" width="6.77734375" style="2" customWidth="1"/>
    <col min="2328" max="2328" width="4.21875" style="2" customWidth="1"/>
    <col min="2329" max="2329" width="7.21875" style="2" customWidth="1"/>
    <col min="2330" max="2560" width="9.21875" style="2"/>
    <col min="2561" max="2561" width="4.5546875" style="2" customWidth="1"/>
    <col min="2562" max="2563" width="6.77734375" style="2" customWidth="1"/>
    <col min="2564" max="2564" width="3.21875" style="2" customWidth="1"/>
    <col min="2565" max="2565" width="4.21875" style="2" customWidth="1"/>
    <col min="2566" max="2566" width="5.44140625" style="2" customWidth="1"/>
    <col min="2567" max="2567" width="7.77734375" style="2" customWidth="1"/>
    <col min="2568" max="2568" width="5.21875" style="2" customWidth="1"/>
    <col min="2569" max="2569" width="7" style="2" customWidth="1"/>
    <col min="2570" max="2570" width="5.21875" style="2" customWidth="1"/>
    <col min="2571" max="2571" width="7" style="2" customWidth="1"/>
    <col min="2572" max="2572" width="4.21875" style="2" customWidth="1"/>
    <col min="2573" max="2573" width="6.77734375" style="2" customWidth="1"/>
    <col min="2574" max="2574" width="5.44140625" style="2" customWidth="1"/>
    <col min="2575" max="2575" width="7" style="2" customWidth="1"/>
    <col min="2576" max="2576" width="5.21875" style="2" customWidth="1"/>
    <col min="2577" max="2577" width="4.77734375" style="2" customWidth="1"/>
    <col min="2578" max="2578" width="5.77734375" style="2" customWidth="1"/>
    <col min="2579" max="2579" width="7.44140625" style="2" customWidth="1"/>
    <col min="2580" max="2580" width="4" style="2" customWidth="1"/>
    <col min="2581" max="2581" width="6.44140625" style="2" customWidth="1"/>
    <col min="2582" max="2582" width="5.77734375" style="2" customWidth="1"/>
    <col min="2583" max="2583" width="6.77734375" style="2" customWidth="1"/>
    <col min="2584" max="2584" width="4.21875" style="2" customWidth="1"/>
    <col min="2585" max="2585" width="7.21875" style="2" customWidth="1"/>
    <col min="2586" max="2816" width="9.21875" style="2"/>
    <col min="2817" max="2817" width="4.5546875" style="2" customWidth="1"/>
    <col min="2818" max="2819" width="6.77734375" style="2" customWidth="1"/>
    <col min="2820" max="2820" width="3.21875" style="2" customWidth="1"/>
    <col min="2821" max="2821" width="4.21875" style="2" customWidth="1"/>
    <col min="2822" max="2822" width="5.44140625" style="2" customWidth="1"/>
    <col min="2823" max="2823" width="7.77734375" style="2" customWidth="1"/>
    <col min="2824" max="2824" width="5.21875" style="2" customWidth="1"/>
    <col min="2825" max="2825" width="7" style="2" customWidth="1"/>
    <col min="2826" max="2826" width="5.21875" style="2" customWidth="1"/>
    <col min="2827" max="2827" width="7" style="2" customWidth="1"/>
    <col min="2828" max="2828" width="4.21875" style="2" customWidth="1"/>
    <col min="2829" max="2829" width="6.77734375" style="2" customWidth="1"/>
    <col min="2830" max="2830" width="5.44140625" style="2" customWidth="1"/>
    <col min="2831" max="2831" width="7" style="2" customWidth="1"/>
    <col min="2832" max="2832" width="5.21875" style="2" customWidth="1"/>
    <col min="2833" max="2833" width="4.77734375" style="2" customWidth="1"/>
    <col min="2834" max="2834" width="5.77734375" style="2" customWidth="1"/>
    <col min="2835" max="2835" width="7.44140625" style="2" customWidth="1"/>
    <col min="2836" max="2836" width="4" style="2" customWidth="1"/>
    <col min="2837" max="2837" width="6.44140625" style="2" customWidth="1"/>
    <col min="2838" max="2838" width="5.77734375" style="2" customWidth="1"/>
    <col min="2839" max="2839" width="6.77734375" style="2" customWidth="1"/>
    <col min="2840" max="2840" width="4.21875" style="2" customWidth="1"/>
    <col min="2841" max="2841" width="7.21875" style="2" customWidth="1"/>
    <col min="2842" max="3072" width="9.21875" style="2"/>
    <col min="3073" max="3073" width="4.5546875" style="2" customWidth="1"/>
    <col min="3074" max="3075" width="6.77734375" style="2" customWidth="1"/>
    <col min="3076" max="3076" width="3.21875" style="2" customWidth="1"/>
    <col min="3077" max="3077" width="4.21875" style="2" customWidth="1"/>
    <col min="3078" max="3078" width="5.44140625" style="2" customWidth="1"/>
    <col min="3079" max="3079" width="7.77734375" style="2" customWidth="1"/>
    <col min="3080" max="3080" width="5.21875" style="2" customWidth="1"/>
    <col min="3081" max="3081" width="7" style="2" customWidth="1"/>
    <col min="3082" max="3082" width="5.21875" style="2" customWidth="1"/>
    <col min="3083" max="3083" width="7" style="2" customWidth="1"/>
    <col min="3084" max="3084" width="4.21875" style="2" customWidth="1"/>
    <col min="3085" max="3085" width="6.77734375" style="2" customWidth="1"/>
    <col min="3086" max="3086" width="5.44140625" style="2" customWidth="1"/>
    <col min="3087" max="3087" width="7" style="2" customWidth="1"/>
    <col min="3088" max="3088" width="5.21875" style="2" customWidth="1"/>
    <col min="3089" max="3089" width="4.77734375" style="2" customWidth="1"/>
    <col min="3090" max="3090" width="5.77734375" style="2" customWidth="1"/>
    <col min="3091" max="3091" width="7.44140625" style="2" customWidth="1"/>
    <col min="3092" max="3092" width="4" style="2" customWidth="1"/>
    <col min="3093" max="3093" width="6.44140625" style="2" customWidth="1"/>
    <col min="3094" max="3094" width="5.77734375" style="2" customWidth="1"/>
    <col min="3095" max="3095" width="6.77734375" style="2" customWidth="1"/>
    <col min="3096" max="3096" width="4.21875" style="2" customWidth="1"/>
    <col min="3097" max="3097" width="7.21875" style="2" customWidth="1"/>
    <col min="3098" max="3328" width="9.21875" style="2"/>
    <col min="3329" max="3329" width="4.5546875" style="2" customWidth="1"/>
    <col min="3330" max="3331" width="6.77734375" style="2" customWidth="1"/>
    <col min="3332" max="3332" width="3.21875" style="2" customWidth="1"/>
    <col min="3333" max="3333" width="4.21875" style="2" customWidth="1"/>
    <col min="3334" max="3334" width="5.44140625" style="2" customWidth="1"/>
    <col min="3335" max="3335" width="7.77734375" style="2" customWidth="1"/>
    <col min="3336" max="3336" width="5.21875" style="2" customWidth="1"/>
    <col min="3337" max="3337" width="7" style="2" customWidth="1"/>
    <col min="3338" max="3338" width="5.21875" style="2" customWidth="1"/>
    <col min="3339" max="3339" width="7" style="2" customWidth="1"/>
    <col min="3340" max="3340" width="4.21875" style="2" customWidth="1"/>
    <col min="3341" max="3341" width="6.77734375" style="2" customWidth="1"/>
    <col min="3342" max="3342" width="5.44140625" style="2" customWidth="1"/>
    <col min="3343" max="3343" width="7" style="2" customWidth="1"/>
    <col min="3344" max="3344" width="5.21875" style="2" customWidth="1"/>
    <col min="3345" max="3345" width="4.77734375" style="2" customWidth="1"/>
    <col min="3346" max="3346" width="5.77734375" style="2" customWidth="1"/>
    <col min="3347" max="3347" width="7.44140625" style="2" customWidth="1"/>
    <col min="3348" max="3348" width="4" style="2" customWidth="1"/>
    <col min="3349" max="3349" width="6.44140625" style="2" customWidth="1"/>
    <col min="3350" max="3350" width="5.77734375" style="2" customWidth="1"/>
    <col min="3351" max="3351" width="6.77734375" style="2" customWidth="1"/>
    <col min="3352" max="3352" width="4.21875" style="2" customWidth="1"/>
    <col min="3353" max="3353" width="7.21875" style="2" customWidth="1"/>
    <col min="3354" max="3584" width="9.21875" style="2"/>
    <col min="3585" max="3585" width="4.5546875" style="2" customWidth="1"/>
    <col min="3586" max="3587" width="6.77734375" style="2" customWidth="1"/>
    <col min="3588" max="3588" width="3.21875" style="2" customWidth="1"/>
    <col min="3589" max="3589" width="4.21875" style="2" customWidth="1"/>
    <col min="3590" max="3590" width="5.44140625" style="2" customWidth="1"/>
    <col min="3591" max="3591" width="7.77734375" style="2" customWidth="1"/>
    <col min="3592" max="3592" width="5.21875" style="2" customWidth="1"/>
    <col min="3593" max="3593" width="7" style="2" customWidth="1"/>
    <col min="3594" max="3594" width="5.21875" style="2" customWidth="1"/>
    <col min="3595" max="3595" width="7" style="2" customWidth="1"/>
    <col min="3596" max="3596" width="4.21875" style="2" customWidth="1"/>
    <col min="3597" max="3597" width="6.77734375" style="2" customWidth="1"/>
    <col min="3598" max="3598" width="5.44140625" style="2" customWidth="1"/>
    <col min="3599" max="3599" width="7" style="2" customWidth="1"/>
    <col min="3600" max="3600" width="5.21875" style="2" customWidth="1"/>
    <col min="3601" max="3601" width="4.77734375" style="2" customWidth="1"/>
    <col min="3602" max="3602" width="5.77734375" style="2" customWidth="1"/>
    <col min="3603" max="3603" width="7.44140625" style="2" customWidth="1"/>
    <col min="3604" max="3604" width="4" style="2" customWidth="1"/>
    <col min="3605" max="3605" width="6.44140625" style="2" customWidth="1"/>
    <col min="3606" max="3606" width="5.77734375" style="2" customWidth="1"/>
    <col min="3607" max="3607" width="6.77734375" style="2" customWidth="1"/>
    <col min="3608" max="3608" width="4.21875" style="2" customWidth="1"/>
    <col min="3609" max="3609" width="7.21875" style="2" customWidth="1"/>
    <col min="3610" max="3840" width="9.21875" style="2"/>
    <col min="3841" max="3841" width="4.5546875" style="2" customWidth="1"/>
    <col min="3842" max="3843" width="6.77734375" style="2" customWidth="1"/>
    <col min="3844" max="3844" width="3.21875" style="2" customWidth="1"/>
    <col min="3845" max="3845" width="4.21875" style="2" customWidth="1"/>
    <col min="3846" max="3846" width="5.44140625" style="2" customWidth="1"/>
    <col min="3847" max="3847" width="7.77734375" style="2" customWidth="1"/>
    <col min="3848" max="3848" width="5.21875" style="2" customWidth="1"/>
    <col min="3849" max="3849" width="7" style="2" customWidth="1"/>
    <col min="3850" max="3850" width="5.21875" style="2" customWidth="1"/>
    <col min="3851" max="3851" width="7" style="2" customWidth="1"/>
    <col min="3852" max="3852" width="4.21875" style="2" customWidth="1"/>
    <col min="3853" max="3853" width="6.77734375" style="2" customWidth="1"/>
    <col min="3854" max="3854" width="5.44140625" style="2" customWidth="1"/>
    <col min="3855" max="3855" width="7" style="2" customWidth="1"/>
    <col min="3856" max="3856" width="5.21875" style="2" customWidth="1"/>
    <col min="3857" max="3857" width="4.77734375" style="2" customWidth="1"/>
    <col min="3858" max="3858" width="5.77734375" style="2" customWidth="1"/>
    <col min="3859" max="3859" width="7.44140625" style="2" customWidth="1"/>
    <col min="3860" max="3860" width="4" style="2" customWidth="1"/>
    <col min="3861" max="3861" width="6.44140625" style="2" customWidth="1"/>
    <col min="3862" max="3862" width="5.77734375" style="2" customWidth="1"/>
    <col min="3863" max="3863" width="6.77734375" style="2" customWidth="1"/>
    <col min="3864" max="3864" width="4.21875" style="2" customWidth="1"/>
    <col min="3865" max="3865" width="7.21875" style="2" customWidth="1"/>
    <col min="3866" max="4096" width="9.21875" style="2"/>
    <col min="4097" max="4097" width="4.5546875" style="2" customWidth="1"/>
    <col min="4098" max="4099" width="6.77734375" style="2" customWidth="1"/>
    <col min="4100" max="4100" width="3.21875" style="2" customWidth="1"/>
    <col min="4101" max="4101" width="4.21875" style="2" customWidth="1"/>
    <col min="4102" max="4102" width="5.44140625" style="2" customWidth="1"/>
    <col min="4103" max="4103" width="7.77734375" style="2" customWidth="1"/>
    <col min="4104" max="4104" width="5.21875" style="2" customWidth="1"/>
    <col min="4105" max="4105" width="7" style="2" customWidth="1"/>
    <col min="4106" max="4106" width="5.21875" style="2" customWidth="1"/>
    <col min="4107" max="4107" width="7" style="2" customWidth="1"/>
    <col min="4108" max="4108" width="4.21875" style="2" customWidth="1"/>
    <col min="4109" max="4109" width="6.77734375" style="2" customWidth="1"/>
    <col min="4110" max="4110" width="5.44140625" style="2" customWidth="1"/>
    <col min="4111" max="4111" width="7" style="2" customWidth="1"/>
    <col min="4112" max="4112" width="5.21875" style="2" customWidth="1"/>
    <col min="4113" max="4113" width="4.77734375" style="2" customWidth="1"/>
    <col min="4114" max="4114" width="5.77734375" style="2" customWidth="1"/>
    <col min="4115" max="4115" width="7.44140625" style="2" customWidth="1"/>
    <col min="4116" max="4116" width="4" style="2" customWidth="1"/>
    <col min="4117" max="4117" width="6.44140625" style="2" customWidth="1"/>
    <col min="4118" max="4118" width="5.77734375" style="2" customWidth="1"/>
    <col min="4119" max="4119" width="6.77734375" style="2" customWidth="1"/>
    <col min="4120" max="4120" width="4.21875" style="2" customWidth="1"/>
    <col min="4121" max="4121" width="7.21875" style="2" customWidth="1"/>
    <col min="4122" max="4352" width="9.21875" style="2"/>
    <col min="4353" max="4353" width="4.5546875" style="2" customWidth="1"/>
    <col min="4354" max="4355" width="6.77734375" style="2" customWidth="1"/>
    <col min="4356" max="4356" width="3.21875" style="2" customWidth="1"/>
    <col min="4357" max="4357" width="4.21875" style="2" customWidth="1"/>
    <col min="4358" max="4358" width="5.44140625" style="2" customWidth="1"/>
    <col min="4359" max="4359" width="7.77734375" style="2" customWidth="1"/>
    <col min="4360" max="4360" width="5.21875" style="2" customWidth="1"/>
    <col min="4361" max="4361" width="7" style="2" customWidth="1"/>
    <col min="4362" max="4362" width="5.21875" style="2" customWidth="1"/>
    <col min="4363" max="4363" width="7" style="2" customWidth="1"/>
    <col min="4364" max="4364" width="4.21875" style="2" customWidth="1"/>
    <col min="4365" max="4365" width="6.77734375" style="2" customWidth="1"/>
    <col min="4366" max="4366" width="5.44140625" style="2" customWidth="1"/>
    <col min="4367" max="4367" width="7" style="2" customWidth="1"/>
    <col min="4368" max="4368" width="5.21875" style="2" customWidth="1"/>
    <col min="4369" max="4369" width="4.77734375" style="2" customWidth="1"/>
    <col min="4370" max="4370" width="5.77734375" style="2" customWidth="1"/>
    <col min="4371" max="4371" width="7.44140625" style="2" customWidth="1"/>
    <col min="4372" max="4372" width="4" style="2" customWidth="1"/>
    <col min="4373" max="4373" width="6.44140625" style="2" customWidth="1"/>
    <col min="4374" max="4374" width="5.77734375" style="2" customWidth="1"/>
    <col min="4375" max="4375" width="6.77734375" style="2" customWidth="1"/>
    <col min="4376" max="4376" width="4.21875" style="2" customWidth="1"/>
    <col min="4377" max="4377" width="7.21875" style="2" customWidth="1"/>
    <col min="4378" max="4608" width="9.21875" style="2"/>
    <col min="4609" max="4609" width="4.5546875" style="2" customWidth="1"/>
    <col min="4610" max="4611" width="6.77734375" style="2" customWidth="1"/>
    <col min="4612" max="4612" width="3.21875" style="2" customWidth="1"/>
    <col min="4613" max="4613" width="4.21875" style="2" customWidth="1"/>
    <col min="4614" max="4614" width="5.44140625" style="2" customWidth="1"/>
    <col min="4615" max="4615" width="7.77734375" style="2" customWidth="1"/>
    <col min="4616" max="4616" width="5.21875" style="2" customWidth="1"/>
    <col min="4617" max="4617" width="7" style="2" customWidth="1"/>
    <col min="4618" max="4618" width="5.21875" style="2" customWidth="1"/>
    <col min="4619" max="4619" width="7" style="2" customWidth="1"/>
    <col min="4620" max="4620" width="4.21875" style="2" customWidth="1"/>
    <col min="4621" max="4621" width="6.77734375" style="2" customWidth="1"/>
    <col min="4622" max="4622" width="5.44140625" style="2" customWidth="1"/>
    <col min="4623" max="4623" width="7" style="2" customWidth="1"/>
    <col min="4624" max="4624" width="5.21875" style="2" customWidth="1"/>
    <col min="4625" max="4625" width="4.77734375" style="2" customWidth="1"/>
    <col min="4626" max="4626" width="5.77734375" style="2" customWidth="1"/>
    <col min="4627" max="4627" width="7.44140625" style="2" customWidth="1"/>
    <col min="4628" max="4628" width="4" style="2" customWidth="1"/>
    <col min="4629" max="4629" width="6.44140625" style="2" customWidth="1"/>
    <col min="4630" max="4630" width="5.77734375" style="2" customWidth="1"/>
    <col min="4631" max="4631" width="6.77734375" style="2" customWidth="1"/>
    <col min="4632" max="4632" width="4.21875" style="2" customWidth="1"/>
    <col min="4633" max="4633" width="7.21875" style="2" customWidth="1"/>
    <col min="4634" max="4864" width="9.21875" style="2"/>
    <col min="4865" max="4865" width="4.5546875" style="2" customWidth="1"/>
    <col min="4866" max="4867" width="6.77734375" style="2" customWidth="1"/>
    <col min="4868" max="4868" width="3.21875" style="2" customWidth="1"/>
    <col min="4869" max="4869" width="4.21875" style="2" customWidth="1"/>
    <col min="4870" max="4870" width="5.44140625" style="2" customWidth="1"/>
    <col min="4871" max="4871" width="7.77734375" style="2" customWidth="1"/>
    <col min="4872" max="4872" width="5.21875" style="2" customWidth="1"/>
    <col min="4873" max="4873" width="7" style="2" customWidth="1"/>
    <col min="4874" max="4874" width="5.21875" style="2" customWidth="1"/>
    <col min="4875" max="4875" width="7" style="2" customWidth="1"/>
    <col min="4876" max="4876" width="4.21875" style="2" customWidth="1"/>
    <col min="4877" max="4877" width="6.77734375" style="2" customWidth="1"/>
    <col min="4878" max="4878" width="5.44140625" style="2" customWidth="1"/>
    <col min="4879" max="4879" width="7" style="2" customWidth="1"/>
    <col min="4880" max="4880" width="5.21875" style="2" customWidth="1"/>
    <col min="4881" max="4881" width="4.77734375" style="2" customWidth="1"/>
    <col min="4882" max="4882" width="5.77734375" style="2" customWidth="1"/>
    <col min="4883" max="4883" width="7.44140625" style="2" customWidth="1"/>
    <col min="4884" max="4884" width="4" style="2" customWidth="1"/>
    <col min="4885" max="4885" width="6.44140625" style="2" customWidth="1"/>
    <col min="4886" max="4886" width="5.77734375" style="2" customWidth="1"/>
    <col min="4887" max="4887" width="6.77734375" style="2" customWidth="1"/>
    <col min="4888" max="4888" width="4.21875" style="2" customWidth="1"/>
    <col min="4889" max="4889" width="7.21875" style="2" customWidth="1"/>
    <col min="4890" max="5120" width="9.21875" style="2"/>
    <col min="5121" max="5121" width="4.5546875" style="2" customWidth="1"/>
    <col min="5122" max="5123" width="6.77734375" style="2" customWidth="1"/>
    <col min="5124" max="5124" width="3.21875" style="2" customWidth="1"/>
    <col min="5125" max="5125" width="4.21875" style="2" customWidth="1"/>
    <col min="5126" max="5126" width="5.44140625" style="2" customWidth="1"/>
    <col min="5127" max="5127" width="7.77734375" style="2" customWidth="1"/>
    <col min="5128" max="5128" width="5.21875" style="2" customWidth="1"/>
    <col min="5129" max="5129" width="7" style="2" customWidth="1"/>
    <col min="5130" max="5130" width="5.21875" style="2" customWidth="1"/>
    <col min="5131" max="5131" width="7" style="2" customWidth="1"/>
    <col min="5132" max="5132" width="4.21875" style="2" customWidth="1"/>
    <col min="5133" max="5133" width="6.77734375" style="2" customWidth="1"/>
    <col min="5134" max="5134" width="5.44140625" style="2" customWidth="1"/>
    <col min="5135" max="5135" width="7" style="2" customWidth="1"/>
    <col min="5136" max="5136" width="5.21875" style="2" customWidth="1"/>
    <col min="5137" max="5137" width="4.77734375" style="2" customWidth="1"/>
    <col min="5138" max="5138" width="5.77734375" style="2" customWidth="1"/>
    <col min="5139" max="5139" width="7.44140625" style="2" customWidth="1"/>
    <col min="5140" max="5140" width="4" style="2" customWidth="1"/>
    <col min="5141" max="5141" width="6.44140625" style="2" customWidth="1"/>
    <col min="5142" max="5142" width="5.77734375" style="2" customWidth="1"/>
    <col min="5143" max="5143" width="6.77734375" style="2" customWidth="1"/>
    <col min="5144" max="5144" width="4.21875" style="2" customWidth="1"/>
    <col min="5145" max="5145" width="7.21875" style="2" customWidth="1"/>
    <col min="5146" max="5376" width="9.21875" style="2"/>
    <col min="5377" max="5377" width="4.5546875" style="2" customWidth="1"/>
    <col min="5378" max="5379" width="6.77734375" style="2" customWidth="1"/>
    <col min="5380" max="5380" width="3.21875" style="2" customWidth="1"/>
    <col min="5381" max="5381" width="4.21875" style="2" customWidth="1"/>
    <col min="5382" max="5382" width="5.44140625" style="2" customWidth="1"/>
    <col min="5383" max="5383" width="7.77734375" style="2" customWidth="1"/>
    <col min="5384" max="5384" width="5.21875" style="2" customWidth="1"/>
    <col min="5385" max="5385" width="7" style="2" customWidth="1"/>
    <col min="5386" max="5386" width="5.21875" style="2" customWidth="1"/>
    <col min="5387" max="5387" width="7" style="2" customWidth="1"/>
    <col min="5388" max="5388" width="4.21875" style="2" customWidth="1"/>
    <col min="5389" max="5389" width="6.77734375" style="2" customWidth="1"/>
    <col min="5390" max="5390" width="5.44140625" style="2" customWidth="1"/>
    <col min="5391" max="5391" width="7" style="2" customWidth="1"/>
    <col min="5392" max="5392" width="5.21875" style="2" customWidth="1"/>
    <col min="5393" max="5393" width="4.77734375" style="2" customWidth="1"/>
    <col min="5394" max="5394" width="5.77734375" style="2" customWidth="1"/>
    <col min="5395" max="5395" width="7.44140625" style="2" customWidth="1"/>
    <col min="5396" max="5396" width="4" style="2" customWidth="1"/>
    <col min="5397" max="5397" width="6.44140625" style="2" customWidth="1"/>
    <col min="5398" max="5398" width="5.77734375" style="2" customWidth="1"/>
    <col min="5399" max="5399" width="6.77734375" style="2" customWidth="1"/>
    <col min="5400" max="5400" width="4.21875" style="2" customWidth="1"/>
    <col min="5401" max="5401" width="7.21875" style="2" customWidth="1"/>
    <col min="5402" max="5632" width="9.21875" style="2"/>
    <col min="5633" max="5633" width="4.5546875" style="2" customWidth="1"/>
    <col min="5634" max="5635" width="6.77734375" style="2" customWidth="1"/>
    <col min="5636" max="5636" width="3.21875" style="2" customWidth="1"/>
    <col min="5637" max="5637" width="4.21875" style="2" customWidth="1"/>
    <col min="5638" max="5638" width="5.44140625" style="2" customWidth="1"/>
    <col min="5639" max="5639" width="7.77734375" style="2" customWidth="1"/>
    <col min="5640" max="5640" width="5.21875" style="2" customWidth="1"/>
    <col min="5641" max="5641" width="7" style="2" customWidth="1"/>
    <col min="5642" max="5642" width="5.21875" style="2" customWidth="1"/>
    <col min="5643" max="5643" width="7" style="2" customWidth="1"/>
    <col min="5644" max="5644" width="4.21875" style="2" customWidth="1"/>
    <col min="5645" max="5645" width="6.77734375" style="2" customWidth="1"/>
    <col min="5646" max="5646" width="5.44140625" style="2" customWidth="1"/>
    <col min="5647" max="5647" width="7" style="2" customWidth="1"/>
    <col min="5648" max="5648" width="5.21875" style="2" customWidth="1"/>
    <col min="5649" max="5649" width="4.77734375" style="2" customWidth="1"/>
    <col min="5650" max="5650" width="5.77734375" style="2" customWidth="1"/>
    <col min="5651" max="5651" width="7.44140625" style="2" customWidth="1"/>
    <col min="5652" max="5652" width="4" style="2" customWidth="1"/>
    <col min="5653" max="5653" width="6.44140625" style="2" customWidth="1"/>
    <col min="5654" max="5654" width="5.77734375" style="2" customWidth="1"/>
    <col min="5655" max="5655" width="6.77734375" style="2" customWidth="1"/>
    <col min="5656" max="5656" width="4.21875" style="2" customWidth="1"/>
    <col min="5657" max="5657" width="7.21875" style="2" customWidth="1"/>
    <col min="5658" max="5888" width="9.21875" style="2"/>
    <col min="5889" max="5889" width="4.5546875" style="2" customWidth="1"/>
    <col min="5890" max="5891" width="6.77734375" style="2" customWidth="1"/>
    <col min="5892" max="5892" width="3.21875" style="2" customWidth="1"/>
    <col min="5893" max="5893" width="4.21875" style="2" customWidth="1"/>
    <col min="5894" max="5894" width="5.44140625" style="2" customWidth="1"/>
    <col min="5895" max="5895" width="7.77734375" style="2" customWidth="1"/>
    <col min="5896" max="5896" width="5.21875" style="2" customWidth="1"/>
    <col min="5897" max="5897" width="7" style="2" customWidth="1"/>
    <col min="5898" max="5898" width="5.21875" style="2" customWidth="1"/>
    <col min="5899" max="5899" width="7" style="2" customWidth="1"/>
    <col min="5900" max="5900" width="4.21875" style="2" customWidth="1"/>
    <col min="5901" max="5901" width="6.77734375" style="2" customWidth="1"/>
    <col min="5902" max="5902" width="5.44140625" style="2" customWidth="1"/>
    <col min="5903" max="5903" width="7" style="2" customWidth="1"/>
    <col min="5904" max="5904" width="5.21875" style="2" customWidth="1"/>
    <col min="5905" max="5905" width="4.77734375" style="2" customWidth="1"/>
    <col min="5906" max="5906" width="5.77734375" style="2" customWidth="1"/>
    <col min="5907" max="5907" width="7.44140625" style="2" customWidth="1"/>
    <col min="5908" max="5908" width="4" style="2" customWidth="1"/>
    <col min="5909" max="5909" width="6.44140625" style="2" customWidth="1"/>
    <col min="5910" max="5910" width="5.77734375" style="2" customWidth="1"/>
    <col min="5911" max="5911" width="6.77734375" style="2" customWidth="1"/>
    <col min="5912" max="5912" width="4.21875" style="2" customWidth="1"/>
    <col min="5913" max="5913" width="7.21875" style="2" customWidth="1"/>
    <col min="5914" max="6144" width="9.21875" style="2"/>
    <col min="6145" max="6145" width="4.5546875" style="2" customWidth="1"/>
    <col min="6146" max="6147" width="6.77734375" style="2" customWidth="1"/>
    <col min="6148" max="6148" width="3.21875" style="2" customWidth="1"/>
    <col min="6149" max="6149" width="4.21875" style="2" customWidth="1"/>
    <col min="6150" max="6150" width="5.44140625" style="2" customWidth="1"/>
    <col min="6151" max="6151" width="7.77734375" style="2" customWidth="1"/>
    <col min="6152" max="6152" width="5.21875" style="2" customWidth="1"/>
    <col min="6153" max="6153" width="7" style="2" customWidth="1"/>
    <col min="6154" max="6154" width="5.21875" style="2" customWidth="1"/>
    <col min="6155" max="6155" width="7" style="2" customWidth="1"/>
    <col min="6156" max="6156" width="4.21875" style="2" customWidth="1"/>
    <col min="6157" max="6157" width="6.77734375" style="2" customWidth="1"/>
    <col min="6158" max="6158" width="5.44140625" style="2" customWidth="1"/>
    <col min="6159" max="6159" width="7" style="2" customWidth="1"/>
    <col min="6160" max="6160" width="5.21875" style="2" customWidth="1"/>
    <col min="6161" max="6161" width="4.77734375" style="2" customWidth="1"/>
    <col min="6162" max="6162" width="5.77734375" style="2" customWidth="1"/>
    <col min="6163" max="6163" width="7.44140625" style="2" customWidth="1"/>
    <col min="6164" max="6164" width="4" style="2" customWidth="1"/>
    <col min="6165" max="6165" width="6.44140625" style="2" customWidth="1"/>
    <col min="6166" max="6166" width="5.77734375" style="2" customWidth="1"/>
    <col min="6167" max="6167" width="6.77734375" style="2" customWidth="1"/>
    <col min="6168" max="6168" width="4.21875" style="2" customWidth="1"/>
    <col min="6169" max="6169" width="7.21875" style="2" customWidth="1"/>
    <col min="6170" max="6400" width="9.21875" style="2"/>
    <col min="6401" max="6401" width="4.5546875" style="2" customWidth="1"/>
    <col min="6402" max="6403" width="6.77734375" style="2" customWidth="1"/>
    <col min="6404" max="6404" width="3.21875" style="2" customWidth="1"/>
    <col min="6405" max="6405" width="4.21875" style="2" customWidth="1"/>
    <col min="6406" max="6406" width="5.44140625" style="2" customWidth="1"/>
    <col min="6407" max="6407" width="7.77734375" style="2" customWidth="1"/>
    <col min="6408" max="6408" width="5.21875" style="2" customWidth="1"/>
    <col min="6409" max="6409" width="7" style="2" customWidth="1"/>
    <col min="6410" max="6410" width="5.21875" style="2" customWidth="1"/>
    <col min="6411" max="6411" width="7" style="2" customWidth="1"/>
    <col min="6412" max="6412" width="4.21875" style="2" customWidth="1"/>
    <col min="6413" max="6413" width="6.77734375" style="2" customWidth="1"/>
    <col min="6414" max="6414" width="5.44140625" style="2" customWidth="1"/>
    <col min="6415" max="6415" width="7" style="2" customWidth="1"/>
    <col min="6416" max="6416" width="5.21875" style="2" customWidth="1"/>
    <col min="6417" max="6417" width="4.77734375" style="2" customWidth="1"/>
    <col min="6418" max="6418" width="5.77734375" style="2" customWidth="1"/>
    <col min="6419" max="6419" width="7.44140625" style="2" customWidth="1"/>
    <col min="6420" max="6420" width="4" style="2" customWidth="1"/>
    <col min="6421" max="6421" width="6.44140625" style="2" customWidth="1"/>
    <col min="6422" max="6422" width="5.77734375" style="2" customWidth="1"/>
    <col min="6423" max="6423" width="6.77734375" style="2" customWidth="1"/>
    <col min="6424" max="6424" width="4.21875" style="2" customWidth="1"/>
    <col min="6425" max="6425" width="7.21875" style="2" customWidth="1"/>
    <col min="6426" max="6656" width="9.21875" style="2"/>
    <col min="6657" max="6657" width="4.5546875" style="2" customWidth="1"/>
    <col min="6658" max="6659" width="6.77734375" style="2" customWidth="1"/>
    <col min="6660" max="6660" width="3.21875" style="2" customWidth="1"/>
    <col min="6661" max="6661" width="4.21875" style="2" customWidth="1"/>
    <col min="6662" max="6662" width="5.44140625" style="2" customWidth="1"/>
    <col min="6663" max="6663" width="7.77734375" style="2" customWidth="1"/>
    <col min="6664" max="6664" width="5.21875" style="2" customWidth="1"/>
    <col min="6665" max="6665" width="7" style="2" customWidth="1"/>
    <col min="6666" max="6666" width="5.21875" style="2" customWidth="1"/>
    <col min="6667" max="6667" width="7" style="2" customWidth="1"/>
    <col min="6668" max="6668" width="4.21875" style="2" customWidth="1"/>
    <col min="6669" max="6669" width="6.77734375" style="2" customWidth="1"/>
    <col min="6670" max="6670" width="5.44140625" style="2" customWidth="1"/>
    <col min="6671" max="6671" width="7" style="2" customWidth="1"/>
    <col min="6672" max="6672" width="5.21875" style="2" customWidth="1"/>
    <col min="6673" max="6673" width="4.77734375" style="2" customWidth="1"/>
    <col min="6674" max="6674" width="5.77734375" style="2" customWidth="1"/>
    <col min="6675" max="6675" width="7.44140625" style="2" customWidth="1"/>
    <col min="6676" max="6676" width="4" style="2" customWidth="1"/>
    <col min="6677" max="6677" width="6.44140625" style="2" customWidth="1"/>
    <col min="6678" max="6678" width="5.77734375" style="2" customWidth="1"/>
    <col min="6679" max="6679" width="6.77734375" style="2" customWidth="1"/>
    <col min="6680" max="6680" width="4.21875" style="2" customWidth="1"/>
    <col min="6681" max="6681" width="7.21875" style="2" customWidth="1"/>
    <col min="6682" max="6912" width="9.21875" style="2"/>
    <col min="6913" max="6913" width="4.5546875" style="2" customWidth="1"/>
    <col min="6914" max="6915" width="6.77734375" style="2" customWidth="1"/>
    <col min="6916" max="6916" width="3.21875" style="2" customWidth="1"/>
    <col min="6917" max="6917" width="4.21875" style="2" customWidth="1"/>
    <col min="6918" max="6918" width="5.44140625" style="2" customWidth="1"/>
    <col min="6919" max="6919" width="7.77734375" style="2" customWidth="1"/>
    <col min="6920" max="6920" width="5.21875" style="2" customWidth="1"/>
    <col min="6921" max="6921" width="7" style="2" customWidth="1"/>
    <col min="6922" max="6922" width="5.21875" style="2" customWidth="1"/>
    <col min="6923" max="6923" width="7" style="2" customWidth="1"/>
    <col min="6924" max="6924" width="4.21875" style="2" customWidth="1"/>
    <col min="6925" max="6925" width="6.77734375" style="2" customWidth="1"/>
    <col min="6926" max="6926" width="5.44140625" style="2" customWidth="1"/>
    <col min="6927" max="6927" width="7" style="2" customWidth="1"/>
    <col min="6928" max="6928" width="5.21875" style="2" customWidth="1"/>
    <col min="6929" max="6929" width="4.77734375" style="2" customWidth="1"/>
    <col min="6930" max="6930" width="5.77734375" style="2" customWidth="1"/>
    <col min="6931" max="6931" width="7.44140625" style="2" customWidth="1"/>
    <col min="6932" max="6932" width="4" style="2" customWidth="1"/>
    <col min="6933" max="6933" width="6.44140625" style="2" customWidth="1"/>
    <col min="6934" max="6934" width="5.77734375" style="2" customWidth="1"/>
    <col min="6935" max="6935" width="6.77734375" style="2" customWidth="1"/>
    <col min="6936" max="6936" width="4.21875" style="2" customWidth="1"/>
    <col min="6937" max="6937" width="7.21875" style="2" customWidth="1"/>
    <col min="6938" max="7168" width="9.21875" style="2"/>
    <col min="7169" max="7169" width="4.5546875" style="2" customWidth="1"/>
    <col min="7170" max="7171" width="6.77734375" style="2" customWidth="1"/>
    <col min="7172" max="7172" width="3.21875" style="2" customWidth="1"/>
    <col min="7173" max="7173" width="4.21875" style="2" customWidth="1"/>
    <col min="7174" max="7174" width="5.44140625" style="2" customWidth="1"/>
    <col min="7175" max="7175" width="7.77734375" style="2" customWidth="1"/>
    <col min="7176" max="7176" width="5.21875" style="2" customWidth="1"/>
    <col min="7177" max="7177" width="7" style="2" customWidth="1"/>
    <col min="7178" max="7178" width="5.21875" style="2" customWidth="1"/>
    <col min="7179" max="7179" width="7" style="2" customWidth="1"/>
    <col min="7180" max="7180" width="4.21875" style="2" customWidth="1"/>
    <col min="7181" max="7181" width="6.77734375" style="2" customWidth="1"/>
    <col min="7182" max="7182" width="5.44140625" style="2" customWidth="1"/>
    <col min="7183" max="7183" width="7" style="2" customWidth="1"/>
    <col min="7184" max="7184" width="5.21875" style="2" customWidth="1"/>
    <col min="7185" max="7185" width="4.77734375" style="2" customWidth="1"/>
    <col min="7186" max="7186" width="5.77734375" style="2" customWidth="1"/>
    <col min="7187" max="7187" width="7.44140625" style="2" customWidth="1"/>
    <col min="7188" max="7188" width="4" style="2" customWidth="1"/>
    <col min="7189" max="7189" width="6.44140625" style="2" customWidth="1"/>
    <col min="7190" max="7190" width="5.77734375" style="2" customWidth="1"/>
    <col min="7191" max="7191" width="6.77734375" style="2" customWidth="1"/>
    <col min="7192" max="7192" width="4.21875" style="2" customWidth="1"/>
    <col min="7193" max="7193" width="7.21875" style="2" customWidth="1"/>
    <col min="7194" max="7424" width="9.21875" style="2"/>
    <col min="7425" max="7425" width="4.5546875" style="2" customWidth="1"/>
    <col min="7426" max="7427" width="6.77734375" style="2" customWidth="1"/>
    <col min="7428" max="7428" width="3.21875" style="2" customWidth="1"/>
    <col min="7429" max="7429" width="4.21875" style="2" customWidth="1"/>
    <col min="7430" max="7430" width="5.44140625" style="2" customWidth="1"/>
    <col min="7431" max="7431" width="7.77734375" style="2" customWidth="1"/>
    <col min="7432" max="7432" width="5.21875" style="2" customWidth="1"/>
    <col min="7433" max="7433" width="7" style="2" customWidth="1"/>
    <col min="7434" max="7434" width="5.21875" style="2" customWidth="1"/>
    <col min="7435" max="7435" width="7" style="2" customWidth="1"/>
    <col min="7436" max="7436" width="4.21875" style="2" customWidth="1"/>
    <col min="7437" max="7437" width="6.77734375" style="2" customWidth="1"/>
    <col min="7438" max="7438" width="5.44140625" style="2" customWidth="1"/>
    <col min="7439" max="7439" width="7" style="2" customWidth="1"/>
    <col min="7440" max="7440" width="5.21875" style="2" customWidth="1"/>
    <col min="7441" max="7441" width="4.77734375" style="2" customWidth="1"/>
    <col min="7442" max="7442" width="5.77734375" style="2" customWidth="1"/>
    <col min="7443" max="7443" width="7.44140625" style="2" customWidth="1"/>
    <col min="7444" max="7444" width="4" style="2" customWidth="1"/>
    <col min="7445" max="7445" width="6.44140625" style="2" customWidth="1"/>
    <col min="7446" max="7446" width="5.77734375" style="2" customWidth="1"/>
    <col min="7447" max="7447" width="6.77734375" style="2" customWidth="1"/>
    <col min="7448" max="7448" width="4.21875" style="2" customWidth="1"/>
    <col min="7449" max="7449" width="7.21875" style="2" customWidth="1"/>
    <col min="7450" max="7680" width="9.21875" style="2"/>
    <col min="7681" max="7681" width="4.5546875" style="2" customWidth="1"/>
    <col min="7682" max="7683" width="6.77734375" style="2" customWidth="1"/>
    <col min="7684" max="7684" width="3.21875" style="2" customWidth="1"/>
    <col min="7685" max="7685" width="4.21875" style="2" customWidth="1"/>
    <col min="7686" max="7686" width="5.44140625" style="2" customWidth="1"/>
    <col min="7687" max="7687" width="7.77734375" style="2" customWidth="1"/>
    <col min="7688" max="7688" width="5.21875" style="2" customWidth="1"/>
    <col min="7689" max="7689" width="7" style="2" customWidth="1"/>
    <col min="7690" max="7690" width="5.21875" style="2" customWidth="1"/>
    <col min="7691" max="7691" width="7" style="2" customWidth="1"/>
    <col min="7692" max="7692" width="4.21875" style="2" customWidth="1"/>
    <col min="7693" max="7693" width="6.77734375" style="2" customWidth="1"/>
    <col min="7694" max="7694" width="5.44140625" style="2" customWidth="1"/>
    <col min="7695" max="7695" width="7" style="2" customWidth="1"/>
    <col min="7696" max="7696" width="5.21875" style="2" customWidth="1"/>
    <col min="7697" max="7697" width="4.77734375" style="2" customWidth="1"/>
    <col min="7698" max="7698" width="5.77734375" style="2" customWidth="1"/>
    <col min="7699" max="7699" width="7.44140625" style="2" customWidth="1"/>
    <col min="7700" max="7700" width="4" style="2" customWidth="1"/>
    <col min="7701" max="7701" width="6.44140625" style="2" customWidth="1"/>
    <col min="7702" max="7702" width="5.77734375" style="2" customWidth="1"/>
    <col min="7703" max="7703" width="6.77734375" style="2" customWidth="1"/>
    <col min="7704" max="7704" width="4.21875" style="2" customWidth="1"/>
    <col min="7705" max="7705" width="7.21875" style="2" customWidth="1"/>
    <col min="7706" max="7936" width="9.21875" style="2"/>
    <col min="7937" max="7937" width="4.5546875" style="2" customWidth="1"/>
    <col min="7938" max="7939" width="6.77734375" style="2" customWidth="1"/>
    <col min="7940" max="7940" width="3.21875" style="2" customWidth="1"/>
    <col min="7941" max="7941" width="4.21875" style="2" customWidth="1"/>
    <col min="7942" max="7942" width="5.44140625" style="2" customWidth="1"/>
    <col min="7943" max="7943" width="7.77734375" style="2" customWidth="1"/>
    <col min="7944" max="7944" width="5.21875" style="2" customWidth="1"/>
    <col min="7945" max="7945" width="7" style="2" customWidth="1"/>
    <col min="7946" max="7946" width="5.21875" style="2" customWidth="1"/>
    <col min="7947" max="7947" width="7" style="2" customWidth="1"/>
    <col min="7948" max="7948" width="4.21875" style="2" customWidth="1"/>
    <col min="7949" max="7949" width="6.77734375" style="2" customWidth="1"/>
    <col min="7950" max="7950" width="5.44140625" style="2" customWidth="1"/>
    <col min="7951" max="7951" width="7" style="2" customWidth="1"/>
    <col min="7952" max="7952" width="5.21875" style="2" customWidth="1"/>
    <col min="7953" max="7953" width="4.77734375" style="2" customWidth="1"/>
    <col min="7954" max="7954" width="5.77734375" style="2" customWidth="1"/>
    <col min="7955" max="7955" width="7.44140625" style="2" customWidth="1"/>
    <col min="7956" max="7956" width="4" style="2" customWidth="1"/>
    <col min="7957" max="7957" width="6.44140625" style="2" customWidth="1"/>
    <col min="7958" max="7958" width="5.77734375" style="2" customWidth="1"/>
    <col min="7959" max="7959" width="6.77734375" style="2" customWidth="1"/>
    <col min="7960" max="7960" width="4.21875" style="2" customWidth="1"/>
    <col min="7961" max="7961" width="7.21875" style="2" customWidth="1"/>
    <col min="7962" max="8192" width="9.21875" style="2"/>
    <col min="8193" max="8193" width="4.5546875" style="2" customWidth="1"/>
    <col min="8194" max="8195" width="6.77734375" style="2" customWidth="1"/>
    <col min="8196" max="8196" width="3.21875" style="2" customWidth="1"/>
    <col min="8197" max="8197" width="4.21875" style="2" customWidth="1"/>
    <col min="8198" max="8198" width="5.44140625" style="2" customWidth="1"/>
    <col min="8199" max="8199" width="7.77734375" style="2" customWidth="1"/>
    <col min="8200" max="8200" width="5.21875" style="2" customWidth="1"/>
    <col min="8201" max="8201" width="7" style="2" customWidth="1"/>
    <col min="8202" max="8202" width="5.21875" style="2" customWidth="1"/>
    <col min="8203" max="8203" width="7" style="2" customWidth="1"/>
    <col min="8204" max="8204" width="4.21875" style="2" customWidth="1"/>
    <col min="8205" max="8205" width="6.77734375" style="2" customWidth="1"/>
    <col min="8206" max="8206" width="5.44140625" style="2" customWidth="1"/>
    <col min="8207" max="8207" width="7" style="2" customWidth="1"/>
    <col min="8208" max="8208" width="5.21875" style="2" customWidth="1"/>
    <col min="8209" max="8209" width="4.77734375" style="2" customWidth="1"/>
    <col min="8210" max="8210" width="5.77734375" style="2" customWidth="1"/>
    <col min="8211" max="8211" width="7.44140625" style="2" customWidth="1"/>
    <col min="8212" max="8212" width="4" style="2" customWidth="1"/>
    <col min="8213" max="8213" width="6.44140625" style="2" customWidth="1"/>
    <col min="8214" max="8214" width="5.77734375" style="2" customWidth="1"/>
    <col min="8215" max="8215" width="6.77734375" style="2" customWidth="1"/>
    <col min="8216" max="8216" width="4.21875" style="2" customWidth="1"/>
    <col min="8217" max="8217" width="7.21875" style="2" customWidth="1"/>
    <col min="8218" max="8448" width="9.21875" style="2"/>
    <col min="8449" max="8449" width="4.5546875" style="2" customWidth="1"/>
    <col min="8450" max="8451" width="6.77734375" style="2" customWidth="1"/>
    <col min="8452" max="8452" width="3.21875" style="2" customWidth="1"/>
    <col min="8453" max="8453" width="4.21875" style="2" customWidth="1"/>
    <col min="8454" max="8454" width="5.44140625" style="2" customWidth="1"/>
    <col min="8455" max="8455" width="7.77734375" style="2" customWidth="1"/>
    <col min="8456" max="8456" width="5.21875" style="2" customWidth="1"/>
    <col min="8457" max="8457" width="7" style="2" customWidth="1"/>
    <col min="8458" max="8458" width="5.21875" style="2" customWidth="1"/>
    <col min="8459" max="8459" width="7" style="2" customWidth="1"/>
    <col min="8460" max="8460" width="4.21875" style="2" customWidth="1"/>
    <col min="8461" max="8461" width="6.77734375" style="2" customWidth="1"/>
    <col min="8462" max="8462" width="5.44140625" style="2" customWidth="1"/>
    <col min="8463" max="8463" width="7" style="2" customWidth="1"/>
    <col min="8464" max="8464" width="5.21875" style="2" customWidth="1"/>
    <col min="8465" max="8465" width="4.77734375" style="2" customWidth="1"/>
    <col min="8466" max="8466" width="5.77734375" style="2" customWidth="1"/>
    <col min="8467" max="8467" width="7.44140625" style="2" customWidth="1"/>
    <col min="8468" max="8468" width="4" style="2" customWidth="1"/>
    <col min="8469" max="8469" width="6.44140625" style="2" customWidth="1"/>
    <col min="8470" max="8470" width="5.77734375" style="2" customWidth="1"/>
    <col min="8471" max="8471" width="6.77734375" style="2" customWidth="1"/>
    <col min="8472" max="8472" width="4.21875" style="2" customWidth="1"/>
    <col min="8473" max="8473" width="7.21875" style="2" customWidth="1"/>
    <col min="8474" max="8704" width="9.21875" style="2"/>
    <col min="8705" max="8705" width="4.5546875" style="2" customWidth="1"/>
    <col min="8706" max="8707" width="6.77734375" style="2" customWidth="1"/>
    <col min="8708" max="8708" width="3.21875" style="2" customWidth="1"/>
    <col min="8709" max="8709" width="4.21875" style="2" customWidth="1"/>
    <col min="8710" max="8710" width="5.44140625" style="2" customWidth="1"/>
    <col min="8711" max="8711" width="7.77734375" style="2" customWidth="1"/>
    <col min="8712" max="8712" width="5.21875" style="2" customWidth="1"/>
    <col min="8713" max="8713" width="7" style="2" customWidth="1"/>
    <col min="8714" max="8714" width="5.21875" style="2" customWidth="1"/>
    <col min="8715" max="8715" width="7" style="2" customWidth="1"/>
    <col min="8716" max="8716" width="4.21875" style="2" customWidth="1"/>
    <col min="8717" max="8717" width="6.77734375" style="2" customWidth="1"/>
    <col min="8718" max="8718" width="5.44140625" style="2" customWidth="1"/>
    <col min="8719" max="8719" width="7" style="2" customWidth="1"/>
    <col min="8720" max="8720" width="5.21875" style="2" customWidth="1"/>
    <col min="8721" max="8721" width="4.77734375" style="2" customWidth="1"/>
    <col min="8722" max="8722" width="5.77734375" style="2" customWidth="1"/>
    <col min="8723" max="8723" width="7.44140625" style="2" customWidth="1"/>
    <col min="8724" max="8724" width="4" style="2" customWidth="1"/>
    <col min="8725" max="8725" width="6.44140625" style="2" customWidth="1"/>
    <col min="8726" max="8726" width="5.77734375" style="2" customWidth="1"/>
    <col min="8727" max="8727" width="6.77734375" style="2" customWidth="1"/>
    <col min="8728" max="8728" width="4.21875" style="2" customWidth="1"/>
    <col min="8729" max="8729" width="7.21875" style="2" customWidth="1"/>
    <col min="8730" max="8960" width="9.21875" style="2"/>
    <col min="8961" max="8961" width="4.5546875" style="2" customWidth="1"/>
    <col min="8962" max="8963" width="6.77734375" style="2" customWidth="1"/>
    <col min="8964" max="8964" width="3.21875" style="2" customWidth="1"/>
    <col min="8965" max="8965" width="4.21875" style="2" customWidth="1"/>
    <col min="8966" max="8966" width="5.44140625" style="2" customWidth="1"/>
    <col min="8967" max="8967" width="7.77734375" style="2" customWidth="1"/>
    <col min="8968" max="8968" width="5.21875" style="2" customWidth="1"/>
    <col min="8969" max="8969" width="7" style="2" customWidth="1"/>
    <col min="8970" max="8970" width="5.21875" style="2" customWidth="1"/>
    <col min="8971" max="8971" width="7" style="2" customWidth="1"/>
    <col min="8972" max="8972" width="4.21875" style="2" customWidth="1"/>
    <col min="8973" max="8973" width="6.77734375" style="2" customWidth="1"/>
    <col min="8974" max="8974" width="5.44140625" style="2" customWidth="1"/>
    <col min="8975" max="8975" width="7" style="2" customWidth="1"/>
    <col min="8976" max="8976" width="5.21875" style="2" customWidth="1"/>
    <col min="8977" max="8977" width="4.77734375" style="2" customWidth="1"/>
    <col min="8978" max="8978" width="5.77734375" style="2" customWidth="1"/>
    <col min="8979" max="8979" width="7.44140625" style="2" customWidth="1"/>
    <col min="8980" max="8980" width="4" style="2" customWidth="1"/>
    <col min="8981" max="8981" width="6.44140625" style="2" customWidth="1"/>
    <col min="8982" max="8982" width="5.77734375" style="2" customWidth="1"/>
    <col min="8983" max="8983" width="6.77734375" style="2" customWidth="1"/>
    <col min="8984" max="8984" width="4.21875" style="2" customWidth="1"/>
    <col min="8985" max="8985" width="7.21875" style="2" customWidth="1"/>
    <col min="8986" max="9216" width="9.21875" style="2"/>
    <col min="9217" max="9217" width="4.5546875" style="2" customWidth="1"/>
    <col min="9218" max="9219" width="6.77734375" style="2" customWidth="1"/>
    <col min="9220" max="9220" width="3.21875" style="2" customWidth="1"/>
    <col min="9221" max="9221" width="4.21875" style="2" customWidth="1"/>
    <col min="9222" max="9222" width="5.44140625" style="2" customWidth="1"/>
    <col min="9223" max="9223" width="7.77734375" style="2" customWidth="1"/>
    <col min="9224" max="9224" width="5.21875" style="2" customWidth="1"/>
    <col min="9225" max="9225" width="7" style="2" customWidth="1"/>
    <col min="9226" max="9226" width="5.21875" style="2" customWidth="1"/>
    <col min="9227" max="9227" width="7" style="2" customWidth="1"/>
    <col min="9228" max="9228" width="4.21875" style="2" customWidth="1"/>
    <col min="9229" max="9229" width="6.77734375" style="2" customWidth="1"/>
    <col min="9230" max="9230" width="5.44140625" style="2" customWidth="1"/>
    <col min="9231" max="9231" width="7" style="2" customWidth="1"/>
    <col min="9232" max="9232" width="5.21875" style="2" customWidth="1"/>
    <col min="9233" max="9233" width="4.77734375" style="2" customWidth="1"/>
    <col min="9234" max="9234" width="5.77734375" style="2" customWidth="1"/>
    <col min="9235" max="9235" width="7.44140625" style="2" customWidth="1"/>
    <col min="9236" max="9236" width="4" style="2" customWidth="1"/>
    <col min="9237" max="9237" width="6.44140625" style="2" customWidth="1"/>
    <col min="9238" max="9238" width="5.77734375" style="2" customWidth="1"/>
    <col min="9239" max="9239" width="6.77734375" style="2" customWidth="1"/>
    <col min="9240" max="9240" width="4.21875" style="2" customWidth="1"/>
    <col min="9241" max="9241" width="7.21875" style="2" customWidth="1"/>
    <col min="9242" max="9472" width="9.21875" style="2"/>
    <col min="9473" max="9473" width="4.5546875" style="2" customWidth="1"/>
    <col min="9474" max="9475" width="6.77734375" style="2" customWidth="1"/>
    <col min="9476" max="9476" width="3.21875" style="2" customWidth="1"/>
    <col min="9477" max="9477" width="4.21875" style="2" customWidth="1"/>
    <col min="9478" max="9478" width="5.44140625" style="2" customWidth="1"/>
    <col min="9479" max="9479" width="7.77734375" style="2" customWidth="1"/>
    <col min="9480" max="9480" width="5.21875" style="2" customWidth="1"/>
    <col min="9481" max="9481" width="7" style="2" customWidth="1"/>
    <col min="9482" max="9482" width="5.21875" style="2" customWidth="1"/>
    <col min="9483" max="9483" width="7" style="2" customWidth="1"/>
    <col min="9484" max="9484" width="4.21875" style="2" customWidth="1"/>
    <col min="9485" max="9485" width="6.77734375" style="2" customWidth="1"/>
    <col min="9486" max="9486" width="5.44140625" style="2" customWidth="1"/>
    <col min="9487" max="9487" width="7" style="2" customWidth="1"/>
    <col min="9488" max="9488" width="5.21875" style="2" customWidth="1"/>
    <col min="9489" max="9489" width="4.77734375" style="2" customWidth="1"/>
    <col min="9490" max="9490" width="5.77734375" style="2" customWidth="1"/>
    <col min="9491" max="9491" width="7.44140625" style="2" customWidth="1"/>
    <col min="9492" max="9492" width="4" style="2" customWidth="1"/>
    <col min="9493" max="9493" width="6.44140625" style="2" customWidth="1"/>
    <col min="9494" max="9494" width="5.77734375" style="2" customWidth="1"/>
    <col min="9495" max="9495" width="6.77734375" style="2" customWidth="1"/>
    <col min="9496" max="9496" width="4.21875" style="2" customWidth="1"/>
    <col min="9497" max="9497" width="7.21875" style="2" customWidth="1"/>
    <col min="9498" max="9728" width="9.21875" style="2"/>
    <col min="9729" max="9729" width="4.5546875" style="2" customWidth="1"/>
    <col min="9730" max="9731" width="6.77734375" style="2" customWidth="1"/>
    <col min="9732" max="9732" width="3.21875" style="2" customWidth="1"/>
    <col min="9733" max="9733" width="4.21875" style="2" customWidth="1"/>
    <col min="9734" max="9734" width="5.44140625" style="2" customWidth="1"/>
    <col min="9735" max="9735" width="7.77734375" style="2" customWidth="1"/>
    <col min="9736" max="9736" width="5.21875" style="2" customWidth="1"/>
    <col min="9737" max="9737" width="7" style="2" customWidth="1"/>
    <col min="9738" max="9738" width="5.21875" style="2" customWidth="1"/>
    <col min="9739" max="9739" width="7" style="2" customWidth="1"/>
    <col min="9740" max="9740" width="4.21875" style="2" customWidth="1"/>
    <col min="9741" max="9741" width="6.77734375" style="2" customWidth="1"/>
    <col min="9742" max="9742" width="5.44140625" style="2" customWidth="1"/>
    <col min="9743" max="9743" width="7" style="2" customWidth="1"/>
    <col min="9744" max="9744" width="5.21875" style="2" customWidth="1"/>
    <col min="9745" max="9745" width="4.77734375" style="2" customWidth="1"/>
    <col min="9746" max="9746" width="5.77734375" style="2" customWidth="1"/>
    <col min="9747" max="9747" width="7.44140625" style="2" customWidth="1"/>
    <col min="9748" max="9748" width="4" style="2" customWidth="1"/>
    <col min="9749" max="9749" width="6.44140625" style="2" customWidth="1"/>
    <col min="9750" max="9750" width="5.77734375" style="2" customWidth="1"/>
    <col min="9751" max="9751" width="6.77734375" style="2" customWidth="1"/>
    <col min="9752" max="9752" width="4.21875" style="2" customWidth="1"/>
    <col min="9753" max="9753" width="7.21875" style="2" customWidth="1"/>
    <col min="9754" max="9984" width="9.21875" style="2"/>
    <col min="9985" max="9985" width="4.5546875" style="2" customWidth="1"/>
    <col min="9986" max="9987" width="6.77734375" style="2" customWidth="1"/>
    <col min="9988" max="9988" width="3.21875" style="2" customWidth="1"/>
    <col min="9989" max="9989" width="4.21875" style="2" customWidth="1"/>
    <col min="9990" max="9990" width="5.44140625" style="2" customWidth="1"/>
    <col min="9991" max="9991" width="7.77734375" style="2" customWidth="1"/>
    <col min="9992" max="9992" width="5.21875" style="2" customWidth="1"/>
    <col min="9993" max="9993" width="7" style="2" customWidth="1"/>
    <col min="9994" max="9994" width="5.21875" style="2" customWidth="1"/>
    <col min="9995" max="9995" width="7" style="2" customWidth="1"/>
    <col min="9996" max="9996" width="4.21875" style="2" customWidth="1"/>
    <col min="9997" max="9997" width="6.77734375" style="2" customWidth="1"/>
    <col min="9998" max="9998" width="5.44140625" style="2" customWidth="1"/>
    <col min="9999" max="9999" width="7" style="2" customWidth="1"/>
    <col min="10000" max="10000" width="5.21875" style="2" customWidth="1"/>
    <col min="10001" max="10001" width="4.77734375" style="2" customWidth="1"/>
    <col min="10002" max="10002" width="5.77734375" style="2" customWidth="1"/>
    <col min="10003" max="10003" width="7.44140625" style="2" customWidth="1"/>
    <col min="10004" max="10004" width="4" style="2" customWidth="1"/>
    <col min="10005" max="10005" width="6.44140625" style="2" customWidth="1"/>
    <col min="10006" max="10006" width="5.77734375" style="2" customWidth="1"/>
    <col min="10007" max="10007" width="6.77734375" style="2" customWidth="1"/>
    <col min="10008" max="10008" width="4.21875" style="2" customWidth="1"/>
    <col min="10009" max="10009" width="7.21875" style="2" customWidth="1"/>
    <col min="10010" max="10240" width="9.21875" style="2"/>
    <col min="10241" max="10241" width="4.5546875" style="2" customWidth="1"/>
    <col min="10242" max="10243" width="6.77734375" style="2" customWidth="1"/>
    <col min="10244" max="10244" width="3.21875" style="2" customWidth="1"/>
    <col min="10245" max="10245" width="4.21875" style="2" customWidth="1"/>
    <col min="10246" max="10246" width="5.44140625" style="2" customWidth="1"/>
    <col min="10247" max="10247" width="7.77734375" style="2" customWidth="1"/>
    <col min="10248" max="10248" width="5.21875" style="2" customWidth="1"/>
    <col min="10249" max="10249" width="7" style="2" customWidth="1"/>
    <col min="10250" max="10250" width="5.21875" style="2" customWidth="1"/>
    <col min="10251" max="10251" width="7" style="2" customWidth="1"/>
    <col min="10252" max="10252" width="4.21875" style="2" customWidth="1"/>
    <col min="10253" max="10253" width="6.77734375" style="2" customWidth="1"/>
    <col min="10254" max="10254" width="5.44140625" style="2" customWidth="1"/>
    <col min="10255" max="10255" width="7" style="2" customWidth="1"/>
    <col min="10256" max="10256" width="5.21875" style="2" customWidth="1"/>
    <col min="10257" max="10257" width="4.77734375" style="2" customWidth="1"/>
    <col min="10258" max="10258" width="5.77734375" style="2" customWidth="1"/>
    <col min="10259" max="10259" width="7.44140625" style="2" customWidth="1"/>
    <col min="10260" max="10260" width="4" style="2" customWidth="1"/>
    <col min="10261" max="10261" width="6.44140625" style="2" customWidth="1"/>
    <col min="10262" max="10262" width="5.77734375" style="2" customWidth="1"/>
    <col min="10263" max="10263" width="6.77734375" style="2" customWidth="1"/>
    <col min="10264" max="10264" width="4.21875" style="2" customWidth="1"/>
    <col min="10265" max="10265" width="7.21875" style="2" customWidth="1"/>
    <col min="10266" max="10496" width="9.21875" style="2"/>
    <col min="10497" max="10497" width="4.5546875" style="2" customWidth="1"/>
    <col min="10498" max="10499" width="6.77734375" style="2" customWidth="1"/>
    <col min="10500" max="10500" width="3.21875" style="2" customWidth="1"/>
    <col min="10501" max="10501" width="4.21875" style="2" customWidth="1"/>
    <col min="10502" max="10502" width="5.44140625" style="2" customWidth="1"/>
    <col min="10503" max="10503" width="7.77734375" style="2" customWidth="1"/>
    <col min="10504" max="10504" width="5.21875" style="2" customWidth="1"/>
    <col min="10505" max="10505" width="7" style="2" customWidth="1"/>
    <col min="10506" max="10506" width="5.21875" style="2" customWidth="1"/>
    <col min="10507" max="10507" width="7" style="2" customWidth="1"/>
    <col min="10508" max="10508" width="4.21875" style="2" customWidth="1"/>
    <col min="10509" max="10509" width="6.77734375" style="2" customWidth="1"/>
    <col min="10510" max="10510" width="5.44140625" style="2" customWidth="1"/>
    <col min="10511" max="10511" width="7" style="2" customWidth="1"/>
    <col min="10512" max="10512" width="5.21875" style="2" customWidth="1"/>
    <col min="10513" max="10513" width="4.77734375" style="2" customWidth="1"/>
    <col min="10514" max="10514" width="5.77734375" style="2" customWidth="1"/>
    <col min="10515" max="10515" width="7.44140625" style="2" customWidth="1"/>
    <col min="10516" max="10516" width="4" style="2" customWidth="1"/>
    <col min="10517" max="10517" width="6.44140625" style="2" customWidth="1"/>
    <col min="10518" max="10518" width="5.77734375" style="2" customWidth="1"/>
    <col min="10519" max="10519" width="6.77734375" style="2" customWidth="1"/>
    <col min="10520" max="10520" width="4.21875" style="2" customWidth="1"/>
    <col min="10521" max="10521" width="7.21875" style="2" customWidth="1"/>
    <col min="10522" max="10752" width="9.21875" style="2"/>
    <col min="10753" max="10753" width="4.5546875" style="2" customWidth="1"/>
    <col min="10754" max="10755" width="6.77734375" style="2" customWidth="1"/>
    <col min="10756" max="10756" width="3.21875" style="2" customWidth="1"/>
    <col min="10757" max="10757" width="4.21875" style="2" customWidth="1"/>
    <col min="10758" max="10758" width="5.44140625" style="2" customWidth="1"/>
    <col min="10759" max="10759" width="7.77734375" style="2" customWidth="1"/>
    <col min="10760" max="10760" width="5.21875" style="2" customWidth="1"/>
    <col min="10761" max="10761" width="7" style="2" customWidth="1"/>
    <col min="10762" max="10762" width="5.21875" style="2" customWidth="1"/>
    <col min="10763" max="10763" width="7" style="2" customWidth="1"/>
    <col min="10764" max="10764" width="4.21875" style="2" customWidth="1"/>
    <col min="10765" max="10765" width="6.77734375" style="2" customWidth="1"/>
    <col min="10766" max="10766" width="5.44140625" style="2" customWidth="1"/>
    <col min="10767" max="10767" width="7" style="2" customWidth="1"/>
    <col min="10768" max="10768" width="5.21875" style="2" customWidth="1"/>
    <col min="10769" max="10769" width="4.77734375" style="2" customWidth="1"/>
    <col min="10770" max="10770" width="5.77734375" style="2" customWidth="1"/>
    <col min="10771" max="10771" width="7.44140625" style="2" customWidth="1"/>
    <col min="10772" max="10772" width="4" style="2" customWidth="1"/>
    <col min="10773" max="10773" width="6.44140625" style="2" customWidth="1"/>
    <col min="10774" max="10774" width="5.77734375" style="2" customWidth="1"/>
    <col min="10775" max="10775" width="6.77734375" style="2" customWidth="1"/>
    <col min="10776" max="10776" width="4.21875" style="2" customWidth="1"/>
    <col min="10777" max="10777" width="7.21875" style="2" customWidth="1"/>
    <col min="10778" max="11008" width="9.21875" style="2"/>
    <col min="11009" max="11009" width="4.5546875" style="2" customWidth="1"/>
    <col min="11010" max="11011" width="6.77734375" style="2" customWidth="1"/>
    <col min="11012" max="11012" width="3.21875" style="2" customWidth="1"/>
    <col min="11013" max="11013" width="4.21875" style="2" customWidth="1"/>
    <col min="11014" max="11014" width="5.44140625" style="2" customWidth="1"/>
    <col min="11015" max="11015" width="7.77734375" style="2" customWidth="1"/>
    <col min="11016" max="11016" width="5.21875" style="2" customWidth="1"/>
    <col min="11017" max="11017" width="7" style="2" customWidth="1"/>
    <col min="11018" max="11018" width="5.21875" style="2" customWidth="1"/>
    <col min="11019" max="11019" width="7" style="2" customWidth="1"/>
    <col min="11020" max="11020" width="4.21875" style="2" customWidth="1"/>
    <col min="11021" max="11021" width="6.77734375" style="2" customWidth="1"/>
    <col min="11022" max="11022" width="5.44140625" style="2" customWidth="1"/>
    <col min="11023" max="11023" width="7" style="2" customWidth="1"/>
    <col min="11024" max="11024" width="5.21875" style="2" customWidth="1"/>
    <col min="11025" max="11025" width="4.77734375" style="2" customWidth="1"/>
    <col min="11026" max="11026" width="5.77734375" style="2" customWidth="1"/>
    <col min="11027" max="11027" width="7.44140625" style="2" customWidth="1"/>
    <col min="11028" max="11028" width="4" style="2" customWidth="1"/>
    <col min="11029" max="11029" width="6.44140625" style="2" customWidth="1"/>
    <col min="11030" max="11030" width="5.77734375" style="2" customWidth="1"/>
    <col min="11031" max="11031" width="6.77734375" style="2" customWidth="1"/>
    <col min="11032" max="11032" width="4.21875" style="2" customWidth="1"/>
    <col min="11033" max="11033" width="7.21875" style="2" customWidth="1"/>
    <col min="11034" max="11264" width="9.21875" style="2"/>
    <col min="11265" max="11265" width="4.5546875" style="2" customWidth="1"/>
    <col min="11266" max="11267" width="6.77734375" style="2" customWidth="1"/>
    <col min="11268" max="11268" width="3.21875" style="2" customWidth="1"/>
    <col min="11269" max="11269" width="4.21875" style="2" customWidth="1"/>
    <col min="11270" max="11270" width="5.44140625" style="2" customWidth="1"/>
    <col min="11271" max="11271" width="7.77734375" style="2" customWidth="1"/>
    <col min="11272" max="11272" width="5.21875" style="2" customWidth="1"/>
    <col min="11273" max="11273" width="7" style="2" customWidth="1"/>
    <col min="11274" max="11274" width="5.21875" style="2" customWidth="1"/>
    <col min="11275" max="11275" width="7" style="2" customWidth="1"/>
    <col min="11276" max="11276" width="4.21875" style="2" customWidth="1"/>
    <col min="11277" max="11277" width="6.77734375" style="2" customWidth="1"/>
    <col min="11278" max="11278" width="5.44140625" style="2" customWidth="1"/>
    <col min="11279" max="11279" width="7" style="2" customWidth="1"/>
    <col min="11280" max="11280" width="5.21875" style="2" customWidth="1"/>
    <col min="11281" max="11281" width="4.77734375" style="2" customWidth="1"/>
    <col min="11282" max="11282" width="5.77734375" style="2" customWidth="1"/>
    <col min="11283" max="11283" width="7.44140625" style="2" customWidth="1"/>
    <col min="11284" max="11284" width="4" style="2" customWidth="1"/>
    <col min="11285" max="11285" width="6.44140625" style="2" customWidth="1"/>
    <col min="11286" max="11286" width="5.77734375" style="2" customWidth="1"/>
    <col min="11287" max="11287" width="6.77734375" style="2" customWidth="1"/>
    <col min="11288" max="11288" width="4.21875" style="2" customWidth="1"/>
    <col min="11289" max="11289" width="7.21875" style="2" customWidth="1"/>
    <col min="11290" max="11520" width="9.21875" style="2"/>
    <col min="11521" max="11521" width="4.5546875" style="2" customWidth="1"/>
    <col min="11522" max="11523" width="6.77734375" style="2" customWidth="1"/>
    <col min="11524" max="11524" width="3.21875" style="2" customWidth="1"/>
    <col min="11525" max="11525" width="4.21875" style="2" customWidth="1"/>
    <col min="11526" max="11526" width="5.44140625" style="2" customWidth="1"/>
    <col min="11527" max="11527" width="7.77734375" style="2" customWidth="1"/>
    <col min="11528" max="11528" width="5.21875" style="2" customWidth="1"/>
    <col min="11529" max="11529" width="7" style="2" customWidth="1"/>
    <col min="11530" max="11530" width="5.21875" style="2" customWidth="1"/>
    <col min="11531" max="11531" width="7" style="2" customWidth="1"/>
    <col min="11532" max="11532" width="4.21875" style="2" customWidth="1"/>
    <col min="11533" max="11533" width="6.77734375" style="2" customWidth="1"/>
    <col min="11534" max="11534" width="5.44140625" style="2" customWidth="1"/>
    <col min="11535" max="11535" width="7" style="2" customWidth="1"/>
    <col min="11536" max="11536" width="5.21875" style="2" customWidth="1"/>
    <col min="11537" max="11537" width="4.77734375" style="2" customWidth="1"/>
    <col min="11538" max="11538" width="5.77734375" style="2" customWidth="1"/>
    <col min="11539" max="11539" width="7.44140625" style="2" customWidth="1"/>
    <col min="11540" max="11540" width="4" style="2" customWidth="1"/>
    <col min="11541" max="11541" width="6.44140625" style="2" customWidth="1"/>
    <col min="11542" max="11542" width="5.77734375" style="2" customWidth="1"/>
    <col min="11543" max="11543" width="6.77734375" style="2" customWidth="1"/>
    <col min="11544" max="11544" width="4.21875" style="2" customWidth="1"/>
    <col min="11545" max="11545" width="7.21875" style="2" customWidth="1"/>
    <col min="11546" max="11776" width="9.21875" style="2"/>
    <col min="11777" max="11777" width="4.5546875" style="2" customWidth="1"/>
    <col min="11778" max="11779" width="6.77734375" style="2" customWidth="1"/>
    <col min="11780" max="11780" width="3.21875" style="2" customWidth="1"/>
    <col min="11781" max="11781" width="4.21875" style="2" customWidth="1"/>
    <col min="11782" max="11782" width="5.44140625" style="2" customWidth="1"/>
    <col min="11783" max="11783" width="7.77734375" style="2" customWidth="1"/>
    <col min="11784" max="11784" width="5.21875" style="2" customWidth="1"/>
    <col min="11785" max="11785" width="7" style="2" customWidth="1"/>
    <col min="11786" max="11786" width="5.21875" style="2" customWidth="1"/>
    <col min="11787" max="11787" width="7" style="2" customWidth="1"/>
    <col min="11788" max="11788" width="4.21875" style="2" customWidth="1"/>
    <col min="11789" max="11789" width="6.77734375" style="2" customWidth="1"/>
    <col min="11790" max="11790" width="5.44140625" style="2" customWidth="1"/>
    <col min="11791" max="11791" width="7" style="2" customWidth="1"/>
    <col min="11792" max="11792" width="5.21875" style="2" customWidth="1"/>
    <col min="11793" max="11793" width="4.77734375" style="2" customWidth="1"/>
    <col min="11794" max="11794" width="5.77734375" style="2" customWidth="1"/>
    <col min="11795" max="11795" width="7.44140625" style="2" customWidth="1"/>
    <col min="11796" max="11796" width="4" style="2" customWidth="1"/>
    <col min="11797" max="11797" width="6.44140625" style="2" customWidth="1"/>
    <col min="11798" max="11798" width="5.77734375" style="2" customWidth="1"/>
    <col min="11799" max="11799" width="6.77734375" style="2" customWidth="1"/>
    <col min="11800" max="11800" width="4.21875" style="2" customWidth="1"/>
    <col min="11801" max="11801" width="7.21875" style="2" customWidth="1"/>
    <col min="11802" max="12032" width="9.21875" style="2"/>
    <col min="12033" max="12033" width="4.5546875" style="2" customWidth="1"/>
    <col min="12034" max="12035" width="6.77734375" style="2" customWidth="1"/>
    <col min="12036" max="12036" width="3.21875" style="2" customWidth="1"/>
    <col min="12037" max="12037" width="4.21875" style="2" customWidth="1"/>
    <col min="12038" max="12038" width="5.44140625" style="2" customWidth="1"/>
    <col min="12039" max="12039" width="7.77734375" style="2" customWidth="1"/>
    <col min="12040" max="12040" width="5.21875" style="2" customWidth="1"/>
    <col min="12041" max="12041" width="7" style="2" customWidth="1"/>
    <col min="12042" max="12042" width="5.21875" style="2" customWidth="1"/>
    <col min="12043" max="12043" width="7" style="2" customWidth="1"/>
    <col min="12044" max="12044" width="4.21875" style="2" customWidth="1"/>
    <col min="12045" max="12045" width="6.77734375" style="2" customWidth="1"/>
    <col min="12046" max="12046" width="5.44140625" style="2" customWidth="1"/>
    <col min="12047" max="12047" width="7" style="2" customWidth="1"/>
    <col min="12048" max="12048" width="5.21875" style="2" customWidth="1"/>
    <col min="12049" max="12049" width="4.77734375" style="2" customWidth="1"/>
    <col min="12050" max="12050" width="5.77734375" style="2" customWidth="1"/>
    <col min="12051" max="12051" width="7.44140625" style="2" customWidth="1"/>
    <col min="12052" max="12052" width="4" style="2" customWidth="1"/>
    <col min="12053" max="12053" width="6.44140625" style="2" customWidth="1"/>
    <col min="12054" max="12054" width="5.77734375" style="2" customWidth="1"/>
    <col min="12055" max="12055" width="6.77734375" style="2" customWidth="1"/>
    <col min="12056" max="12056" width="4.21875" style="2" customWidth="1"/>
    <col min="12057" max="12057" width="7.21875" style="2" customWidth="1"/>
    <col min="12058" max="12288" width="9.21875" style="2"/>
    <col min="12289" max="12289" width="4.5546875" style="2" customWidth="1"/>
    <col min="12290" max="12291" width="6.77734375" style="2" customWidth="1"/>
    <col min="12292" max="12292" width="3.21875" style="2" customWidth="1"/>
    <col min="12293" max="12293" width="4.21875" style="2" customWidth="1"/>
    <col min="12294" max="12294" width="5.44140625" style="2" customWidth="1"/>
    <col min="12295" max="12295" width="7.77734375" style="2" customWidth="1"/>
    <col min="12296" max="12296" width="5.21875" style="2" customWidth="1"/>
    <col min="12297" max="12297" width="7" style="2" customWidth="1"/>
    <col min="12298" max="12298" width="5.21875" style="2" customWidth="1"/>
    <col min="12299" max="12299" width="7" style="2" customWidth="1"/>
    <col min="12300" max="12300" width="4.21875" style="2" customWidth="1"/>
    <col min="12301" max="12301" width="6.77734375" style="2" customWidth="1"/>
    <col min="12302" max="12302" width="5.44140625" style="2" customWidth="1"/>
    <col min="12303" max="12303" width="7" style="2" customWidth="1"/>
    <col min="12304" max="12304" width="5.21875" style="2" customWidth="1"/>
    <col min="12305" max="12305" width="4.77734375" style="2" customWidth="1"/>
    <col min="12306" max="12306" width="5.77734375" style="2" customWidth="1"/>
    <col min="12307" max="12307" width="7.44140625" style="2" customWidth="1"/>
    <col min="12308" max="12308" width="4" style="2" customWidth="1"/>
    <col min="12309" max="12309" width="6.44140625" style="2" customWidth="1"/>
    <col min="12310" max="12310" width="5.77734375" style="2" customWidth="1"/>
    <col min="12311" max="12311" width="6.77734375" style="2" customWidth="1"/>
    <col min="12312" max="12312" width="4.21875" style="2" customWidth="1"/>
    <col min="12313" max="12313" width="7.21875" style="2" customWidth="1"/>
    <col min="12314" max="12544" width="9.21875" style="2"/>
    <col min="12545" max="12545" width="4.5546875" style="2" customWidth="1"/>
    <col min="12546" max="12547" width="6.77734375" style="2" customWidth="1"/>
    <col min="12548" max="12548" width="3.21875" style="2" customWidth="1"/>
    <col min="12549" max="12549" width="4.21875" style="2" customWidth="1"/>
    <col min="12550" max="12550" width="5.44140625" style="2" customWidth="1"/>
    <col min="12551" max="12551" width="7.77734375" style="2" customWidth="1"/>
    <col min="12552" max="12552" width="5.21875" style="2" customWidth="1"/>
    <col min="12553" max="12553" width="7" style="2" customWidth="1"/>
    <col min="12554" max="12554" width="5.21875" style="2" customWidth="1"/>
    <col min="12555" max="12555" width="7" style="2" customWidth="1"/>
    <col min="12556" max="12556" width="4.21875" style="2" customWidth="1"/>
    <col min="12557" max="12557" width="6.77734375" style="2" customWidth="1"/>
    <col min="12558" max="12558" width="5.44140625" style="2" customWidth="1"/>
    <col min="12559" max="12559" width="7" style="2" customWidth="1"/>
    <col min="12560" max="12560" width="5.21875" style="2" customWidth="1"/>
    <col min="12561" max="12561" width="4.77734375" style="2" customWidth="1"/>
    <col min="12562" max="12562" width="5.77734375" style="2" customWidth="1"/>
    <col min="12563" max="12563" width="7.44140625" style="2" customWidth="1"/>
    <col min="12564" max="12564" width="4" style="2" customWidth="1"/>
    <col min="12565" max="12565" width="6.44140625" style="2" customWidth="1"/>
    <col min="12566" max="12566" width="5.77734375" style="2" customWidth="1"/>
    <col min="12567" max="12567" width="6.77734375" style="2" customWidth="1"/>
    <col min="12568" max="12568" width="4.21875" style="2" customWidth="1"/>
    <col min="12569" max="12569" width="7.21875" style="2" customWidth="1"/>
    <col min="12570" max="12800" width="9.21875" style="2"/>
    <col min="12801" max="12801" width="4.5546875" style="2" customWidth="1"/>
    <col min="12802" max="12803" width="6.77734375" style="2" customWidth="1"/>
    <col min="12804" max="12804" width="3.21875" style="2" customWidth="1"/>
    <col min="12805" max="12805" width="4.21875" style="2" customWidth="1"/>
    <col min="12806" max="12806" width="5.44140625" style="2" customWidth="1"/>
    <col min="12807" max="12807" width="7.77734375" style="2" customWidth="1"/>
    <col min="12808" max="12808" width="5.21875" style="2" customWidth="1"/>
    <col min="12809" max="12809" width="7" style="2" customWidth="1"/>
    <col min="12810" max="12810" width="5.21875" style="2" customWidth="1"/>
    <col min="12811" max="12811" width="7" style="2" customWidth="1"/>
    <col min="12812" max="12812" width="4.21875" style="2" customWidth="1"/>
    <col min="12813" max="12813" width="6.77734375" style="2" customWidth="1"/>
    <col min="12814" max="12814" width="5.44140625" style="2" customWidth="1"/>
    <col min="12815" max="12815" width="7" style="2" customWidth="1"/>
    <col min="12816" max="12816" width="5.21875" style="2" customWidth="1"/>
    <col min="12817" max="12817" width="4.77734375" style="2" customWidth="1"/>
    <col min="12818" max="12818" width="5.77734375" style="2" customWidth="1"/>
    <col min="12819" max="12819" width="7.44140625" style="2" customWidth="1"/>
    <col min="12820" max="12820" width="4" style="2" customWidth="1"/>
    <col min="12821" max="12821" width="6.44140625" style="2" customWidth="1"/>
    <col min="12822" max="12822" width="5.77734375" style="2" customWidth="1"/>
    <col min="12823" max="12823" width="6.77734375" style="2" customWidth="1"/>
    <col min="12824" max="12824" width="4.21875" style="2" customWidth="1"/>
    <col min="12825" max="12825" width="7.21875" style="2" customWidth="1"/>
    <col min="12826" max="13056" width="9.21875" style="2"/>
    <col min="13057" max="13057" width="4.5546875" style="2" customWidth="1"/>
    <col min="13058" max="13059" width="6.77734375" style="2" customWidth="1"/>
    <col min="13060" max="13060" width="3.21875" style="2" customWidth="1"/>
    <col min="13061" max="13061" width="4.21875" style="2" customWidth="1"/>
    <col min="13062" max="13062" width="5.44140625" style="2" customWidth="1"/>
    <col min="13063" max="13063" width="7.77734375" style="2" customWidth="1"/>
    <col min="13064" max="13064" width="5.21875" style="2" customWidth="1"/>
    <col min="13065" max="13065" width="7" style="2" customWidth="1"/>
    <col min="13066" max="13066" width="5.21875" style="2" customWidth="1"/>
    <col min="13067" max="13067" width="7" style="2" customWidth="1"/>
    <col min="13068" max="13068" width="4.21875" style="2" customWidth="1"/>
    <col min="13069" max="13069" width="6.77734375" style="2" customWidth="1"/>
    <col min="13070" max="13070" width="5.44140625" style="2" customWidth="1"/>
    <col min="13071" max="13071" width="7" style="2" customWidth="1"/>
    <col min="13072" max="13072" width="5.21875" style="2" customWidth="1"/>
    <col min="13073" max="13073" width="4.77734375" style="2" customWidth="1"/>
    <col min="13074" max="13074" width="5.77734375" style="2" customWidth="1"/>
    <col min="13075" max="13075" width="7.44140625" style="2" customWidth="1"/>
    <col min="13076" max="13076" width="4" style="2" customWidth="1"/>
    <col min="13077" max="13077" width="6.44140625" style="2" customWidth="1"/>
    <col min="13078" max="13078" width="5.77734375" style="2" customWidth="1"/>
    <col min="13079" max="13079" width="6.77734375" style="2" customWidth="1"/>
    <col min="13080" max="13080" width="4.21875" style="2" customWidth="1"/>
    <col min="13081" max="13081" width="7.21875" style="2" customWidth="1"/>
    <col min="13082" max="13312" width="9.21875" style="2"/>
    <col min="13313" max="13313" width="4.5546875" style="2" customWidth="1"/>
    <col min="13314" max="13315" width="6.77734375" style="2" customWidth="1"/>
    <col min="13316" max="13316" width="3.21875" style="2" customWidth="1"/>
    <col min="13317" max="13317" width="4.21875" style="2" customWidth="1"/>
    <col min="13318" max="13318" width="5.44140625" style="2" customWidth="1"/>
    <col min="13319" max="13319" width="7.77734375" style="2" customWidth="1"/>
    <col min="13320" max="13320" width="5.21875" style="2" customWidth="1"/>
    <col min="13321" max="13321" width="7" style="2" customWidth="1"/>
    <col min="13322" max="13322" width="5.21875" style="2" customWidth="1"/>
    <col min="13323" max="13323" width="7" style="2" customWidth="1"/>
    <col min="13324" max="13324" width="4.21875" style="2" customWidth="1"/>
    <col min="13325" max="13325" width="6.77734375" style="2" customWidth="1"/>
    <col min="13326" max="13326" width="5.44140625" style="2" customWidth="1"/>
    <col min="13327" max="13327" width="7" style="2" customWidth="1"/>
    <col min="13328" max="13328" width="5.21875" style="2" customWidth="1"/>
    <col min="13329" max="13329" width="4.77734375" style="2" customWidth="1"/>
    <col min="13330" max="13330" width="5.77734375" style="2" customWidth="1"/>
    <col min="13331" max="13331" width="7.44140625" style="2" customWidth="1"/>
    <col min="13332" max="13332" width="4" style="2" customWidth="1"/>
    <col min="13333" max="13333" width="6.44140625" style="2" customWidth="1"/>
    <col min="13334" max="13334" width="5.77734375" style="2" customWidth="1"/>
    <col min="13335" max="13335" width="6.77734375" style="2" customWidth="1"/>
    <col min="13336" max="13336" width="4.21875" style="2" customWidth="1"/>
    <col min="13337" max="13337" width="7.21875" style="2" customWidth="1"/>
    <col min="13338" max="13568" width="9.21875" style="2"/>
    <col min="13569" max="13569" width="4.5546875" style="2" customWidth="1"/>
    <col min="13570" max="13571" width="6.77734375" style="2" customWidth="1"/>
    <col min="13572" max="13572" width="3.21875" style="2" customWidth="1"/>
    <col min="13573" max="13573" width="4.21875" style="2" customWidth="1"/>
    <col min="13574" max="13574" width="5.44140625" style="2" customWidth="1"/>
    <col min="13575" max="13575" width="7.77734375" style="2" customWidth="1"/>
    <col min="13576" max="13576" width="5.21875" style="2" customWidth="1"/>
    <col min="13577" max="13577" width="7" style="2" customWidth="1"/>
    <col min="13578" max="13578" width="5.21875" style="2" customWidth="1"/>
    <col min="13579" max="13579" width="7" style="2" customWidth="1"/>
    <col min="13580" max="13580" width="4.21875" style="2" customWidth="1"/>
    <col min="13581" max="13581" width="6.77734375" style="2" customWidth="1"/>
    <col min="13582" max="13582" width="5.44140625" style="2" customWidth="1"/>
    <col min="13583" max="13583" width="7" style="2" customWidth="1"/>
    <col min="13584" max="13584" width="5.21875" style="2" customWidth="1"/>
    <col min="13585" max="13585" width="4.77734375" style="2" customWidth="1"/>
    <col min="13586" max="13586" width="5.77734375" style="2" customWidth="1"/>
    <col min="13587" max="13587" width="7.44140625" style="2" customWidth="1"/>
    <col min="13588" max="13588" width="4" style="2" customWidth="1"/>
    <col min="13589" max="13589" width="6.44140625" style="2" customWidth="1"/>
    <col min="13590" max="13590" width="5.77734375" style="2" customWidth="1"/>
    <col min="13591" max="13591" width="6.77734375" style="2" customWidth="1"/>
    <col min="13592" max="13592" width="4.21875" style="2" customWidth="1"/>
    <col min="13593" max="13593" width="7.21875" style="2" customWidth="1"/>
    <col min="13594" max="13824" width="9.21875" style="2"/>
    <col min="13825" max="13825" width="4.5546875" style="2" customWidth="1"/>
    <col min="13826" max="13827" width="6.77734375" style="2" customWidth="1"/>
    <col min="13828" max="13828" width="3.21875" style="2" customWidth="1"/>
    <col min="13829" max="13829" width="4.21875" style="2" customWidth="1"/>
    <col min="13830" max="13830" width="5.44140625" style="2" customWidth="1"/>
    <col min="13831" max="13831" width="7.77734375" style="2" customWidth="1"/>
    <col min="13832" max="13832" width="5.21875" style="2" customWidth="1"/>
    <col min="13833" max="13833" width="7" style="2" customWidth="1"/>
    <col min="13834" max="13834" width="5.21875" style="2" customWidth="1"/>
    <col min="13835" max="13835" width="7" style="2" customWidth="1"/>
    <col min="13836" max="13836" width="4.21875" style="2" customWidth="1"/>
    <col min="13837" max="13837" width="6.77734375" style="2" customWidth="1"/>
    <col min="13838" max="13838" width="5.44140625" style="2" customWidth="1"/>
    <col min="13839" max="13839" width="7" style="2" customWidth="1"/>
    <col min="13840" max="13840" width="5.21875" style="2" customWidth="1"/>
    <col min="13841" max="13841" width="4.77734375" style="2" customWidth="1"/>
    <col min="13842" max="13842" width="5.77734375" style="2" customWidth="1"/>
    <col min="13843" max="13843" width="7.44140625" style="2" customWidth="1"/>
    <col min="13844" max="13844" width="4" style="2" customWidth="1"/>
    <col min="13845" max="13845" width="6.44140625" style="2" customWidth="1"/>
    <col min="13846" max="13846" width="5.77734375" style="2" customWidth="1"/>
    <col min="13847" max="13847" width="6.77734375" style="2" customWidth="1"/>
    <col min="13848" max="13848" width="4.21875" style="2" customWidth="1"/>
    <col min="13849" max="13849" width="7.21875" style="2" customWidth="1"/>
    <col min="13850" max="14080" width="9.21875" style="2"/>
    <col min="14081" max="14081" width="4.5546875" style="2" customWidth="1"/>
    <col min="14082" max="14083" width="6.77734375" style="2" customWidth="1"/>
    <col min="14084" max="14084" width="3.21875" style="2" customWidth="1"/>
    <col min="14085" max="14085" width="4.21875" style="2" customWidth="1"/>
    <col min="14086" max="14086" width="5.44140625" style="2" customWidth="1"/>
    <col min="14087" max="14087" width="7.77734375" style="2" customWidth="1"/>
    <col min="14088" max="14088" width="5.21875" style="2" customWidth="1"/>
    <col min="14089" max="14089" width="7" style="2" customWidth="1"/>
    <col min="14090" max="14090" width="5.21875" style="2" customWidth="1"/>
    <col min="14091" max="14091" width="7" style="2" customWidth="1"/>
    <col min="14092" max="14092" width="4.21875" style="2" customWidth="1"/>
    <col min="14093" max="14093" width="6.77734375" style="2" customWidth="1"/>
    <col min="14094" max="14094" width="5.44140625" style="2" customWidth="1"/>
    <col min="14095" max="14095" width="7" style="2" customWidth="1"/>
    <col min="14096" max="14096" width="5.21875" style="2" customWidth="1"/>
    <col min="14097" max="14097" width="4.77734375" style="2" customWidth="1"/>
    <col min="14098" max="14098" width="5.77734375" style="2" customWidth="1"/>
    <col min="14099" max="14099" width="7.44140625" style="2" customWidth="1"/>
    <col min="14100" max="14100" width="4" style="2" customWidth="1"/>
    <col min="14101" max="14101" width="6.44140625" style="2" customWidth="1"/>
    <col min="14102" max="14102" width="5.77734375" style="2" customWidth="1"/>
    <col min="14103" max="14103" width="6.77734375" style="2" customWidth="1"/>
    <col min="14104" max="14104" width="4.21875" style="2" customWidth="1"/>
    <col min="14105" max="14105" width="7.21875" style="2" customWidth="1"/>
    <col min="14106" max="14336" width="9.21875" style="2"/>
    <col min="14337" max="14337" width="4.5546875" style="2" customWidth="1"/>
    <col min="14338" max="14339" width="6.77734375" style="2" customWidth="1"/>
    <col min="14340" max="14340" width="3.21875" style="2" customWidth="1"/>
    <col min="14341" max="14341" width="4.21875" style="2" customWidth="1"/>
    <col min="14342" max="14342" width="5.44140625" style="2" customWidth="1"/>
    <col min="14343" max="14343" width="7.77734375" style="2" customWidth="1"/>
    <col min="14344" max="14344" width="5.21875" style="2" customWidth="1"/>
    <col min="14345" max="14345" width="7" style="2" customWidth="1"/>
    <col min="14346" max="14346" width="5.21875" style="2" customWidth="1"/>
    <col min="14347" max="14347" width="7" style="2" customWidth="1"/>
    <col min="14348" max="14348" width="4.21875" style="2" customWidth="1"/>
    <col min="14349" max="14349" width="6.77734375" style="2" customWidth="1"/>
    <col min="14350" max="14350" width="5.44140625" style="2" customWidth="1"/>
    <col min="14351" max="14351" width="7" style="2" customWidth="1"/>
    <col min="14352" max="14352" width="5.21875" style="2" customWidth="1"/>
    <col min="14353" max="14353" width="4.77734375" style="2" customWidth="1"/>
    <col min="14354" max="14354" width="5.77734375" style="2" customWidth="1"/>
    <col min="14355" max="14355" width="7.44140625" style="2" customWidth="1"/>
    <col min="14356" max="14356" width="4" style="2" customWidth="1"/>
    <col min="14357" max="14357" width="6.44140625" style="2" customWidth="1"/>
    <col min="14358" max="14358" width="5.77734375" style="2" customWidth="1"/>
    <col min="14359" max="14359" width="6.77734375" style="2" customWidth="1"/>
    <col min="14360" max="14360" width="4.21875" style="2" customWidth="1"/>
    <col min="14361" max="14361" width="7.21875" style="2" customWidth="1"/>
    <col min="14362" max="14592" width="9.21875" style="2"/>
    <col min="14593" max="14593" width="4.5546875" style="2" customWidth="1"/>
    <col min="14594" max="14595" width="6.77734375" style="2" customWidth="1"/>
    <col min="14596" max="14596" width="3.21875" style="2" customWidth="1"/>
    <col min="14597" max="14597" width="4.21875" style="2" customWidth="1"/>
    <col min="14598" max="14598" width="5.44140625" style="2" customWidth="1"/>
    <col min="14599" max="14599" width="7.77734375" style="2" customWidth="1"/>
    <col min="14600" max="14600" width="5.21875" style="2" customWidth="1"/>
    <col min="14601" max="14601" width="7" style="2" customWidth="1"/>
    <col min="14602" max="14602" width="5.21875" style="2" customWidth="1"/>
    <col min="14603" max="14603" width="7" style="2" customWidth="1"/>
    <col min="14604" max="14604" width="4.21875" style="2" customWidth="1"/>
    <col min="14605" max="14605" width="6.77734375" style="2" customWidth="1"/>
    <col min="14606" max="14606" width="5.44140625" style="2" customWidth="1"/>
    <col min="14607" max="14607" width="7" style="2" customWidth="1"/>
    <col min="14608" max="14608" width="5.21875" style="2" customWidth="1"/>
    <col min="14609" max="14609" width="4.77734375" style="2" customWidth="1"/>
    <col min="14610" max="14610" width="5.77734375" style="2" customWidth="1"/>
    <col min="14611" max="14611" width="7.44140625" style="2" customWidth="1"/>
    <col min="14612" max="14612" width="4" style="2" customWidth="1"/>
    <col min="14613" max="14613" width="6.44140625" style="2" customWidth="1"/>
    <col min="14614" max="14614" width="5.77734375" style="2" customWidth="1"/>
    <col min="14615" max="14615" width="6.77734375" style="2" customWidth="1"/>
    <col min="14616" max="14616" width="4.21875" style="2" customWidth="1"/>
    <col min="14617" max="14617" width="7.21875" style="2" customWidth="1"/>
    <col min="14618" max="14848" width="9.21875" style="2"/>
    <col min="14849" max="14849" width="4.5546875" style="2" customWidth="1"/>
    <col min="14850" max="14851" width="6.77734375" style="2" customWidth="1"/>
    <col min="14852" max="14852" width="3.21875" style="2" customWidth="1"/>
    <col min="14853" max="14853" width="4.21875" style="2" customWidth="1"/>
    <col min="14854" max="14854" width="5.44140625" style="2" customWidth="1"/>
    <col min="14855" max="14855" width="7.77734375" style="2" customWidth="1"/>
    <col min="14856" max="14856" width="5.21875" style="2" customWidth="1"/>
    <col min="14857" max="14857" width="7" style="2" customWidth="1"/>
    <col min="14858" max="14858" width="5.21875" style="2" customWidth="1"/>
    <col min="14859" max="14859" width="7" style="2" customWidth="1"/>
    <col min="14860" max="14860" width="4.21875" style="2" customWidth="1"/>
    <col min="14861" max="14861" width="6.77734375" style="2" customWidth="1"/>
    <col min="14862" max="14862" width="5.44140625" style="2" customWidth="1"/>
    <col min="14863" max="14863" width="7" style="2" customWidth="1"/>
    <col min="14864" max="14864" width="5.21875" style="2" customWidth="1"/>
    <col min="14865" max="14865" width="4.77734375" style="2" customWidth="1"/>
    <col min="14866" max="14866" width="5.77734375" style="2" customWidth="1"/>
    <col min="14867" max="14867" width="7.44140625" style="2" customWidth="1"/>
    <col min="14868" max="14868" width="4" style="2" customWidth="1"/>
    <col min="14869" max="14869" width="6.44140625" style="2" customWidth="1"/>
    <col min="14870" max="14870" width="5.77734375" style="2" customWidth="1"/>
    <col min="14871" max="14871" width="6.77734375" style="2" customWidth="1"/>
    <col min="14872" max="14872" width="4.21875" style="2" customWidth="1"/>
    <col min="14873" max="14873" width="7.21875" style="2" customWidth="1"/>
    <col min="14874" max="15104" width="9.21875" style="2"/>
    <col min="15105" max="15105" width="4.5546875" style="2" customWidth="1"/>
    <col min="15106" max="15107" width="6.77734375" style="2" customWidth="1"/>
    <col min="15108" max="15108" width="3.21875" style="2" customWidth="1"/>
    <col min="15109" max="15109" width="4.21875" style="2" customWidth="1"/>
    <col min="15110" max="15110" width="5.44140625" style="2" customWidth="1"/>
    <col min="15111" max="15111" width="7.77734375" style="2" customWidth="1"/>
    <col min="15112" max="15112" width="5.21875" style="2" customWidth="1"/>
    <col min="15113" max="15113" width="7" style="2" customWidth="1"/>
    <col min="15114" max="15114" width="5.21875" style="2" customWidth="1"/>
    <col min="15115" max="15115" width="7" style="2" customWidth="1"/>
    <col min="15116" max="15116" width="4.21875" style="2" customWidth="1"/>
    <col min="15117" max="15117" width="6.77734375" style="2" customWidth="1"/>
    <col min="15118" max="15118" width="5.44140625" style="2" customWidth="1"/>
    <col min="15119" max="15119" width="7" style="2" customWidth="1"/>
    <col min="15120" max="15120" width="5.21875" style="2" customWidth="1"/>
    <col min="15121" max="15121" width="4.77734375" style="2" customWidth="1"/>
    <col min="15122" max="15122" width="5.77734375" style="2" customWidth="1"/>
    <col min="15123" max="15123" width="7.44140625" style="2" customWidth="1"/>
    <col min="15124" max="15124" width="4" style="2" customWidth="1"/>
    <col min="15125" max="15125" width="6.44140625" style="2" customWidth="1"/>
    <col min="15126" max="15126" width="5.77734375" style="2" customWidth="1"/>
    <col min="15127" max="15127" width="6.77734375" style="2" customWidth="1"/>
    <col min="15128" max="15128" width="4.21875" style="2" customWidth="1"/>
    <col min="15129" max="15129" width="7.21875" style="2" customWidth="1"/>
    <col min="15130" max="15360" width="9.21875" style="2"/>
    <col min="15361" max="15361" width="4.5546875" style="2" customWidth="1"/>
    <col min="15362" max="15363" width="6.77734375" style="2" customWidth="1"/>
    <col min="15364" max="15364" width="3.21875" style="2" customWidth="1"/>
    <col min="15365" max="15365" width="4.21875" style="2" customWidth="1"/>
    <col min="15366" max="15366" width="5.44140625" style="2" customWidth="1"/>
    <col min="15367" max="15367" width="7.77734375" style="2" customWidth="1"/>
    <col min="15368" max="15368" width="5.21875" style="2" customWidth="1"/>
    <col min="15369" max="15369" width="7" style="2" customWidth="1"/>
    <col min="15370" max="15370" width="5.21875" style="2" customWidth="1"/>
    <col min="15371" max="15371" width="7" style="2" customWidth="1"/>
    <col min="15372" max="15372" width="4.21875" style="2" customWidth="1"/>
    <col min="15373" max="15373" width="6.77734375" style="2" customWidth="1"/>
    <col min="15374" max="15374" width="5.44140625" style="2" customWidth="1"/>
    <col min="15375" max="15375" width="7" style="2" customWidth="1"/>
    <col min="15376" max="15376" width="5.21875" style="2" customWidth="1"/>
    <col min="15377" max="15377" width="4.77734375" style="2" customWidth="1"/>
    <col min="15378" max="15378" width="5.77734375" style="2" customWidth="1"/>
    <col min="15379" max="15379" width="7.44140625" style="2" customWidth="1"/>
    <col min="15380" max="15380" width="4" style="2" customWidth="1"/>
    <col min="15381" max="15381" width="6.44140625" style="2" customWidth="1"/>
    <col min="15382" max="15382" width="5.77734375" style="2" customWidth="1"/>
    <col min="15383" max="15383" width="6.77734375" style="2" customWidth="1"/>
    <col min="15384" max="15384" width="4.21875" style="2" customWidth="1"/>
    <col min="15385" max="15385" width="7.21875" style="2" customWidth="1"/>
    <col min="15386" max="15616" width="9.21875" style="2"/>
    <col min="15617" max="15617" width="4.5546875" style="2" customWidth="1"/>
    <col min="15618" max="15619" width="6.77734375" style="2" customWidth="1"/>
    <col min="15620" max="15620" width="3.21875" style="2" customWidth="1"/>
    <col min="15621" max="15621" width="4.21875" style="2" customWidth="1"/>
    <col min="15622" max="15622" width="5.44140625" style="2" customWidth="1"/>
    <col min="15623" max="15623" width="7.77734375" style="2" customWidth="1"/>
    <col min="15624" max="15624" width="5.21875" style="2" customWidth="1"/>
    <col min="15625" max="15625" width="7" style="2" customWidth="1"/>
    <col min="15626" max="15626" width="5.21875" style="2" customWidth="1"/>
    <col min="15627" max="15627" width="7" style="2" customWidth="1"/>
    <col min="15628" max="15628" width="4.21875" style="2" customWidth="1"/>
    <col min="15629" max="15629" width="6.77734375" style="2" customWidth="1"/>
    <col min="15630" max="15630" width="5.44140625" style="2" customWidth="1"/>
    <col min="15631" max="15631" width="7" style="2" customWidth="1"/>
    <col min="15632" max="15632" width="5.21875" style="2" customWidth="1"/>
    <col min="15633" max="15633" width="4.77734375" style="2" customWidth="1"/>
    <col min="15634" max="15634" width="5.77734375" style="2" customWidth="1"/>
    <col min="15635" max="15635" width="7.44140625" style="2" customWidth="1"/>
    <col min="15636" max="15636" width="4" style="2" customWidth="1"/>
    <col min="15637" max="15637" width="6.44140625" style="2" customWidth="1"/>
    <col min="15638" max="15638" width="5.77734375" style="2" customWidth="1"/>
    <col min="15639" max="15639" width="6.77734375" style="2" customWidth="1"/>
    <col min="15640" max="15640" width="4.21875" style="2" customWidth="1"/>
    <col min="15641" max="15641" width="7.21875" style="2" customWidth="1"/>
    <col min="15642" max="15872" width="9.21875" style="2"/>
    <col min="15873" max="15873" width="4.5546875" style="2" customWidth="1"/>
    <col min="15874" max="15875" width="6.77734375" style="2" customWidth="1"/>
    <col min="15876" max="15876" width="3.21875" style="2" customWidth="1"/>
    <col min="15877" max="15877" width="4.21875" style="2" customWidth="1"/>
    <col min="15878" max="15878" width="5.44140625" style="2" customWidth="1"/>
    <col min="15879" max="15879" width="7.77734375" style="2" customWidth="1"/>
    <col min="15880" max="15880" width="5.21875" style="2" customWidth="1"/>
    <col min="15881" max="15881" width="7" style="2" customWidth="1"/>
    <col min="15882" max="15882" width="5.21875" style="2" customWidth="1"/>
    <col min="15883" max="15883" width="7" style="2" customWidth="1"/>
    <col min="15884" max="15884" width="4.21875" style="2" customWidth="1"/>
    <col min="15885" max="15885" width="6.77734375" style="2" customWidth="1"/>
    <col min="15886" max="15886" width="5.44140625" style="2" customWidth="1"/>
    <col min="15887" max="15887" width="7" style="2" customWidth="1"/>
    <col min="15888" max="15888" width="5.21875" style="2" customWidth="1"/>
    <col min="15889" max="15889" width="4.77734375" style="2" customWidth="1"/>
    <col min="15890" max="15890" width="5.77734375" style="2" customWidth="1"/>
    <col min="15891" max="15891" width="7.44140625" style="2" customWidth="1"/>
    <col min="15892" max="15892" width="4" style="2" customWidth="1"/>
    <col min="15893" max="15893" width="6.44140625" style="2" customWidth="1"/>
    <col min="15894" max="15894" width="5.77734375" style="2" customWidth="1"/>
    <col min="15895" max="15895" width="6.77734375" style="2" customWidth="1"/>
    <col min="15896" max="15896" width="4.21875" style="2" customWidth="1"/>
    <col min="15897" max="15897" width="7.21875" style="2" customWidth="1"/>
    <col min="15898" max="16128" width="9.21875" style="2"/>
    <col min="16129" max="16129" width="4.5546875" style="2" customWidth="1"/>
    <col min="16130" max="16131" width="6.77734375" style="2" customWidth="1"/>
    <col min="16132" max="16132" width="3.21875" style="2" customWidth="1"/>
    <col min="16133" max="16133" width="4.21875" style="2" customWidth="1"/>
    <col min="16134" max="16134" width="5.44140625" style="2" customWidth="1"/>
    <col min="16135" max="16135" width="7.77734375" style="2" customWidth="1"/>
    <col min="16136" max="16136" width="5.21875" style="2" customWidth="1"/>
    <col min="16137" max="16137" width="7" style="2" customWidth="1"/>
    <col min="16138" max="16138" width="5.21875" style="2" customWidth="1"/>
    <col min="16139" max="16139" width="7" style="2" customWidth="1"/>
    <col min="16140" max="16140" width="4.21875" style="2" customWidth="1"/>
    <col min="16141" max="16141" width="6.77734375" style="2" customWidth="1"/>
    <col min="16142" max="16142" width="5.44140625" style="2" customWidth="1"/>
    <col min="16143" max="16143" width="7" style="2" customWidth="1"/>
    <col min="16144" max="16144" width="5.21875" style="2" customWidth="1"/>
    <col min="16145" max="16145" width="4.77734375" style="2" customWidth="1"/>
    <col min="16146" max="16146" width="5.77734375" style="2" customWidth="1"/>
    <col min="16147" max="16147" width="7.44140625" style="2" customWidth="1"/>
    <col min="16148" max="16148" width="4" style="2" customWidth="1"/>
    <col min="16149" max="16149" width="6.44140625" style="2" customWidth="1"/>
    <col min="16150" max="16150" width="5.77734375" style="2" customWidth="1"/>
    <col min="16151" max="16151" width="6.77734375" style="2" customWidth="1"/>
    <col min="16152" max="16152" width="4.21875" style="2" customWidth="1"/>
    <col min="16153" max="16153" width="7.21875" style="2" customWidth="1"/>
    <col min="16154" max="16384" width="9.21875" style="2"/>
  </cols>
  <sheetData>
    <row r="1" spans="1:28">
      <c r="A1" s="32" t="s">
        <v>103</v>
      </c>
      <c r="B1" s="32"/>
      <c r="C1" s="32"/>
      <c r="D1" s="32"/>
      <c r="E1" s="32" t="s">
        <v>104</v>
      </c>
      <c r="F1" s="32"/>
      <c r="G1" s="32"/>
      <c r="H1" s="32"/>
      <c r="I1" s="32" t="s">
        <v>105</v>
      </c>
      <c r="J1" s="32"/>
      <c r="K1" s="32"/>
      <c r="L1" s="32"/>
      <c r="M1" s="32" t="s">
        <v>106</v>
      </c>
      <c r="N1" s="32"/>
      <c r="O1" s="32"/>
      <c r="P1" s="32"/>
      <c r="Q1" s="32" t="s">
        <v>75</v>
      </c>
      <c r="R1" s="32"/>
      <c r="S1" s="32"/>
      <c r="T1" s="32"/>
      <c r="U1" s="32" t="s">
        <v>34</v>
      </c>
      <c r="V1" s="32"/>
      <c r="W1" s="32"/>
      <c r="X1" s="32"/>
      <c r="Y1" s="32" t="s">
        <v>107</v>
      </c>
      <c r="Z1" s="32"/>
      <c r="AA1" s="32"/>
      <c r="AB1" s="32"/>
    </row>
    <row r="2" spans="1:28">
      <c r="A2" s="58" t="s">
        <v>108</v>
      </c>
      <c r="B2" s="58" t="s">
        <v>109</v>
      </c>
      <c r="C2" s="58" t="s">
        <v>110</v>
      </c>
      <c r="D2" s="32"/>
      <c r="E2" s="58" t="s">
        <v>108</v>
      </c>
      <c r="F2" s="58" t="s">
        <v>109</v>
      </c>
      <c r="G2" s="58" t="s">
        <v>110</v>
      </c>
      <c r="H2" s="32"/>
      <c r="I2" s="58" t="s">
        <v>108</v>
      </c>
      <c r="J2" s="58" t="s">
        <v>109</v>
      </c>
      <c r="K2" s="58" t="s">
        <v>110</v>
      </c>
      <c r="L2" s="32"/>
      <c r="M2" s="58" t="s">
        <v>108</v>
      </c>
      <c r="N2" s="58" t="s">
        <v>109</v>
      </c>
      <c r="O2" s="58" t="s">
        <v>110</v>
      </c>
      <c r="P2" s="58"/>
      <c r="Q2" s="58" t="s">
        <v>108</v>
      </c>
      <c r="R2" s="58" t="s">
        <v>109</v>
      </c>
      <c r="S2" s="58" t="s">
        <v>110</v>
      </c>
      <c r="T2" s="32"/>
      <c r="U2" s="58" t="s">
        <v>108</v>
      </c>
      <c r="V2" s="58" t="s">
        <v>109</v>
      </c>
      <c r="W2" s="58" t="s">
        <v>110</v>
      </c>
      <c r="X2" s="32"/>
      <c r="Y2" s="58" t="s">
        <v>111</v>
      </c>
      <c r="Z2" s="58" t="s">
        <v>112</v>
      </c>
      <c r="AA2" s="58" t="s">
        <v>110</v>
      </c>
      <c r="AB2" s="32"/>
    </row>
    <row r="3" spans="1:28">
      <c r="A3" s="59">
        <v>0</v>
      </c>
      <c r="B3" s="59">
        <v>0</v>
      </c>
      <c r="C3" s="59">
        <v>0</v>
      </c>
      <c r="D3" s="32"/>
      <c r="E3" s="59">
        <v>0</v>
      </c>
      <c r="F3" s="59">
        <v>0</v>
      </c>
      <c r="G3" s="59">
        <v>0</v>
      </c>
      <c r="H3" s="32"/>
      <c r="I3" s="59">
        <v>0</v>
      </c>
      <c r="J3" s="59">
        <v>0</v>
      </c>
      <c r="K3" s="59">
        <v>0</v>
      </c>
      <c r="L3" s="32"/>
      <c r="M3" s="59">
        <v>0</v>
      </c>
      <c r="N3" s="59">
        <v>0</v>
      </c>
      <c r="O3" s="59">
        <v>0</v>
      </c>
      <c r="P3" s="58"/>
      <c r="Q3" s="59">
        <v>0</v>
      </c>
      <c r="R3" s="59">
        <v>0</v>
      </c>
      <c r="S3" s="59">
        <v>0</v>
      </c>
      <c r="T3" s="32"/>
      <c r="U3" s="59">
        <v>0</v>
      </c>
      <c r="V3" s="59">
        <v>0</v>
      </c>
      <c r="W3" s="59">
        <v>0</v>
      </c>
      <c r="X3" s="32"/>
      <c r="Y3" s="59">
        <v>8</v>
      </c>
      <c r="Z3" s="59">
        <v>16</v>
      </c>
      <c r="AA3" s="59">
        <v>0</v>
      </c>
      <c r="AB3" s="32"/>
    </row>
    <row r="4" spans="1:28">
      <c r="A4" s="32">
        <v>1</v>
      </c>
      <c r="B4" s="32">
        <v>0</v>
      </c>
      <c r="C4" s="32">
        <v>0</v>
      </c>
      <c r="D4" s="32"/>
      <c r="E4" s="32">
        <v>1</v>
      </c>
      <c r="F4" s="32">
        <v>12</v>
      </c>
      <c r="G4" s="32">
        <v>1</v>
      </c>
      <c r="H4" s="32"/>
      <c r="I4" s="32">
        <v>1</v>
      </c>
      <c r="J4" s="32">
        <v>12</v>
      </c>
      <c r="K4" s="32">
        <v>1</v>
      </c>
      <c r="L4" s="32"/>
      <c r="M4" s="32">
        <v>1</v>
      </c>
      <c r="N4" s="32">
        <v>12</v>
      </c>
      <c r="O4" s="32">
        <v>1</v>
      </c>
      <c r="P4" s="32"/>
      <c r="Q4" s="32">
        <v>1</v>
      </c>
      <c r="R4" s="32">
        <v>12</v>
      </c>
      <c r="S4" s="32">
        <v>0</v>
      </c>
      <c r="T4" s="32"/>
      <c r="U4" s="32">
        <v>1</v>
      </c>
      <c r="V4" s="32">
        <v>14.5</v>
      </c>
      <c r="W4" s="32">
        <v>0.25</v>
      </c>
      <c r="X4" s="32"/>
      <c r="Y4" s="32">
        <v>9</v>
      </c>
      <c r="Z4" s="32">
        <v>14</v>
      </c>
      <c r="AA4" s="32">
        <v>0</v>
      </c>
      <c r="AB4" s="32"/>
    </row>
    <row r="5" spans="1:28">
      <c r="A5" s="32">
        <v>8</v>
      </c>
      <c r="B5" s="32">
        <v>40</v>
      </c>
      <c r="C5" s="32">
        <v>0.5</v>
      </c>
      <c r="D5" s="32"/>
      <c r="E5" s="32">
        <v>16.600000000000001</v>
      </c>
      <c r="F5" s="32">
        <v>12</v>
      </c>
      <c r="G5" s="32">
        <v>1.4</v>
      </c>
      <c r="H5" s="32"/>
      <c r="I5" s="32">
        <v>16.600000000000001</v>
      </c>
      <c r="J5" s="32">
        <v>12</v>
      </c>
      <c r="K5" s="32">
        <v>1.4</v>
      </c>
      <c r="L5" s="32"/>
      <c r="M5" s="32">
        <v>17</v>
      </c>
      <c r="N5" s="32">
        <v>12</v>
      </c>
      <c r="O5" s="32">
        <v>1.4</v>
      </c>
      <c r="P5" s="32"/>
      <c r="Q5" s="32">
        <v>100</v>
      </c>
      <c r="R5" s="32">
        <v>12</v>
      </c>
      <c r="S5" s="32">
        <v>9</v>
      </c>
      <c r="T5" s="32"/>
      <c r="U5" s="32">
        <v>4</v>
      </c>
      <c r="V5" s="32">
        <v>14.5</v>
      </c>
      <c r="W5" s="32">
        <v>0.5</v>
      </c>
      <c r="X5" s="32"/>
      <c r="Y5" s="32">
        <v>12</v>
      </c>
      <c r="Z5" s="32">
        <v>0</v>
      </c>
      <c r="AA5" s="32">
        <v>8</v>
      </c>
      <c r="AB5" s="32"/>
    </row>
    <row r="6" spans="1:28">
      <c r="A6" s="32">
        <v>16</v>
      </c>
      <c r="B6" s="32">
        <v>40</v>
      </c>
      <c r="C6" s="32">
        <v>0.6</v>
      </c>
      <c r="D6" s="32"/>
      <c r="E6" s="32">
        <v>33.6</v>
      </c>
      <c r="F6" s="32">
        <v>13</v>
      </c>
      <c r="G6" s="32">
        <v>2.8</v>
      </c>
      <c r="H6" s="32"/>
      <c r="I6" s="32">
        <v>33.6</v>
      </c>
      <c r="J6" s="32">
        <v>13</v>
      </c>
      <c r="K6" s="32">
        <v>2.8</v>
      </c>
      <c r="L6" s="32"/>
      <c r="M6" s="32">
        <v>34</v>
      </c>
      <c r="N6" s="32">
        <v>13</v>
      </c>
      <c r="O6" s="32">
        <v>2.8</v>
      </c>
      <c r="P6" s="32"/>
      <c r="Q6" s="32">
        <v>200</v>
      </c>
      <c r="R6" s="32">
        <v>13.5</v>
      </c>
      <c r="S6" s="32">
        <v>17</v>
      </c>
      <c r="T6" s="32"/>
      <c r="U6" s="32">
        <v>8</v>
      </c>
      <c r="V6" s="32">
        <v>14.5</v>
      </c>
      <c r="W6" s="32">
        <v>0.75</v>
      </c>
      <c r="X6" s="32"/>
      <c r="Y6" s="32"/>
      <c r="Z6" s="32"/>
      <c r="AA6" s="32"/>
      <c r="AB6" s="32"/>
    </row>
    <row r="7" spans="1:28">
      <c r="A7" s="32">
        <v>21</v>
      </c>
      <c r="B7" s="32">
        <v>40</v>
      </c>
      <c r="C7" s="32">
        <v>0.75</v>
      </c>
      <c r="D7" s="32"/>
      <c r="E7" s="32">
        <v>51.7</v>
      </c>
      <c r="F7" s="32">
        <v>15</v>
      </c>
      <c r="G7" s="32">
        <v>4</v>
      </c>
      <c r="H7" s="32"/>
      <c r="I7" s="32">
        <v>51.7</v>
      </c>
      <c r="J7" s="32">
        <v>15</v>
      </c>
      <c r="K7" s="32">
        <v>4</v>
      </c>
      <c r="L7" s="32"/>
      <c r="M7" s="32">
        <v>52</v>
      </c>
      <c r="N7" s="32">
        <v>15</v>
      </c>
      <c r="O7" s="32">
        <v>4</v>
      </c>
      <c r="P7" s="32"/>
      <c r="Q7" s="32">
        <v>300</v>
      </c>
      <c r="R7" s="32">
        <v>14.5</v>
      </c>
      <c r="S7" s="32">
        <v>22</v>
      </c>
      <c r="T7" s="32"/>
      <c r="U7" s="32">
        <v>12</v>
      </c>
      <c r="V7" s="32">
        <v>14.5</v>
      </c>
      <c r="W7" s="32">
        <v>1</v>
      </c>
      <c r="X7" s="32"/>
      <c r="Y7" s="32"/>
      <c r="Z7" s="32"/>
      <c r="AA7" s="32"/>
      <c r="AB7" s="32"/>
    </row>
    <row r="8" spans="1:28">
      <c r="A8" s="32">
        <v>26</v>
      </c>
      <c r="B8" s="32">
        <v>40</v>
      </c>
      <c r="C8" s="32">
        <v>0.85</v>
      </c>
      <c r="D8" s="32"/>
      <c r="E8" s="32">
        <v>71.099999999999994</v>
      </c>
      <c r="F8" s="32">
        <v>16</v>
      </c>
      <c r="G8" s="32">
        <v>4.7</v>
      </c>
      <c r="H8" s="32"/>
      <c r="I8" s="32">
        <v>71.099999999999994</v>
      </c>
      <c r="J8" s="32">
        <v>16</v>
      </c>
      <c r="K8" s="32">
        <v>4.7</v>
      </c>
      <c r="L8" s="32"/>
      <c r="M8" s="32">
        <v>71</v>
      </c>
      <c r="N8" s="32">
        <v>16</v>
      </c>
      <c r="O8" s="32">
        <v>4.7</v>
      </c>
      <c r="P8" s="32"/>
      <c r="Q8" s="32">
        <v>400</v>
      </c>
      <c r="R8" s="32">
        <v>16</v>
      </c>
      <c r="S8" s="32">
        <v>28</v>
      </c>
      <c r="T8" s="32"/>
      <c r="U8" s="32">
        <v>14</v>
      </c>
      <c r="V8" s="32">
        <v>14.5</v>
      </c>
      <c r="W8" s="32">
        <v>1</v>
      </c>
      <c r="X8" s="32"/>
      <c r="Y8" s="32"/>
      <c r="Z8" s="32"/>
      <c r="AA8" s="32"/>
      <c r="AB8" s="32"/>
    </row>
    <row r="9" spans="1:28">
      <c r="A9" s="32">
        <v>31</v>
      </c>
      <c r="B9" s="32">
        <v>40</v>
      </c>
      <c r="C9" s="32">
        <v>1</v>
      </c>
      <c r="D9" s="32"/>
      <c r="E9" s="32">
        <v>110</v>
      </c>
      <c r="F9" s="32">
        <v>19</v>
      </c>
      <c r="G9" s="32">
        <v>6.8</v>
      </c>
      <c r="H9" s="32"/>
      <c r="I9" s="32">
        <v>110</v>
      </c>
      <c r="J9" s="32">
        <v>19</v>
      </c>
      <c r="K9" s="32">
        <v>6.8</v>
      </c>
      <c r="L9" s="32"/>
      <c r="M9" s="32">
        <v>110</v>
      </c>
      <c r="N9" s="32">
        <v>19</v>
      </c>
      <c r="O9" s="32">
        <v>6.8</v>
      </c>
      <c r="P9" s="32"/>
      <c r="Q9" s="32">
        <v>750</v>
      </c>
      <c r="R9" s="32">
        <v>18.5</v>
      </c>
      <c r="S9" s="32">
        <v>47</v>
      </c>
      <c r="T9" s="32"/>
      <c r="U9" s="32"/>
      <c r="V9" s="32"/>
      <c r="W9" s="32"/>
      <c r="X9" s="32"/>
      <c r="Y9" s="32"/>
      <c r="Z9" s="32"/>
      <c r="AA9" s="32"/>
      <c r="AB9" s="32"/>
    </row>
    <row r="10" spans="1:28">
      <c r="A10" s="32">
        <v>41</v>
      </c>
      <c r="B10" s="32">
        <v>40</v>
      </c>
      <c r="C10" s="32">
        <v>1</v>
      </c>
      <c r="D10" s="32"/>
      <c r="E10" s="32">
        <v>160</v>
      </c>
      <c r="F10" s="32">
        <v>20</v>
      </c>
      <c r="G10" s="32">
        <v>8.4</v>
      </c>
      <c r="H10" s="32"/>
      <c r="I10" s="32">
        <v>160</v>
      </c>
      <c r="J10" s="32">
        <v>20</v>
      </c>
      <c r="K10" s="32">
        <v>8.4</v>
      </c>
      <c r="L10" s="32"/>
      <c r="M10" s="32">
        <v>160</v>
      </c>
      <c r="N10" s="32">
        <v>20</v>
      </c>
      <c r="O10" s="32">
        <v>8.4</v>
      </c>
      <c r="P10" s="32"/>
      <c r="Q10" s="32"/>
      <c r="R10" s="32"/>
      <c r="S10" s="32"/>
      <c r="T10" s="32"/>
      <c r="U10" s="32"/>
      <c r="V10" s="32"/>
      <c r="W10" s="32"/>
      <c r="X10" s="32"/>
      <c r="Y10" s="32"/>
      <c r="Z10" s="32"/>
      <c r="AA10" s="32"/>
      <c r="AB10" s="32"/>
    </row>
    <row r="11" spans="1:28">
      <c r="A11" s="32"/>
      <c r="B11" s="32"/>
      <c r="C11" s="32"/>
      <c r="D11" s="32"/>
      <c r="E11" s="32">
        <v>300</v>
      </c>
      <c r="F11" s="32">
        <v>20</v>
      </c>
      <c r="G11" s="32">
        <v>15</v>
      </c>
      <c r="H11" s="32"/>
      <c r="I11" s="32">
        <v>300</v>
      </c>
      <c r="J11" s="32">
        <v>23</v>
      </c>
      <c r="K11" s="32">
        <v>15</v>
      </c>
      <c r="L11" s="32"/>
      <c r="M11" s="32">
        <v>300</v>
      </c>
      <c r="N11" s="32">
        <v>23</v>
      </c>
      <c r="O11" s="32">
        <v>15</v>
      </c>
      <c r="P11" s="32"/>
      <c r="Q11" s="32"/>
      <c r="R11" s="32"/>
      <c r="S11" s="32"/>
      <c r="T11" s="32"/>
      <c r="U11" s="32"/>
      <c r="V11" s="32"/>
      <c r="W11" s="32"/>
      <c r="X11" s="32"/>
      <c r="Y11" s="32"/>
      <c r="Z11" s="32"/>
      <c r="AA11" s="32"/>
      <c r="AB11" s="32"/>
    </row>
    <row r="12" spans="1:28">
      <c r="A12" s="32"/>
      <c r="B12" s="32"/>
      <c r="C12" s="32"/>
      <c r="D12" s="32"/>
      <c r="E12" s="32"/>
      <c r="F12" s="32"/>
      <c r="G12" s="32"/>
      <c r="H12" s="32"/>
      <c r="I12" s="32"/>
      <c r="J12" s="32"/>
      <c r="K12" s="32"/>
      <c r="L12" s="32"/>
      <c r="M12" s="32"/>
      <c r="N12" s="32"/>
      <c r="O12" s="32"/>
      <c r="P12" s="32"/>
      <c r="Q12" s="32"/>
      <c r="R12" s="32"/>
      <c r="S12" s="32"/>
      <c r="T12" s="32"/>
      <c r="U12" s="32"/>
      <c r="V12" s="32"/>
      <c r="W12" s="32"/>
      <c r="X12" s="32"/>
      <c r="Y12" s="32"/>
      <c r="Z12" s="32"/>
      <c r="AA12" s="32"/>
      <c r="AB12" s="32"/>
    </row>
  </sheetData>
  <sheetProtection password="CDD6" sheet="1" objects="1" scenarios="1"/>
  <pageMargins left="0.75" right="0.75" top="1" bottom="1" header="0.5" footer="0.5"/>
  <pageSetup orientation="portrait" r:id="rId1"/>
  <headerFooter alignWithMargins="0">
    <oddFooter>&amp;L&amp;F</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7">
    <tabColor indexed="12"/>
  </sheetPr>
  <dimension ref="A1:H24"/>
  <sheetViews>
    <sheetView workbookViewId="0">
      <selection activeCell="C10" sqref="C10"/>
    </sheetView>
  </sheetViews>
  <sheetFormatPr defaultRowHeight="13.2"/>
  <cols>
    <col min="1" max="1" width="9.21875" style="2"/>
    <col min="2" max="2" width="24" style="2" customWidth="1"/>
    <col min="3" max="3" width="13.5546875" style="2" customWidth="1"/>
    <col min="4" max="4" width="3.21875" style="2" customWidth="1"/>
    <col min="5" max="5" width="14.77734375" style="2" customWidth="1"/>
    <col min="6" max="6" width="3.21875" style="2" customWidth="1"/>
    <col min="7" max="7" width="14.5546875" style="2" customWidth="1"/>
    <col min="8" max="8" width="3.21875" style="2" customWidth="1"/>
    <col min="9" max="257" width="9.21875" style="2"/>
    <col min="258" max="258" width="24" style="2" customWidth="1"/>
    <col min="259" max="259" width="13.5546875" style="2" customWidth="1"/>
    <col min="260" max="260" width="3.21875" style="2" customWidth="1"/>
    <col min="261" max="261" width="14.77734375" style="2" customWidth="1"/>
    <col min="262" max="262" width="3.21875" style="2" customWidth="1"/>
    <col min="263" max="263" width="14.5546875" style="2" customWidth="1"/>
    <col min="264" max="264" width="3.21875" style="2" customWidth="1"/>
    <col min="265" max="513" width="9.21875" style="2"/>
    <col min="514" max="514" width="24" style="2" customWidth="1"/>
    <col min="515" max="515" width="13.5546875" style="2" customWidth="1"/>
    <col min="516" max="516" width="3.21875" style="2" customWidth="1"/>
    <col min="517" max="517" width="14.77734375" style="2" customWidth="1"/>
    <col min="518" max="518" width="3.21875" style="2" customWidth="1"/>
    <col min="519" max="519" width="14.5546875" style="2" customWidth="1"/>
    <col min="520" max="520" width="3.21875" style="2" customWidth="1"/>
    <col min="521" max="769" width="9.21875" style="2"/>
    <col min="770" max="770" width="24" style="2" customWidth="1"/>
    <col min="771" max="771" width="13.5546875" style="2" customWidth="1"/>
    <col min="772" max="772" width="3.21875" style="2" customWidth="1"/>
    <col min="773" max="773" width="14.77734375" style="2" customWidth="1"/>
    <col min="774" max="774" width="3.21875" style="2" customWidth="1"/>
    <col min="775" max="775" width="14.5546875" style="2" customWidth="1"/>
    <col min="776" max="776" width="3.21875" style="2" customWidth="1"/>
    <col min="777" max="1025" width="9.21875" style="2"/>
    <col min="1026" max="1026" width="24" style="2" customWidth="1"/>
    <col min="1027" max="1027" width="13.5546875" style="2" customWidth="1"/>
    <col min="1028" max="1028" width="3.21875" style="2" customWidth="1"/>
    <col min="1029" max="1029" width="14.77734375" style="2" customWidth="1"/>
    <col min="1030" max="1030" width="3.21875" style="2" customWidth="1"/>
    <col min="1031" max="1031" width="14.5546875" style="2" customWidth="1"/>
    <col min="1032" max="1032" width="3.21875" style="2" customWidth="1"/>
    <col min="1033" max="1281" width="9.21875" style="2"/>
    <col min="1282" max="1282" width="24" style="2" customWidth="1"/>
    <col min="1283" max="1283" width="13.5546875" style="2" customWidth="1"/>
    <col min="1284" max="1284" width="3.21875" style="2" customWidth="1"/>
    <col min="1285" max="1285" width="14.77734375" style="2" customWidth="1"/>
    <col min="1286" max="1286" width="3.21875" style="2" customWidth="1"/>
    <col min="1287" max="1287" width="14.5546875" style="2" customWidth="1"/>
    <col min="1288" max="1288" width="3.21875" style="2" customWidth="1"/>
    <col min="1289" max="1537" width="9.21875" style="2"/>
    <col min="1538" max="1538" width="24" style="2" customWidth="1"/>
    <col min="1539" max="1539" width="13.5546875" style="2" customWidth="1"/>
    <col min="1540" max="1540" width="3.21875" style="2" customWidth="1"/>
    <col min="1541" max="1541" width="14.77734375" style="2" customWidth="1"/>
    <col min="1542" max="1542" width="3.21875" style="2" customWidth="1"/>
    <col min="1543" max="1543" width="14.5546875" style="2" customWidth="1"/>
    <col min="1544" max="1544" width="3.21875" style="2" customWidth="1"/>
    <col min="1545" max="1793" width="9.21875" style="2"/>
    <col min="1794" max="1794" width="24" style="2" customWidth="1"/>
    <col min="1795" max="1795" width="13.5546875" style="2" customWidth="1"/>
    <col min="1796" max="1796" width="3.21875" style="2" customWidth="1"/>
    <col min="1797" max="1797" width="14.77734375" style="2" customWidth="1"/>
    <col min="1798" max="1798" width="3.21875" style="2" customWidth="1"/>
    <col min="1799" max="1799" width="14.5546875" style="2" customWidth="1"/>
    <col min="1800" max="1800" width="3.21875" style="2" customWidth="1"/>
    <col min="1801" max="2049" width="9.21875" style="2"/>
    <col min="2050" max="2050" width="24" style="2" customWidth="1"/>
    <col min="2051" max="2051" width="13.5546875" style="2" customWidth="1"/>
    <col min="2052" max="2052" width="3.21875" style="2" customWidth="1"/>
    <col min="2053" max="2053" width="14.77734375" style="2" customWidth="1"/>
    <col min="2054" max="2054" width="3.21875" style="2" customWidth="1"/>
    <col min="2055" max="2055" width="14.5546875" style="2" customWidth="1"/>
    <col min="2056" max="2056" width="3.21875" style="2" customWidth="1"/>
    <col min="2057" max="2305" width="9.21875" style="2"/>
    <col min="2306" max="2306" width="24" style="2" customWidth="1"/>
    <col min="2307" max="2307" width="13.5546875" style="2" customWidth="1"/>
    <col min="2308" max="2308" width="3.21875" style="2" customWidth="1"/>
    <col min="2309" max="2309" width="14.77734375" style="2" customWidth="1"/>
    <col min="2310" max="2310" width="3.21875" style="2" customWidth="1"/>
    <col min="2311" max="2311" width="14.5546875" style="2" customWidth="1"/>
    <col min="2312" max="2312" width="3.21875" style="2" customWidth="1"/>
    <col min="2313" max="2561" width="9.21875" style="2"/>
    <col min="2562" max="2562" width="24" style="2" customWidth="1"/>
    <col min="2563" max="2563" width="13.5546875" style="2" customWidth="1"/>
    <col min="2564" max="2564" width="3.21875" style="2" customWidth="1"/>
    <col min="2565" max="2565" width="14.77734375" style="2" customWidth="1"/>
    <col min="2566" max="2566" width="3.21875" style="2" customWidth="1"/>
    <col min="2567" max="2567" width="14.5546875" style="2" customWidth="1"/>
    <col min="2568" max="2568" width="3.21875" style="2" customWidth="1"/>
    <col min="2569" max="2817" width="9.21875" style="2"/>
    <col min="2818" max="2818" width="24" style="2" customWidth="1"/>
    <col min="2819" max="2819" width="13.5546875" style="2" customWidth="1"/>
    <col min="2820" max="2820" width="3.21875" style="2" customWidth="1"/>
    <col min="2821" max="2821" width="14.77734375" style="2" customWidth="1"/>
    <col min="2822" max="2822" width="3.21875" style="2" customWidth="1"/>
    <col min="2823" max="2823" width="14.5546875" style="2" customWidth="1"/>
    <col min="2824" max="2824" width="3.21875" style="2" customWidth="1"/>
    <col min="2825" max="3073" width="9.21875" style="2"/>
    <col min="3074" max="3074" width="24" style="2" customWidth="1"/>
    <col min="3075" max="3075" width="13.5546875" style="2" customWidth="1"/>
    <col min="3076" max="3076" width="3.21875" style="2" customWidth="1"/>
    <col min="3077" max="3077" width="14.77734375" style="2" customWidth="1"/>
    <col min="3078" max="3078" width="3.21875" style="2" customWidth="1"/>
    <col min="3079" max="3079" width="14.5546875" style="2" customWidth="1"/>
    <col min="3080" max="3080" width="3.21875" style="2" customWidth="1"/>
    <col min="3081" max="3329" width="9.21875" style="2"/>
    <col min="3330" max="3330" width="24" style="2" customWidth="1"/>
    <col min="3331" max="3331" width="13.5546875" style="2" customWidth="1"/>
    <col min="3332" max="3332" width="3.21875" style="2" customWidth="1"/>
    <col min="3333" max="3333" width="14.77734375" style="2" customWidth="1"/>
    <col min="3334" max="3334" width="3.21875" style="2" customWidth="1"/>
    <col min="3335" max="3335" width="14.5546875" style="2" customWidth="1"/>
    <col min="3336" max="3336" width="3.21875" style="2" customWidth="1"/>
    <col min="3337" max="3585" width="9.21875" style="2"/>
    <col min="3586" max="3586" width="24" style="2" customWidth="1"/>
    <col min="3587" max="3587" width="13.5546875" style="2" customWidth="1"/>
    <col min="3588" max="3588" width="3.21875" style="2" customWidth="1"/>
    <col min="3589" max="3589" width="14.77734375" style="2" customWidth="1"/>
    <col min="3590" max="3590" width="3.21875" style="2" customWidth="1"/>
    <col min="3591" max="3591" width="14.5546875" style="2" customWidth="1"/>
    <col min="3592" max="3592" width="3.21875" style="2" customWidth="1"/>
    <col min="3593" max="3841" width="9.21875" style="2"/>
    <col min="3842" max="3842" width="24" style="2" customWidth="1"/>
    <col min="3843" max="3843" width="13.5546875" style="2" customWidth="1"/>
    <col min="3844" max="3844" width="3.21875" style="2" customWidth="1"/>
    <col min="3845" max="3845" width="14.77734375" style="2" customWidth="1"/>
    <col min="3846" max="3846" width="3.21875" style="2" customWidth="1"/>
    <col min="3847" max="3847" width="14.5546875" style="2" customWidth="1"/>
    <col min="3848" max="3848" width="3.21875" style="2" customWidth="1"/>
    <col min="3849" max="4097" width="9.21875" style="2"/>
    <col min="4098" max="4098" width="24" style="2" customWidth="1"/>
    <col min="4099" max="4099" width="13.5546875" style="2" customWidth="1"/>
    <col min="4100" max="4100" width="3.21875" style="2" customWidth="1"/>
    <col min="4101" max="4101" width="14.77734375" style="2" customWidth="1"/>
    <col min="4102" max="4102" width="3.21875" style="2" customWidth="1"/>
    <col min="4103" max="4103" width="14.5546875" style="2" customWidth="1"/>
    <col min="4104" max="4104" width="3.21875" style="2" customWidth="1"/>
    <col min="4105" max="4353" width="9.21875" style="2"/>
    <col min="4354" max="4354" width="24" style="2" customWidth="1"/>
    <col min="4355" max="4355" width="13.5546875" style="2" customWidth="1"/>
    <col min="4356" max="4356" width="3.21875" style="2" customWidth="1"/>
    <col min="4357" max="4357" width="14.77734375" style="2" customWidth="1"/>
    <col min="4358" max="4358" width="3.21875" style="2" customWidth="1"/>
    <col min="4359" max="4359" width="14.5546875" style="2" customWidth="1"/>
    <col min="4360" max="4360" width="3.21875" style="2" customWidth="1"/>
    <col min="4361" max="4609" width="9.21875" style="2"/>
    <col min="4610" max="4610" width="24" style="2" customWidth="1"/>
    <col min="4611" max="4611" width="13.5546875" style="2" customWidth="1"/>
    <col min="4612" max="4612" width="3.21875" style="2" customWidth="1"/>
    <col min="4613" max="4613" width="14.77734375" style="2" customWidth="1"/>
    <col min="4614" max="4614" width="3.21875" style="2" customWidth="1"/>
    <col min="4615" max="4615" width="14.5546875" style="2" customWidth="1"/>
    <col min="4616" max="4616" width="3.21875" style="2" customWidth="1"/>
    <col min="4617" max="4865" width="9.21875" style="2"/>
    <col min="4866" max="4866" width="24" style="2" customWidth="1"/>
    <col min="4867" max="4867" width="13.5546875" style="2" customWidth="1"/>
    <col min="4868" max="4868" width="3.21875" style="2" customWidth="1"/>
    <col min="4869" max="4869" width="14.77734375" style="2" customWidth="1"/>
    <col min="4870" max="4870" width="3.21875" style="2" customWidth="1"/>
    <col min="4871" max="4871" width="14.5546875" style="2" customWidth="1"/>
    <col min="4872" max="4872" width="3.21875" style="2" customWidth="1"/>
    <col min="4873" max="5121" width="9.21875" style="2"/>
    <col min="5122" max="5122" width="24" style="2" customWidth="1"/>
    <col min="5123" max="5123" width="13.5546875" style="2" customWidth="1"/>
    <col min="5124" max="5124" width="3.21875" style="2" customWidth="1"/>
    <col min="5125" max="5125" width="14.77734375" style="2" customWidth="1"/>
    <col min="5126" max="5126" width="3.21875" style="2" customWidth="1"/>
    <col min="5127" max="5127" width="14.5546875" style="2" customWidth="1"/>
    <col min="5128" max="5128" width="3.21875" style="2" customWidth="1"/>
    <col min="5129" max="5377" width="9.21875" style="2"/>
    <col min="5378" max="5378" width="24" style="2" customWidth="1"/>
    <col min="5379" max="5379" width="13.5546875" style="2" customWidth="1"/>
    <col min="5380" max="5380" width="3.21875" style="2" customWidth="1"/>
    <col min="5381" max="5381" width="14.77734375" style="2" customWidth="1"/>
    <col min="5382" max="5382" width="3.21875" style="2" customWidth="1"/>
    <col min="5383" max="5383" width="14.5546875" style="2" customWidth="1"/>
    <col min="5384" max="5384" width="3.21875" style="2" customWidth="1"/>
    <col min="5385" max="5633" width="9.21875" style="2"/>
    <col min="5634" max="5634" width="24" style="2" customWidth="1"/>
    <col min="5635" max="5635" width="13.5546875" style="2" customWidth="1"/>
    <col min="5636" max="5636" width="3.21875" style="2" customWidth="1"/>
    <col min="5637" max="5637" width="14.77734375" style="2" customWidth="1"/>
    <col min="5638" max="5638" width="3.21875" style="2" customWidth="1"/>
    <col min="5639" max="5639" width="14.5546875" style="2" customWidth="1"/>
    <col min="5640" max="5640" width="3.21875" style="2" customWidth="1"/>
    <col min="5641" max="5889" width="9.21875" style="2"/>
    <col min="5890" max="5890" width="24" style="2" customWidth="1"/>
    <col min="5891" max="5891" width="13.5546875" style="2" customWidth="1"/>
    <col min="5892" max="5892" width="3.21875" style="2" customWidth="1"/>
    <col min="5893" max="5893" width="14.77734375" style="2" customWidth="1"/>
    <col min="5894" max="5894" width="3.21875" style="2" customWidth="1"/>
    <col min="5895" max="5895" width="14.5546875" style="2" customWidth="1"/>
    <col min="5896" max="5896" width="3.21875" style="2" customWidth="1"/>
    <col min="5897" max="6145" width="9.21875" style="2"/>
    <col min="6146" max="6146" width="24" style="2" customWidth="1"/>
    <col min="6147" max="6147" width="13.5546875" style="2" customWidth="1"/>
    <col min="6148" max="6148" width="3.21875" style="2" customWidth="1"/>
    <col min="6149" max="6149" width="14.77734375" style="2" customWidth="1"/>
    <col min="6150" max="6150" width="3.21875" style="2" customWidth="1"/>
    <col min="6151" max="6151" width="14.5546875" style="2" customWidth="1"/>
    <col min="6152" max="6152" width="3.21875" style="2" customWidth="1"/>
    <col min="6153" max="6401" width="9.21875" style="2"/>
    <col min="6402" max="6402" width="24" style="2" customWidth="1"/>
    <col min="6403" max="6403" width="13.5546875" style="2" customWidth="1"/>
    <col min="6404" max="6404" width="3.21875" style="2" customWidth="1"/>
    <col min="6405" max="6405" width="14.77734375" style="2" customWidth="1"/>
    <col min="6406" max="6406" width="3.21875" style="2" customWidth="1"/>
    <col min="6407" max="6407" width="14.5546875" style="2" customWidth="1"/>
    <col min="6408" max="6408" width="3.21875" style="2" customWidth="1"/>
    <col min="6409" max="6657" width="9.21875" style="2"/>
    <col min="6658" max="6658" width="24" style="2" customWidth="1"/>
    <col min="6659" max="6659" width="13.5546875" style="2" customWidth="1"/>
    <col min="6660" max="6660" width="3.21875" style="2" customWidth="1"/>
    <col min="6661" max="6661" width="14.77734375" style="2" customWidth="1"/>
    <col min="6662" max="6662" width="3.21875" style="2" customWidth="1"/>
    <col min="6663" max="6663" width="14.5546875" style="2" customWidth="1"/>
    <col min="6664" max="6664" width="3.21875" style="2" customWidth="1"/>
    <col min="6665" max="6913" width="9.21875" style="2"/>
    <col min="6914" max="6914" width="24" style="2" customWidth="1"/>
    <col min="6915" max="6915" width="13.5546875" style="2" customWidth="1"/>
    <col min="6916" max="6916" width="3.21875" style="2" customWidth="1"/>
    <col min="6917" max="6917" width="14.77734375" style="2" customWidth="1"/>
    <col min="6918" max="6918" width="3.21875" style="2" customWidth="1"/>
    <col min="6919" max="6919" width="14.5546875" style="2" customWidth="1"/>
    <col min="6920" max="6920" width="3.21875" style="2" customWidth="1"/>
    <col min="6921" max="7169" width="9.21875" style="2"/>
    <col min="7170" max="7170" width="24" style="2" customWidth="1"/>
    <col min="7171" max="7171" width="13.5546875" style="2" customWidth="1"/>
    <col min="7172" max="7172" width="3.21875" style="2" customWidth="1"/>
    <col min="7173" max="7173" width="14.77734375" style="2" customWidth="1"/>
    <col min="7174" max="7174" width="3.21875" style="2" customWidth="1"/>
    <col min="7175" max="7175" width="14.5546875" style="2" customWidth="1"/>
    <col min="7176" max="7176" width="3.21875" style="2" customWidth="1"/>
    <col min="7177" max="7425" width="9.21875" style="2"/>
    <col min="7426" max="7426" width="24" style="2" customWidth="1"/>
    <col min="7427" max="7427" width="13.5546875" style="2" customWidth="1"/>
    <col min="7428" max="7428" width="3.21875" style="2" customWidth="1"/>
    <col min="7429" max="7429" width="14.77734375" style="2" customWidth="1"/>
    <col min="7430" max="7430" width="3.21875" style="2" customWidth="1"/>
    <col min="7431" max="7431" width="14.5546875" style="2" customWidth="1"/>
    <col min="7432" max="7432" width="3.21875" style="2" customWidth="1"/>
    <col min="7433" max="7681" width="9.21875" style="2"/>
    <col min="7682" max="7682" width="24" style="2" customWidth="1"/>
    <col min="7683" max="7683" width="13.5546875" style="2" customWidth="1"/>
    <col min="7684" max="7684" width="3.21875" style="2" customWidth="1"/>
    <col min="7685" max="7685" width="14.77734375" style="2" customWidth="1"/>
    <col min="7686" max="7686" width="3.21875" style="2" customWidth="1"/>
    <col min="7687" max="7687" width="14.5546875" style="2" customWidth="1"/>
    <col min="7688" max="7688" width="3.21875" style="2" customWidth="1"/>
    <col min="7689" max="7937" width="9.21875" style="2"/>
    <col min="7938" max="7938" width="24" style="2" customWidth="1"/>
    <col min="7939" max="7939" width="13.5546875" style="2" customWidth="1"/>
    <col min="7940" max="7940" width="3.21875" style="2" customWidth="1"/>
    <col min="7941" max="7941" width="14.77734375" style="2" customWidth="1"/>
    <col min="7942" max="7942" width="3.21875" style="2" customWidth="1"/>
    <col min="7943" max="7943" width="14.5546875" style="2" customWidth="1"/>
    <col min="7944" max="7944" width="3.21875" style="2" customWidth="1"/>
    <col min="7945" max="8193" width="9.21875" style="2"/>
    <col min="8194" max="8194" width="24" style="2" customWidth="1"/>
    <col min="8195" max="8195" width="13.5546875" style="2" customWidth="1"/>
    <col min="8196" max="8196" width="3.21875" style="2" customWidth="1"/>
    <col min="8197" max="8197" width="14.77734375" style="2" customWidth="1"/>
    <col min="8198" max="8198" width="3.21875" style="2" customWidth="1"/>
    <col min="8199" max="8199" width="14.5546875" style="2" customWidth="1"/>
    <col min="8200" max="8200" width="3.21875" style="2" customWidth="1"/>
    <col min="8201" max="8449" width="9.21875" style="2"/>
    <col min="8450" max="8450" width="24" style="2" customWidth="1"/>
    <col min="8451" max="8451" width="13.5546875" style="2" customWidth="1"/>
    <col min="8452" max="8452" width="3.21875" style="2" customWidth="1"/>
    <col min="8453" max="8453" width="14.77734375" style="2" customWidth="1"/>
    <col min="8454" max="8454" width="3.21875" style="2" customWidth="1"/>
    <col min="8455" max="8455" width="14.5546875" style="2" customWidth="1"/>
    <col min="8456" max="8456" width="3.21875" style="2" customWidth="1"/>
    <col min="8457" max="8705" width="9.21875" style="2"/>
    <col min="8706" max="8706" width="24" style="2" customWidth="1"/>
    <col min="8707" max="8707" width="13.5546875" style="2" customWidth="1"/>
    <col min="8708" max="8708" width="3.21875" style="2" customWidth="1"/>
    <col min="8709" max="8709" width="14.77734375" style="2" customWidth="1"/>
    <col min="8710" max="8710" width="3.21875" style="2" customWidth="1"/>
    <col min="8711" max="8711" width="14.5546875" style="2" customWidth="1"/>
    <col min="8712" max="8712" width="3.21875" style="2" customWidth="1"/>
    <col min="8713" max="8961" width="9.21875" style="2"/>
    <col min="8962" max="8962" width="24" style="2" customWidth="1"/>
    <col min="8963" max="8963" width="13.5546875" style="2" customWidth="1"/>
    <col min="8964" max="8964" width="3.21875" style="2" customWidth="1"/>
    <col min="8965" max="8965" width="14.77734375" style="2" customWidth="1"/>
    <col min="8966" max="8966" width="3.21875" style="2" customWidth="1"/>
    <col min="8967" max="8967" width="14.5546875" style="2" customWidth="1"/>
    <col min="8968" max="8968" width="3.21875" style="2" customWidth="1"/>
    <col min="8969" max="9217" width="9.21875" style="2"/>
    <col min="9218" max="9218" width="24" style="2" customWidth="1"/>
    <col min="9219" max="9219" width="13.5546875" style="2" customWidth="1"/>
    <col min="9220" max="9220" width="3.21875" style="2" customWidth="1"/>
    <col min="9221" max="9221" width="14.77734375" style="2" customWidth="1"/>
    <col min="9222" max="9222" width="3.21875" style="2" customWidth="1"/>
    <col min="9223" max="9223" width="14.5546875" style="2" customWidth="1"/>
    <col min="9224" max="9224" width="3.21875" style="2" customWidth="1"/>
    <col min="9225" max="9473" width="9.21875" style="2"/>
    <col min="9474" max="9474" width="24" style="2" customWidth="1"/>
    <col min="9475" max="9475" width="13.5546875" style="2" customWidth="1"/>
    <col min="9476" max="9476" width="3.21875" style="2" customWidth="1"/>
    <col min="9477" max="9477" width="14.77734375" style="2" customWidth="1"/>
    <col min="9478" max="9478" width="3.21875" style="2" customWidth="1"/>
    <col min="9479" max="9479" width="14.5546875" style="2" customWidth="1"/>
    <col min="9480" max="9480" width="3.21875" style="2" customWidth="1"/>
    <col min="9481" max="9729" width="9.21875" style="2"/>
    <col min="9730" max="9730" width="24" style="2" customWidth="1"/>
    <col min="9731" max="9731" width="13.5546875" style="2" customWidth="1"/>
    <col min="9732" max="9732" width="3.21875" style="2" customWidth="1"/>
    <col min="9733" max="9733" width="14.77734375" style="2" customWidth="1"/>
    <col min="9734" max="9734" width="3.21875" style="2" customWidth="1"/>
    <col min="9735" max="9735" width="14.5546875" style="2" customWidth="1"/>
    <col min="9736" max="9736" width="3.21875" style="2" customWidth="1"/>
    <col min="9737" max="9985" width="9.21875" style="2"/>
    <col min="9986" max="9986" width="24" style="2" customWidth="1"/>
    <col min="9987" max="9987" width="13.5546875" style="2" customWidth="1"/>
    <col min="9988" max="9988" width="3.21875" style="2" customWidth="1"/>
    <col min="9989" max="9989" width="14.77734375" style="2" customWidth="1"/>
    <col min="9990" max="9990" width="3.21875" style="2" customWidth="1"/>
    <col min="9991" max="9991" width="14.5546875" style="2" customWidth="1"/>
    <col min="9992" max="9992" width="3.21875" style="2" customWidth="1"/>
    <col min="9993" max="10241" width="9.21875" style="2"/>
    <col min="10242" max="10242" width="24" style="2" customWidth="1"/>
    <col min="10243" max="10243" width="13.5546875" style="2" customWidth="1"/>
    <col min="10244" max="10244" width="3.21875" style="2" customWidth="1"/>
    <col min="10245" max="10245" width="14.77734375" style="2" customWidth="1"/>
    <col min="10246" max="10246" width="3.21875" style="2" customWidth="1"/>
    <col min="10247" max="10247" width="14.5546875" style="2" customWidth="1"/>
    <col min="10248" max="10248" width="3.21875" style="2" customWidth="1"/>
    <col min="10249" max="10497" width="9.21875" style="2"/>
    <col min="10498" max="10498" width="24" style="2" customWidth="1"/>
    <col min="10499" max="10499" width="13.5546875" style="2" customWidth="1"/>
    <col min="10500" max="10500" width="3.21875" style="2" customWidth="1"/>
    <col min="10501" max="10501" width="14.77734375" style="2" customWidth="1"/>
    <col min="10502" max="10502" width="3.21875" style="2" customWidth="1"/>
    <col min="10503" max="10503" width="14.5546875" style="2" customWidth="1"/>
    <col min="10504" max="10504" width="3.21875" style="2" customWidth="1"/>
    <col min="10505" max="10753" width="9.21875" style="2"/>
    <col min="10754" max="10754" width="24" style="2" customWidth="1"/>
    <col min="10755" max="10755" width="13.5546875" style="2" customWidth="1"/>
    <col min="10756" max="10756" width="3.21875" style="2" customWidth="1"/>
    <col min="10757" max="10757" width="14.77734375" style="2" customWidth="1"/>
    <col min="10758" max="10758" width="3.21875" style="2" customWidth="1"/>
    <col min="10759" max="10759" width="14.5546875" style="2" customWidth="1"/>
    <col min="10760" max="10760" width="3.21875" style="2" customWidth="1"/>
    <col min="10761" max="11009" width="9.21875" style="2"/>
    <col min="11010" max="11010" width="24" style="2" customWidth="1"/>
    <col min="11011" max="11011" width="13.5546875" style="2" customWidth="1"/>
    <col min="11012" max="11012" width="3.21875" style="2" customWidth="1"/>
    <col min="11013" max="11013" width="14.77734375" style="2" customWidth="1"/>
    <col min="11014" max="11014" width="3.21875" style="2" customWidth="1"/>
    <col min="11015" max="11015" width="14.5546875" style="2" customWidth="1"/>
    <col min="11016" max="11016" width="3.21875" style="2" customWidth="1"/>
    <col min="11017" max="11265" width="9.21875" style="2"/>
    <col min="11266" max="11266" width="24" style="2" customWidth="1"/>
    <col min="11267" max="11267" width="13.5546875" style="2" customWidth="1"/>
    <col min="11268" max="11268" width="3.21875" style="2" customWidth="1"/>
    <col min="11269" max="11269" width="14.77734375" style="2" customWidth="1"/>
    <col min="11270" max="11270" width="3.21875" style="2" customWidth="1"/>
    <col min="11271" max="11271" width="14.5546875" style="2" customWidth="1"/>
    <col min="11272" max="11272" width="3.21875" style="2" customWidth="1"/>
    <col min="11273" max="11521" width="9.21875" style="2"/>
    <col min="11522" max="11522" width="24" style="2" customWidth="1"/>
    <col min="11523" max="11523" width="13.5546875" style="2" customWidth="1"/>
    <col min="11524" max="11524" width="3.21875" style="2" customWidth="1"/>
    <col min="11525" max="11525" width="14.77734375" style="2" customWidth="1"/>
    <col min="11526" max="11526" width="3.21875" style="2" customWidth="1"/>
    <col min="11527" max="11527" width="14.5546875" style="2" customWidth="1"/>
    <col min="11528" max="11528" width="3.21875" style="2" customWidth="1"/>
    <col min="11529" max="11777" width="9.21875" style="2"/>
    <col min="11778" max="11778" width="24" style="2" customWidth="1"/>
    <col min="11779" max="11779" width="13.5546875" style="2" customWidth="1"/>
    <col min="11780" max="11780" width="3.21875" style="2" customWidth="1"/>
    <col min="11781" max="11781" width="14.77734375" style="2" customWidth="1"/>
    <col min="11782" max="11782" width="3.21875" style="2" customWidth="1"/>
    <col min="11783" max="11783" width="14.5546875" style="2" customWidth="1"/>
    <col min="11784" max="11784" width="3.21875" style="2" customWidth="1"/>
    <col min="11785" max="12033" width="9.21875" style="2"/>
    <col min="12034" max="12034" width="24" style="2" customWidth="1"/>
    <col min="12035" max="12035" width="13.5546875" style="2" customWidth="1"/>
    <col min="12036" max="12036" width="3.21875" style="2" customWidth="1"/>
    <col min="12037" max="12037" width="14.77734375" style="2" customWidth="1"/>
    <col min="12038" max="12038" width="3.21875" style="2" customWidth="1"/>
    <col min="12039" max="12039" width="14.5546875" style="2" customWidth="1"/>
    <col min="12040" max="12040" width="3.21875" style="2" customWidth="1"/>
    <col min="12041" max="12289" width="9.21875" style="2"/>
    <col min="12290" max="12290" width="24" style="2" customWidth="1"/>
    <col min="12291" max="12291" width="13.5546875" style="2" customWidth="1"/>
    <col min="12292" max="12292" width="3.21875" style="2" customWidth="1"/>
    <col min="12293" max="12293" width="14.77734375" style="2" customWidth="1"/>
    <col min="12294" max="12294" width="3.21875" style="2" customWidth="1"/>
    <col min="12295" max="12295" width="14.5546875" style="2" customWidth="1"/>
    <col min="12296" max="12296" width="3.21875" style="2" customWidth="1"/>
    <col min="12297" max="12545" width="9.21875" style="2"/>
    <col min="12546" max="12546" width="24" style="2" customWidth="1"/>
    <col min="12547" max="12547" width="13.5546875" style="2" customWidth="1"/>
    <col min="12548" max="12548" width="3.21875" style="2" customWidth="1"/>
    <col min="12549" max="12549" width="14.77734375" style="2" customWidth="1"/>
    <col min="12550" max="12550" width="3.21875" style="2" customWidth="1"/>
    <col min="12551" max="12551" width="14.5546875" style="2" customWidth="1"/>
    <col min="12552" max="12552" width="3.21875" style="2" customWidth="1"/>
    <col min="12553" max="12801" width="9.21875" style="2"/>
    <col min="12802" max="12802" width="24" style="2" customWidth="1"/>
    <col min="12803" max="12803" width="13.5546875" style="2" customWidth="1"/>
    <col min="12804" max="12804" width="3.21875" style="2" customWidth="1"/>
    <col min="12805" max="12805" width="14.77734375" style="2" customWidth="1"/>
    <col min="12806" max="12806" width="3.21875" style="2" customWidth="1"/>
    <col min="12807" max="12807" width="14.5546875" style="2" customWidth="1"/>
    <col min="12808" max="12808" width="3.21875" style="2" customWidth="1"/>
    <col min="12809" max="13057" width="9.21875" style="2"/>
    <col min="13058" max="13058" width="24" style="2" customWidth="1"/>
    <col min="13059" max="13059" width="13.5546875" style="2" customWidth="1"/>
    <col min="13060" max="13060" width="3.21875" style="2" customWidth="1"/>
    <col min="13061" max="13061" width="14.77734375" style="2" customWidth="1"/>
    <col min="13062" max="13062" width="3.21875" style="2" customWidth="1"/>
    <col min="13063" max="13063" width="14.5546875" style="2" customWidth="1"/>
    <col min="13064" max="13064" width="3.21875" style="2" customWidth="1"/>
    <col min="13065" max="13313" width="9.21875" style="2"/>
    <col min="13314" max="13314" width="24" style="2" customWidth="1"/>
    <col min="13315" max="13315" width="13.5546875" style="2" customWidth="1"/>
    <col min="13316" max="13316" width="3.21875" style="2" customWidth="1"/>
    <col min="13317" max="13317" width="14.77734375" style="2" customWidth="1"/>
    <col min="13318" max="13318" width="3.21875" style="2" customWidth="1"/>
    <col min="13319" max="13319" width="14.5546875" style="2" customWidth="1"/>
    <col min="13320" max="13320" width="3.21875" style="2" customWidth="1"/>
    <col min="13321" max="13569" width="9.21875" style="2"/>
    <col min="13570" max="13570" width="24" style="2" customWidth="1"/>
    <col min="13571" max="13571" width="13.5546875" style="2" customWidth="1"/>
    <col min="13572" max="13572" width="3.21875" style="2" customWidth="1"/>
    <col min="13573" max="13573" width="14.77734375" style="2" customWidth="1"/>
    <col min="13574" max="13574" width="3.21875" style="2" customWidth="1"/>
    <col min="13575" max="13575" width="14.5546875" style="2" customWidth="1"/>
    <col min="13576" max="13576" width="3.21875" style="2" customWidth="1"/>
    <col min="13577" max="13825" width="9.21875" style="2"/>
    <col min="13826" max="13826" width="24" style="2" customWidth="1"/>
    <col min="13827" max="13827" width="13.5546875" style="2" customWidth="1"/>
    <col min="13828" max="13828" width="3.21875" style="2" customWidth="1"/>
    <col min="13829" max="13829" width="14.77734375" style="2" customWidth="1"/>
    <col min="13830" max="13830" width="3.21875" style="2" customWidth="1"/>
    <col min="13831" max="13831" width="14.5546875" style="2" customWidth="1"/>
    <col min="13832" max="13832" width="3.21875" style="2" customWidth="1"/>
    <col min="13833" max="14081" width="9.21875" style="2"/>
    <col min="14082" max="14082" width="24" style="2" customWidth="1"/>
    <col min="14083" max="14083" width="13.5546875" style="2" customWidth="1"/>
    <col min="14084" max="14084" width="3.21875" style="2" customWidth="1"/>
    <col min="14085" max="14085" width="14.77734375" style="2" customWidth="1"/>
    <col min="14086" max="14086" width="3.21875" style="2" customWidth="1"/>
    <col min="14087" max="14087" width="14.5546875" style="2" customWidth="1"/>
    <col min="14088" max="14088" width="3.21875" style="2" customWidth="1"/>
    <col min="14089" max="14337" width="9.21875" style="2"/>
    <col min="14338" max="14338" width="24" style="2" customWidth="1"/>
    <col min="14339" max="14339" width="13.5546875" style="2" customWidth="1"/>
    <col min="14340" max="14340" width="3.21875" style="2" customWidth="1"/>
    <col min="14341" max="14341" width="14.77734375" style="2" customWidth="1"/>
    <col min="14342" max="14342" width="3.21875" style="2" customWidth="1"/>
    <col min="14343" max="14343" width="14.5546875" style="2" customWidth="1"/>
    <col min="14344" max="14344" width="3.21875" style="2" customWidth="1"/>
    <col min="14345" max="14593" width="9.21875" style="2"/>
    <col min="14594" max="14594" width="24" style="2" customWidth="1"/>
    <col min="14595" max="14595" width="13.5546875" style="2" customWidth="1"/>
    <col min="14596" max="14596" width="3.21875" style="2" customWidth="1"/>
    <col min="14597" max="14597" width="14.77734375" style="2" customWidth="1"/>
    <col min="14598" max="14598" width="3.21875" style="2" customWidth="1"/>
    <col min="14599" max="14599" width="14.5546875" style="2" customWidth="1"/>
    <col min="14600" max="14600" width="3.21875" style="2" customWidth="1"/>
    <col min="14601" max="14849" width="9.21875" style="2"/>
    <col min="14850" max="14850" width="24" style="2" customWidth="1"/>
    <col min="14851" max="14851" width="13.5546875" style="2" customWidth="1"/>
    <col min="14852" max="14852" width="3.21875" style="2" customWidth="1"/>
    <col min="14853" max="14853" width="14.77734375" style="2" customWidth="1"/>
    <col min="14854" max="14854" width="3.21875" style="2" customWidth="1"/>
    <col min="14855" max="14855" width="14.5546875" style="2" customWidth="1"/>
    <col min="14856" max="14856" width="3.21875" style="2" customWidth="1"/>
    <col min="14857" max="15105" width="9.21875" style="2"/>
    <col min="15106" max="15106" width="24" style="2" customWidth="1"/>
    <col min="15107" max="15107" width="13.5546875" style="2" customWidth="1"/>
    <col min="15108" max="15108" width="3.21875" style="2" customWidth="1"/>
    <col min="15109" max="15109" width="14.77734375" style="2" customWidth="1"/>
    <col min="15110" max="15110" width="3.21875" style="2" customWidth="1"/>
    <col min="15111" max="15111" width="14.5546875" style="2" customWidth="1"/>
    <col min="15112" max="15112" width="3.21875" style="2" customWidth="1"/>
    <col min="15113" max="15361" width="9.21875" style="2"/>
    <col min="15362" max="15362" width="24" style="2" customWidth="1"/>
    <col min="15363" max="15363" width="13.5546875" style="2" customWidth="1"/>
    <col min="15364" max="15364" width="3.21875" style="2" customWidth="1"/>
    <col min="15365" max="15365" width="14.77734375" style="2" customWidth="1"/>
    <col min="15366" max="15366" width="3.21875" style="2" customWidth="1"/>
    <col min="15367" max="15367" width="14.5546875" style="2" customWidth="1"/>
    <col min="15368" max="15368" width="3.21875" style="2" customWidth="1"/>
    <col min="15369" max="15617" width="9.21875" style="2"/>
    <col min="15618" max="15618" width="24" style="2" customWidth="1"/>
    <col min="15619" max="15619" width="13.5546875" style="2" customWidth="1"/>
    <col min="15620" max="15620" width="3.21875" style="2" customWidth="1"/>
    <col min="15621" max="15621" width="14.77734375" style="2" customWidth="1"/>
    <col min="15622" max="15622" width="3.21875" style="2" customWidth="1"/>
    <col min="15623" max="15623" width="14.5546875" style="2" customWidth="1"/>
    <col min="15624" max="15624" width="3.21875" style="2" customWidth="1"/>
    <col min="15625" max="15873" width="9.21875" style="2"/>
    <col min="15874" max="15874" width="24" style="2" customWidth="1"/>
    <col min="15875" max="15875" width="13.5546875" style="2" customWidth="1"/>
    <col min="15876" max="15876" width="3.21875" style="2" customWidth="1"/>
    <col min="15877" max="15877" width="14.77734375" style="2" customWidth="1"/>
    <col min="15878" max="15878" width="3.21875" style="2" customWidth="1"/>
    <col min="15879" max="15879" width="14.5546875" style="2" customWidth="1"/>
    <col min="15880" max="15880" width="3.21875" style="2" customWidth="1"/>
    <col min="15881" max="16129" width="9.21875" style="2"/>
    <col min="16130" max="16130" width="24" style="2" customWidth="1"/>
    <col min="16131" max="16131" width="13.5546875" style="2" customWidth="1"/>
    <col min="16132" max="16132" width="3.21875" style="2" customWidth="1"/>
    <col min="16133" max="16133" width="14.77734375" style="2" customWidth="1"/>
    <col min="16134" max="16134" width="3.21875" style="2" customWidth="1"/>
    <col min="16135" max="16135" width="14.5546875" style="2" customWidth="1"/>
    <col min="16136" max="16136" width="3.21875" style="2" customWidth="1"/>
    <col min="16137" max="16384" width="9.21875" style="2"/>
  </cols>
  <sheetData>
    <row r="1" spans="1:8" ht="20.399999999999999">
      <c r="A1" s="1" t="s">
        <v>1</v>
      </c>
      <c r="E1" s="3"/>
      <c r="G1" s="3"/>
    </row>
    <row r="2" spans="1:8" ht="15.75" customHeight="1">
      <c r="A2" s="1216" t="s">
        <v>2</v>
      </c>
      <c r="B2" s="1216"/>
      <c r="C2" s="1217" t="s">
        <v>3</v>
      </c>
      <c r="D2" s="4"/>
      <c r="E2" s="1217" t="s">
        <v>4</v>
      </c>
      <c r="F2" s="4"/>
      <c r="G2" s="1217" t="s">
        <v>5</v>
      </c>
      <c r="H2" s="4"/>
    </row>
    <row r="3" spans="1:8" ht="22.5" customHeight="1">
      <c r="A3" s="4"/>
      <c r="B3" s="4"/>
      <c r="C3" s="1217"/>
      <c r="D3" s="4"/>
      <c r="E3" s="1217"/>
      <c r="F3" s="4"/>
      <c r="G3" s="1217"/>
      <c r="H3" s="4"/>
    </row>
    <row r="4" spans="1:8" ht="13.8" thickBot="1">
      <c r="A4" s="5" t="s">
        <v>6</v>
      </c>
      <c r="C4" s="6">
        <f>+'Master Budget Sheet'!AH64</f>
        <v>20</v>
      </c>
      <c r="D4" s="4"/>
      <c r="E4" s="7">
        <f>+C4*'Master Budget Sheet'!$AH$8</f>
        <v>19</v>
      </c>
      <c r="F4" s="4"/>
      <c r="G4" s="8">
        <f>+E4</f>
        <v>19</v>
      </c>
      <c r="H4" s="4"/>
    </row>
    <row r="5" spans="1:8">
      <c r="A5" s="4"/>
      <c r="B5" s="4"/>
      <c r="C5" s="4"/>
      <c r="D5" s="4"/>
      <c r="E5" s="9"/>
      <c r="F5" s="4"/>
      <c r="G5" s="10"/>
      <c r="H5" s="4"/>
    </row>
    <row r="6" spans="1:8">
      <c r="A6" s="5" t="s">
        <v>7</v>
      </c>
      <c r="C6" s="11"/>
      <c r="D6" s="4"/>
      <c r="E6" s="9"/>
      <c r="F6" s="4"/>
      <c r="G6" s="10"/>
      <c r="H6" s="4"/>
    </row>
    <row r="7" spans="1:8" ht="14.4" thickBot="1">
      <c r="B7" s="12" t="s">
        <v>8</v>
      </c>
      <c r="C7" s="6">
        <f>SUM('Master Budget Sheet'!AH65:AH67)</f>
        <v>47</v>
      </c>
      <c r="D7" s="4"/>
      <c r="E7" s="7">
        <f>+C7*'Master Budget Sheet'!$AH$8</f>
        <v>44.65</v>
      </c>
      <c r="F7" s="4"/>
      <c r="G7" s="8">
        <f>+E7</f>
        <v>44.65</v>
      </c>
      <c r="H7" s="4"/>
    </row>
    <row r="8" spans="1:8" ht="14.4" thickBot="1">
      <c r="B8" s="12" t="s">
        <v>9</v>
      </c>
      <c r="C8" s="13">
        <f>SUM('Master Budget Sheet'!AH68:AH70)</f>
        <v>57</v>
      </c>
      <c r="D8" s="4"/>
      <c r="E8" s="7">
        <f>+C8*'Master Budget Sheet'!$AH$8</f>
        <v>54.15</v>
      </c>
      <c r="F8" s="4"/>
      <c r="G8" s="60">
        <f>+E8</f>
        <v>54.15</v>
      </c>
      <c r="H8" s="4"/>
    </row>
    <row r="9" spans="1:8">
      <c r="A9" s="4"/>
      <c r="B9" s="4"/>
      <c r="C9" s="4"/>
      <c r="D9" s="4"/>
      <c r="E9" s="14">
        <f>IF(E8+E7=0,0,E8+E7)</f>
        <v>98.8</v>
      </c>
      <c r="F9" s="4"/>
      <c r="G9" s="14">
        <f>IF(G8+G7=0,0,G8+G7)</f>
        <v>98.8</v>
      </c>
      <c r="H9" s="4"/>
    </row>
    <row r="10" spans="1:8" ht="13.8" thickBot="1">
      <c r="A10" s="5" t="s">
        <v>10</v>
      </c>
      <c r="C10" s="6">
        <f>SUM('Master Budget Sheet'!AH71:AH76)</f>
        <v>130</v>
      </c>
      <c r="D10" s="4"/>
      <c r="E10" s="7">
        <f>+C10*'Master Budget Sheet'!$AH$8</f>
        <v>123.5</v>
      </c>
      <c r="F10" s="4"/>
      <c r="G10" s="8">
        <f>+E10</f>
        <v>123.5</v>
      </c>
      <c r="H10" s="4"/>
    </row>
    <row r="11" spans="1:8">
      <c r="A11" s="15"/>
      <c r="B11" s="4"/>
      <c r="C11" s="16"/>
      <c r="D11" s="4"/>
      <c r="E11" s="17"/>
      <c r="F11" s="4"/>
      <c r="G11" s="18"/>
      <c r="H11" s="4"/>
    </row>
    <row r="12" spans="1:8">
      <c r="A12" s="4"/>
      <c r="B12" s="1218" t="s">
        <v>11</v>
      </c>
      <c r="C12" s="1218"/>
      <c r="D12" s="1218"/>
      <c r="E12" s="1218"/>
      <c r="F12" s="1218"/>
      <c r="G12" s="1218"/>
      <c r="H12" s="4"/>
    </row>
    <row r="13" spans="1:8">
      <c r="A13" s="4"/>
      <c r="B13" s="4"/>
      <c r="C13" s="1215"/>
      <c r="D13" s="1215"/>
      <c r="E13" s="19"/>
      <c r="F13" s="20"/>
      <c r="G13" s="19"/>
      <c r="H13" s="20"/>
    </row>
    <row r="14" spans="1:8" ht="13.8" thickBot="1">
      <c r="A14" s="21" t="s">
        <v>12</v>
      </c>
      <c r="C14" s="11"/>
      <c r="D14" s="4"/>
      <c r="E14" s="7"/>
      <c r="F14" s="4"/>
      <c r="G14" s="8"/>
      <c r="H14" s="4"/>
    </row>
    <row r="15" spans="1:8">
      <c r="A15" s="21" t="s">
        <v>13</v>
      </c>
      <c r="C15" s="11"/>
      <c r="D15" s="4"/>
      <c r="E15" s="22"/>
      <c r="F15" s="4"/>
      <c r="G15" s="10"/>
      <c r="H15" s="4"/>
    </row>
    <row r="16" spans="1:8">
      <c r="A16" s="23"/>
      <c r="B16" s="4"/>
      <c r="C16" s="11"/>
      <c r="D16" s="4"/>
      <c r="E16" s="17"/>
      <c r="F16" s="4"/>
      <c r="G16" s="10"/>
      <c r="H16" s="4"/>
    </row>
    <row r="17" spans="1:8">
      <c r="A17" s="21" t="s">
        <v>14</v>
      </c>
      <c r="C17" s="11"/>
      <c r="D17" s="4"/>
      <c r="E17" s="11"/>
      <c r="F17" s="4"/>
      <c r="G17" s="10"/>
      <c r="H17" s="4"/>
    </row>
    <row r="18" spans="1:8" ht="27" thickBot="1">
      <c r="A18" s="21"/>
      <c r="B18" s="24" t="s">
        <v>15</v>
      </c>
      <c r="C18" s="11"/>
      <c r="D18" s="4"/>
      <c r="E18" s="25"/>
      <c r="F18" s="4"/>
      <c r="G18" s="10"/>
      <c r="H18" s="4"/>
    </row>
    <row r="19" spans="1:8" ht="40.200000000000003" thickBot="1">
      <c r="A19" s="21"/>
      <c r="B19" s="24" t="s">
        <v>16</v>
      </c>
      <c r="C19" s="11"/>
      <c r="D19" s="4"/>
      <c r="E19" s="26"/>
      <c r="F19" s="4"/>
      <c r="G19" s="10"/>
      <c r="H19" s="4"/>
    </row>
    <row r="20" spans="1:8">
      <c r="A20" s="4"/>
      <c r="B20" s="4"/>
      <c r="C20" s="11"/>
      <c r="D20" s="4"/>
      <c r="E20" s="11"/>
      <c r="F20" s="4"/>
      <c r="G20" s="10"/>
      <c r="H20" s="4"/>
    </row>
    <row r="21" spans="1:8">
      <c r="A21" s="27" t="s">
        <v>17</v>
      </c>
      <c r="E21" s="4"/>
      <c r="F21" s="11"/>
      <c r="G21" s="11"/>
      <c r="H21" s="11"/>
    </row>
    <row r="22" spans="1:8" ht="13.8" thickBot="1">
      <c r="A22" s="28"/>
      <c r="B22" s="2" t="s">
        <v>18</v>
      </c>
      <c r="C22" s="29"/>
      <c r="D22" s="11"/>
      <c r="E22" s="11"/>
      <c r="F22" s="11"/>
      <c r="G22" s="11"/>
      <c r="H22" s="11"/>
    </row>
    <row r="23" spans="1:8" ht="13.8" thickBot="1">
      <c r="B23" s="2" t="s">
        <v>19</v>
      </c>
      <c r="C23" s="29"/>
      <c r="D23" s="11"/>
      <c r="E23" s="11"/>
      <c r="F23" s="11"/>
      <c r="G23" s="11"/>
      <c r="H23" s="11"/>
    </row>
    <row r="24" spans="1:8">
      <c r="A24" s="11"/>
      <c r="B24" s="11"/>
      <c r="C24" s="11"/>
      <c r="D24" s="11"/>
      <c r="E24" s="11"/>
      <c r="F24" s="11"/>
      <c r="G24" s="11"/>
      <c r="H24" s="11"/>
    </row>
  </sheetData>
  <sheetProtection password="CC16" sheet="1"/>
  <mergeCells count="6">
    <mergeCell ref="C13:D13"/>
    <mergeCell ref="A2:B2"/>
    <mergeCell ref="C2:C3"/>
    <mergeCell ref="E2:E3"/>
    <mergeCell ref="G2:G3"/>
    <mergeCell ref="B12:G12"/>
  </mergeCells>
  <conditionalFormatting sqref="F13 H13">
    <cfRule type="expression" dxfId="34" priority="1" stopIfTrue="1">
      <formula>E10=0</formula>
    </cfRule>
    <cfRule type="expression" dxfId="33" priority="2" stopIfTrue="1">
      <formula>E13="Grade 7 thru"</formula>
    </cfRule>
    <cfRule type="expression" dxfId="32" priority="3" stopIfTrue="1">
      <formula>E10&gt;99.99</formula>
    </cfRule>
  </conditionalFormatting>
  <pageMargins left="0.75" right="0.75" top="1" bottom="1" header="0.5" footer="0.5"/>
  <pageSetup orientation="portrait" r:id="rId1"/>
  <headerFooter alignWithMargins="0">
    <oddFooter>&amp;L&amp;F</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8"/>
  <dimension ref="A1:Q37"/>
  <sheetViews>
    <sheetView showGridLines="0" zoomScale="90" zoomScaleNormal="100" workbookViewId="0">
      <selection activeCell="C4" sqref="C4"/>
    </sheetView>
  </sheetViews>
  <sheetFormatPr defaultRowHeight="13.2"/>
  <cols>
    <col min="1" max="1" width="4.21875" style="30" customWidth="1"/>
    <col min="2" max="2" width="2.5546875" style="2" customWidth="1"/>
    <col min="3" max="4" width="9.21875" style="2"/>
    <col min="5" max="5" width="5.77734375" style="2" customWidth="1"/>
    <col min="6" max="6" width="8.77734375" style="2" customWidth="1"/>
    <col min="7" max="7" width="3.21875" style="2" customWidth="1"/>
    <col min="8" max="8" width="10.21875" style="2" customWidth="1"/>
    <col min="9" max="9" width="3.77734375" style="2" customWidth="1"/>
    <col min="10" max="10" width="8.21875" style="2" customWidth="1"/>
    <col min="11" max="11" width="6.21875" style="2" customWidth="1"/>
    <col min="12" max="12" width="5.5546875" style="2" customWidth="1"/>
    <col min="13" max="13" width="10.77734375" style="2" customWidth="1"/>
    <col min="14" max="14" width="8.21875" style="2" customWidth="1"/>
    <col min="15" max="15" width="12.21875" style="2" customWidth="1"/>
    <col min="16" max="16" width="10.21875" style="2" customWidth="1"/>
    <col min="17" max="17" width="9.21875" style="32" customWidth="1"/>
    <col min="18" max="256" width="9.21875" style="2"/>
    <col min="257" max="257" width="4.21875" style="2" customWidth="1"/>
    <col min="258" max="258" width="2.5546875" style="2" customWidth="1"/>
    <col min="259" max="260" width="9.21875" style="2"/>
    <col min="261" max="261" width="5.77734375" style="2" customWidth="1"/>
    <col min="262" max="262" width="8.77734375" style="2" customWidth="1"/>
    <col min="263" max="263" width="3.21875" style="2" customWidth="1"/>
    <col min="264" max="264" width="10.21875" style="2" customWidth="1"/>
    <col min="265" max="265" width="3.77734375" style="2" customWidth="1"/>
    <col min="266" max="266" width="8.21875" style="2" customWidth="1"/>
    <col min="267" max="267" width="6.21875" style="2" customWidth="1"/>
    <col min="268" max="268" width="5.5546875" style="2" customWidth="1"/>
    <col min="269" max="269" width="10.77734375" style="2" customWidth="1"/>
    <col min="270" max="270" width="8.21875" style="2" customWidth="1"/>
    <col min="271" max="271" width="12.21875" style="2" customWidth="1"/>
    <col min="272" max="272" width="10.21875" style="2" customWidth="1"/>
    <col min="273" max="273" width="9.21875" style="2" customWidth="1"/>
    <col min="274" max="512" width="9.21875" style="2"/>
    <col min="513" max="513" width="4.21875" style="2" customWidth="1"/>
    <col min="514" max="514" width="2.5546875" style="2" customWidth="1"/>
    <col min="515" max="516" width="9.21875" style="2"/>
    <col min="517" max="517" width="5.77734375" style="2" customWidth="1"/>
    <col min="518" max="518" width="8.77734375" style="2" customWidth="1"/>
    <col min="519" max="519" width="3.21875" style="2" customWidth="1"/>
    <col min="520" max="520" width="10.21875" style="2" customWidth="1"/>
    <col min="521" max="521" width="3.77734375" style="2" customWidth="1"/>
    <col min="522" max="522" width="8.21875" style="2" customWidth="1"/>
    <col min="523" max="523" width="6.21875" style="2" customWidth="1"/>
    <col min="524" max="524" width="5.5546875" style="2" customWidth="1"/>
    <col min="525" max="525" width="10.77734375" style="2" customWidth="1"/>
    <col min="526" max="526" width="8.21875" style="2" customWidth="1"/>
    <col min="527" max="527" width="12.21875" style="2" customWidth="1"/>
    <col min="528" max="528" width="10.21875" style="2" customWidth="1"/>
    <col min="529" max="529" width="9.21875" style="2" customWidth="1"/>
    <col min="530" max="768" width="9.21875" style="2"/>
    <col min="769" max="769" width="4.21875" style="2" customWidth="1"/>
    <col min="770" max="770" width="2.5546875" style="2" customWidth="1"/>
    <col min="771" max="772" width="9.21875" style="2"/>
    <col min="773" max="773" width="5.77734375" style="2" customWidth="1"/>
    <col min="774" max="774" width="8.77734375" style="2" customWidth="1"/>
    <col min="775" max="775" width="3.21875" style="2" customWidth="1"/>
    <col min="776" max="776" width="10.21875" style="2" customWidth="1"/>
    <col min="777" max="777" width="3.77734375" style="2" customWidth="1"/>
    <col min="778" max="778" width="8.21875" style="2" customWidth="1"/>
    <col min="779" max="779" width="6.21875" style="2" customWidth="1"/>
    <col min="780" max="780" width="5.5546875" style="2" customWidth="1"/>
    <col min="781" max="781" width="10.77734375" style="2" customWidth="1"/>
    <col min="782" max="782" width="8.21875" style="2" customWidth="1"/>
    <col min="783" max="783" width="12.21875" style="2" customWidth="1"/>
    <col min="784" max="784" width="10.21875" style="2" customWidth="1"/>
    <col min="785" max="785" width="9.21875" style="2" customWidth="1"/>
    <col min="786" max="1024" width="9.21875" style="2"/>
    <col min="1025" max="1025" width="4.21875" style="2" customWidth="1"/>
    <col min="1026" max="1026" width="2.5546875" style="2" customWidth="1"/>
    <col min="1027" max="1028" width="9.21875" style="2"/>
    <col min="1029" max="1029" width="5.77734375" style="2" customWidth="1"/>
    <col min="1030" max="1030" width="8.77734375" style="2" customWidth="1"/>
    <col min="1031" max="1031" width="3.21875" style="2" customWidth="1"/>
    <col min="1032" max="1032" width="10.21875" style="2" customWidth="1"/>
    <col min="1033" max="1033" width="3.77734375" style="2" customWidth="1"/>
    <col min="1034" max="1034" width="8.21875" style="2" customWidth="1"/>
    <col min="1035" max="1035" width="6.21875" style="2" customWidth="1"/>
    <col min="1036" max="1036" width="5.5546875" style="2" customWidth="1"/>
    <col min="1037" max="1037" width="10.77734375" style="2" customWidth="1"/>
    <col min="1038" max="1038" width="8.21875" style="2" customWidth="1"/>
    <col min="1039" max="1039" width="12.21875" style="2" customWidth="1"/>
    <col min="1040" max="1040" width="10.21875" style="2" customWidth="1"/>
    <col min="1041" max="1041" width="9.21875" style="2" customWidth="1"/>
    <col min="1042" max="1280" width="9.21875" style="2"/>
    <col min="1281" max="1281" width="4.21875" style="2" customWidth="1"/>
    <col min="1282" max="1282" width="2.5546875" style="2" customWidth="1"/>
    <col min="1283" max="1284" width="9.21875" style="2"/>
    <col min="1285" max="1285" width="5.77734375" style="2" customWidth="1"/>
    <col min="1286" max="1286" width="8.77734375" style="2" customWidth="1"/>
    <col min="1287" max="1287" width="3.21875" style="2" customWidth="1"/>
    <col min="1288" max="1288" width="10.21875" style="2" customWidth="1"/>
    <col min="1289" max="1289" width="3.77734375" style="2" customWidth="1"/>
    <col min="1290" max="1290" width="8.21875" style="2" customWidth="1"/>
    <col min="1291" max="1291" width="6.21875" style="2" customWidth="1"/>
    <col min="1292" max="1292" width="5.5546875" style="2" customWidth="1"/>
    <col min="1293" max="1293" width="10.77734375" style="2" customWidth="1"/>
    <col min="1294" max="1294" width="8.21875" style="2" customWidth="1"/>
    <col min="1295" max="1295" width="12.21875" style="2" customWidth="1"/>
    <col min="1296" max="1296" width="10.21875" style="2" customWidth="1"/>
    <col min="1297" max="1297" width="9.21875" style="2" customWidth="1"/>
    <col min="1298" max="1536" width="9.21875" style="2"/>
    <col min="1537" max="1537" width="4.21875" style="2" customWidth="1"/>
    <col min="1538" max="1538" width="2.5546875" style="2" customWidth="1"/>
    <col min="1539" max="1540" width="9.21875" style="2"/>
    <col min="1541" max="1541" width="5.77734375" style="2" customWidth="1"/>
    <col min="1542" max="1542" width="8.77734375" style="2" customWidth="1"/>
    <col min="1543" max="1543" width="3.21875" style="2" customWidth="1"/>
    <col min="1544" max="1544" width="10.21875" style="2" customWidth="1"/>
    <col min="1545" max="1545" width="3.77734375" style="2" customWidth="1"/>
    <col min="1546" max="1546" width="8.21875" style="2" customWidth="1"/>
    <col min="1547" max="1547" width="6.21875" style="2" customWidth="1"/>
    <col min="1548" max="1548" width="5.5546875" style="2" customWidth="1"/>
    <col min="1549" max="1549" width="10.77734375" style="2" customWidth="1"/>
    <col min="1550" max="1550" width="8.21875" style="2" customWidth="1"/>
    <col min="1551" max="1551" width="12.21875" style="2" customWidth="1"/>
    <col min="1552" max="1552" width="10.21875" style="2" customWidth="1"/>
    <col min="1553" max="1553" width="9.21875" style="2" customWidth="1"/>
    <col min="1554" max="1792" width="9.21875" style="2"/>
    <col min="1793" max="1793" width="4.21875" style="2" customWidth="1"/>
    <col min="1794" max="1794" width="2.5546875" style="2" customWidth="1"/>
    <col min="1795" max="1796" width="9.21875" style="2"/>
    <col min="1797" max="1797" width="5.77734375" style="2" customWidth="1"/>
    <col min="1798" max="1798" width="8.77734375" style="2" customWidth="1"/>
    <col min="1799" max="1799" width="3.21875" style="2" customWidth="1"/>
    <col min="1800" max="1800" width="10.21875" style="2" customWidth="1"/>
    <col min="1801" max="1801" width="3.77734375" style="2" customWidth="1"/>
    <col min="1802" max="1802" width="8.21875" style="2" customWidth="1"/>
    <col min="1803" max="1803" width="6.21875" style="2" customWidth="1"/>
    <col min="1804" max="1804" width="5.5546875" style="2" customWidth="1"/>
    <col min="1805" max="1805" width="10.77734375" style="2" customWidth="1"/>
    <col min="1806" max="1806" width="8.21875" style="2" customWidth="1"/>
    <col min="1807" max="1807" width="12.21875" style="2" customWidth="1"/>
    <col min="1808" max="1808" width="10.21875" style="2" customWidth="1"/>
    <col min="1809" max="1809" width="9.21875" style="2" customWidth="1"/>
    <col min="1810" max="2048" width="9.21875" style="2"/>
    <col min="2049" max="2049" width="4.21875" style="2" customWidth="1"/>
    <col min="2050" max="2050" width="2.5546875" style="2" customWidth="1"/>
    <col min="2051" max="2052" width="9.21875" style="2"/>
    <col min="2053" max="2053" width="5.77734375" style="2" customWidth="1"/>
    <col min="2054" max="2054" width="8.77734375" style="2" customWidth="1"/>
    <col min="2055" max="2055" width="3.21875" style="2" customWidth="1"/>
    <col min="2056" max="2056" width="10.21875" style="2" customWidth="1"/>
    <col min="2057" max="2057" width="3.77734375" style="2" customWidth="1"/>
    <col min="2058" max="2058" width="8.21875" style="2" customWidth="1"/>
    <col min="2059" max="2059" width="6.21875" style="2" customWidth="1"/>
    <col min="2060" max="2060" width="5.5546875" style="2" customWidth="1"/>
    <col min="2061" max="2061" width="10.77734375" style="2" customWidth="1"/>
    <col min="2062" max="2062" width="8.21875" style="2" customWidth="1"/>
    <col min="2063" max="2063" width="12.21875" style="2" customWidth="1"/>
    <col min="2064" max="2064" width="10.21875" style="2" customWidth="1"/>
    <col min="2065" max="2065" width="9.21875" style="2" customWidth="1"/>
    <col min="2066" max="2304" width="9.21875" style="2"/>
    <col min="2305" max="2305" width="4.21875" style="2" customWidth="1"/>
    <col min="2306" max="2306" width="2.5546875" style="2" customWidth="1"/>
    <col min="2307" max="2308" width="9.21875" style="2"/>
    <col min="2309" max="2309" width="5.77734375" style="2" customWidth="1"/>
    <col min="2310" max="2310" width="8.77734375" style="2" customWidth="1"/>
    <col min="2311" max="2311" width="3.21875" style="2" customWidth="1"/>
    <col min="2312" max="2312" width="10.21875" style="2" customWidth="1"/>
    <col min="2313" max="2313" width="3.77734375" style="2" customWidth="1"/>
    <col min="2314" max="2314" width="8.21875" style="2" customWidth="1"/>
    <col min="2315" max="2315" width="6.21875" style="2" customWidth="1"/>
    <col min="2316" max="2316" width="5.5546875" style="2" customWidth="1"/>
    <col min="2317" max="2317" width="10.77734375" style="2" customWidth="1"/>
    <col min="2318" max="2318" width="8.21875" style="2" customWidth="1"/>
    <col min="2319" max="2319" width="12.21875" style="2" customWidth="1"/>
    <col min="2320" max="2320" width="10.21875" style="2" customWidth="1"/>
    <col min="2321" max="2321" width="9.21875" style="2" customWidth="1"/>
    <col min="2322" max="2560" width="9.21875" style="2"/>
    <col min="2561" max="2561" width="4.21875" style="2" customWidth="1"/>
    <col min="2562" max="2562" width="2.5546875" style="2" customWidth="1"/>
    <col min="2563" max="2564" width="9.21875" style="2"/>
    <col min="2565" max="2565" width="5.77734375" style="2" customWidth="1"/>
    <col min="2566" max="2566" width="8.77734375" style="2" customWidth="1"/>
    <col min="2567" max="2567" width="3.21875" style="2" customWidth="1"/>
    <col min="2568" max="2568" width="10.21875" style="2" customWidth="1"/>
    <col min="2569" max="2569" width="3.77734375" style="2" customWidth="1"/>
    <col min="2570" max="2570" width="8.21875" style="2" customWidth="1"/>
    <col min="2571" max="2571" width="6.21875" style="2" customWidth="1"/>
    <col min="2572" max="2572" width="5.5546875" style="2" customWidth="1"/>
    <col min="2573" max="2573" width="10.77734375" style="2" customWidth="1"/>
    <col min="2574" max="2574" width="8.21875" style="2" customWidth="1"/>
    <col min="2575" max="2575" width="12.21875" style="2" customWidth="1"/>
    <col min="2576" max="2576" width="10.21875" style="2" customWidth="1"/>
    <col min="2577" max="2577" width="9.21875" style="2" customWidth="1"/>
    <col min="2578" max="2816" width="9.21875" style="2"/>
    <col min="2817" max="2817" width="4.21875" style="2" customWidth="1"/>
    <col min="2818" max="2818" width="2.5546875" style="2" customWidth="1"/>
    <col min="2819" max="2820" width="9.21875" style="2"/>
    <col min="2821" max="2821" width="5.77734375" style="2" customWidth="1"/>
    <col min="2822" max="2822" width="8.77734375" style="2" customWidth="1"/>
    <col min="2823" max="2823" width="3.21875" style="2" customWidth="1"/>
    <col min="2824" max="2824" width="10.21875" style="2" customWidth="1"/>
    <col min="2825" max="2825" width="3.77734375" style="2" customWidth="1"/>
    <col min="2826" max="2826" width="8.21875" style="2" customWidth="1"/>
    <col min="2827" max="2827" width="6.21875" style="2" customWidth="1"/>
    <col min="2828" max="2828" width="5.5546875" style="2" customWidth="1"/>
    <col min="2829" max="2829" width="10.77734375" style="2" customWidth="1"/>
    <col min="2830" max="2830" width="8.21875" style="2" customWidth="1"/>
    <col min="2831" max="2831" width="12.21875" style="2" customWidth="1"/>
    <col min="2832" max="2832" width="10.21875" style="2" customWidth="1"/>
    <col min="2833" max="2833" width="9.21875" style="2" customWidth="1"/>
    <col min="2834" max="3072" width="9.21875" style="2"/>
    <col min="3073" max="3073" width="4.21875" style="2" customWidth="1"/>
    <col min="3074" max="3074" width="2.5546875" style="2" customWidth="1"/>
    <col min="3075" max="3076" width="9.21875" style="2"/>
    <col min="3077" max="3077" width="5.77734375" style="2" customWidth="1"/>
    <col min="3078" max="3078" width="8.77734375" style="2" customWidth="1"/>
    <col min="3079" max="3079" width="3.21875" style="2" customWidth="1"/>
    <col min="3080" max="3080" width="10.21875" style="2" customWidth="1"/>
    <col min="3081" max="3081" width="3.77734375" style="2" customWidth="1"/>
    <col min="3082" max="3082" width="8.21875" style="2" customWidth="1"/>
    <col min="3083" max="3083" width="6.21875" style="2" customWidth="1"/>
    <col min="3084" max="3084" width="5.5546875" style="2" customWidth="1"/>
    <col min="3085" max="3085" width="10.77734375" style="2" customWidth="1"/>
    <col min="3086" max="3086" width="8.21875" style="2" customWidth="1"/>
    <col min="3087" max="3087" width="12.21875" style="2" customWidth="1"/>
    <col min="3088" max="3088" width="10.21875" style="2" customWidth="1"/>
    <col min="3089" max="3089" width="9.21875" style="2" customWidth="1"/>
    <col min="3090" max="3328" width="9.21875" style="2"/>
    <col min="3329" max="3329" width="4.21875" style="2" customWidth="1"/>
    <col min="3330" max="3330" width="2.5546875" style="2" customWidth="1"/>
    <col min="3331" max="3332" width="9.21875" style="2"/>
    <col min="3333" max="3333" width="5.77734375" style="2" customWidth="1"/>
    <col min="3334" max="3334" width="8.77734375" style="2" customWidth="1"/>
    <col min="3335" max="3335" width="3.21875" style="2" customWidth="1"/>
    <col min="3336" max="3336" width="10.21875" style="2" customWidth="1"/>
    <col min="3337" max="3337" width="3.77734375" style="2" customWidth="1"/>
    <col min="3338" max="3338" width="8.21875" style="2" customWidth="1"/>
    <col min="3339" max="3339" width="6.21875" style="2" customWidth="1"/>
    <col min="3340" max="3340" width="5.5546875" style="2" customWidth="1"/>
    <col min="3341" max="3341" width="10.77734375" style="2" customWidth="1"/>
    <col min="3342" max="3342" width="8.21875" style="2" customWidth="1"/>
    <col min="3343" max="3343" width="12.21875" style="2" customWidth="1"/>
    <col min="3344" max="3344" width="10.21875" style="2" customWidth="1"/>
    <col min="3345" max="3345" width="9.21875" style="2" customWidth="1"/>
    <col min="3346" max="3584" width="9.21875" style="2"/>
    <col min="3585" max="3585" width="4.21875" style="2" customWidth="1"/>
    <col min="3586" max="3586" width="2.5546875" style="2" customWidth="1"/>
    <col min="3587" max="3588" width="9.21875" style="2"/>
    <col min="3589" max="3589" width="5.77734375" style="2" customWidth="1"/>
    <col min="3590" max="3590" width="8.77734375" style="2" customWidth="1"/>
    <col min="3591" max="3591" width="3.21875" style="2" customWidth="1"/>
    <col min="3592" max="3592" width="10.21875" style="2" customWidth="1"/>
    <col min="3593" max="3593" width="3.77734375" style="2" customWidth="1"/>
    <col min="3594" max="3594" width="8.21875" style="2" customWidth="1"/>
    <col min="3595" max="3595" width="6.21875" style="2" customWidth="1"/>
    <col min="3596" max="3596" width="5.5546875" style="2" customWidth="1"/>
    <col min="3597" max="3597" width="10.77734375" style="2" customWidth="1"/>
    <col min="3598" max="3598" width="8.21875" style="2" customWidth="1"/>
    <col min="3599" max="3599" width="12.21875" style="2" customWidth="1"/>
    <col min="3600" max="3600" width="10.21875" style="2" customWidth="1"/>
    <col min="3601" max="3601" width="9.21875" style="2" customWidth="1"/>
    <col min="3602" max="3840" width="9.21875" style="2"/>
    <col min="3841" max="3841" width="4.21875" style="2" customWidth="1"/>
    <col min="3842" max="3842" width="2.5546875" style="2" customWidth="1"/>
    <col min="3843" max="3844" width="9.21875" style="2"/>
    <col min="3845" max="3845" width="5.77734375" style="2" customWidth="1"/>
    <col min="3846" max="3846" width="8.77734375" style="2" customWidth="1"/>
    <col min="3847" max="3847" width="3.21875" style="2" customWidth="1"/>
    <col min="3848" max="3848" width="10.21875" style="2" customWidth="1"/>
    <col min="3849" max="3849" width="3.77734375" style="2" customWidth="1"/>
    <col min="3850" max="3850" width="8.21875" style="2" customWidth="1"/>
    <col min="3851" max="3851" width="6.21875" style="2" customWidth="1"/>
    <col min="3852" max="3852" width="5.5546875" style="2" customWidth="1"/>
    <col min="3853" max="3853" width="10.77734375" style="2" customWidth="1"/>
    <col min="3854" max="3854" width="8.21875" style="2" customWidth="1"/>
    <col min="3855" max="3855" width="12.21875" style="2" customWidth="1"/>
    <col min="3856" max="3856" width="10.21875" style="2" customWidth="1"/>
    <col min="3857" max="3857" width="9.21875" style="2" customWidth="1"/>
    <col min="3858" max="4096" width="9.21875" style="2"/>
    <col min="4097" max="4097" width="4.21875" style="2" customWidth="1"/>
    <col min="4098" max="4098" width="2.5546875" style="2" customWidth="1"/>
    <col min="4099" max="4100" width="9.21875" style="2"/>
    <col min="4101" max="4101" width="5.77734375" style="2" customWidth="1"/>
    <col min="4102" max="4102" width="8.77734375" style="2" customWidth="1"/>
    <col min="4103" max="4103" width="3.21875" style="2" customWidth="1"/>
    <col min="4104" max="4104" width="10.21875" style="2" customWidth="1"/>
    <col min="4105" max="4105" width="3.77734375" style="2" customWidth="1"/>
    <col min="4106" max="4106" width="8.21875" style="2" customWidth="1"/>
    <col min="4107" max="4107" width="6.21875" style="2" customWidth="1"/>
    <col min="4108" max="4108" width="5.5546875" style="2" customWidth="1"/>
    <col min="4109" max="4109" width="10.77734375" style="2" customWidth="1"/>
    <col min="4110" max="4110" width="8.21875" style="2" customWidth="1"/>
    <col min="4111" max="4111" width="12.21875" style="2" customWidth="1"/>
    <col min="4112" max="4112" width="10.21875" style="2" customWidth="1"/>
    <col min="4113" max="4113" width="9.21875" style="2" customWidth="1"/>
    <col min="4114" max="4352" width="9.21875" style="2"/>
    <col min="4353" max="4353" width="4.21875" style="2" customWidth="1"/>
    <col min="4354" max="4354" width="2.5546875" style="2" customWidth="1"/>
    <col min="4355" max="4356" width="9.21875" style="2"/>
    <col min="4357" max="4357" width="5.77734375" style="2" customWidth="1"/>
    <col min="4358" max="4358" width="8.77734375" style="2" customWidth="1"/>
    <col min="4359" max="4359" width="3.21875" style="2" customWidth="1"/>
    <col min="4360" max="4360" width="10.21875" style="2" customWidth="1"/>
    <col min="4361" max="4361" width="3.77734375" style="2" customWidth="1"/>
    <col min="4362" max="4362" width="8.21875" style="2" customWidth="1"/>
    <col min="4363" max="4363" width="6.21875" style="2" customWidth="1"/>
    <col min="4364" max="4364" width="5.5546875" style="2" customWidth="1"/>
    <col min="4365" max="4365" width="10.77734375" style="2" customWidth="1"/>
    <col min="4366" max="4366" width="8.21875" style="2" customWidth="1"/>
    <col min="4367" max="4367" width="12.21875" style="2" customWidth="1"/>
    <col min="4368" max="4368" width="10.21875" style="2" customWidth="1"/>
    <col min="4369" max="4369" width="9.21875" style="2" customWidth="1"/>
    <col min="4370" max="4608" width="9.21875" style="2"/>
    <col min="4609" max="4609" width="4.21875" style="2" customWidth="1"/>
    <col min="4610" max="4610" width="2.5546875" style="2" customWidth="1"/>
    <col min="4611" max="4612" width="9.21875" style="2"/>
    <col min="4613" max="4613" width="5.77734375" style="2" customWidth="1"/>
    <col min="4614" max="4614" width="8.77734375" style="2" customWidth="1"/>
    <col min="4615" max="4615" width="3.21875" style="2" customWidth="1"/>
    <col min="4616" max="4616" width="10.21875" style="2" customWidth="1"/>
    <col min="4617" max="4617" width="3.77734375" style="2" customWidth="1"/>
    <col min="4618" max="4618" width="8.21875" style="2" customWidth="1"/>
    <col min="4619" max="4619" width="6.21875" style="2" customWidth="1"/>
    <col min="4620" max="4620" width="5.5546875" style="2" customWidth="1"/>
    <col min="4621" max="4621" width="10.77734375" style="2" customWidth="1"/>
    <col min="4622" max="4622" width="8.21875" style="2" customWidth="1"/>
    <col min="4623" max="4623" width="12.21875" style="2" customWidth="1"/>
    <col min="4624" max="4624" width="10.21875" style="2" customWidth="1"/>
    <col min="4625" max="4625" width="9.21875" style="2" customWidth="1"/>
    <col min="4626" max="4864" width="9.21875" style="2"/>
    <col min="4865" max="4865" width="4.21875" style="2" customWidth="1"/>
    <col min="4866" max="4866" width="2.5546875" style="2" customWidth="1"/>
    <col min="4867" max="4868" width="9.21875" style="2"/>
    <col min="4869" max="4869" width="5.77734375" style="2" customWidth="1"/>
    <col min="4870" max="4870" width="8.77734375" style="2" customWidth="1"/>
    <col min="4871" max="4871" width="3.21875" style="2" customWidth="1"/>
    <col min="4872" max="4872" width="10.21875" style="2" customWidth="1"/>
    <col min="4873" max="4873" width="3.77734375" style="2" customWidth="1"/>
    <col min="4874" max="4874" width="8.21875" style="2" customWidth="1"/>
    <col min="4875" max="4875" width="6.21875" style="2" customWidth="1"/>
    <col min="4876" max="4876" width="5.5546875" style="2" customWidth="1"/>
    <col min="4877" max="4877" width="10.77734375" style="2" customWidth="1"/>
    <col min="4878" max="4878" width="8.21875" style="2" customWidth="1"/>
    <col min="4879" max="4879" width="12.21875" style="2" customWidth="1"/>
    <col min="4880" max="4880" width="10.21875" style="2" customWidth="1"/>
    <col min="4881" max="4881" width="9.21875" style="2" customWidth="1"/>
    <col min="4882" max="5120" width="9.21875" style="2"/>
    <col min="5121" max="5121" width="4.21875" style="2" customWidth="1"/>
    <col min="5122" max="5122" width="2.5546875" style="2" customWidth="1"/>
    <col min="5123" max="5124" width="9.21875" style="2"/>
    <col min="5125" max="5125" width="5.77734375" style="2" customWidth="1"/>
    <col min="5126" max="5126" width="8.77734375" style="2" customWidth="1"/>
    <col min="5127" max="5127" width="3.21875" style="2" customWidth="1"/>
    <col min="5128" max="5128" width="10.21875" style="2" customWidth="1"/>
    <col min="5129" max="5129" width="3.77734375" style="2" customWidth="1"/>
    <col min="5130" max="5130" width="8.21875" style="2" customWidth="1"/>
    <col min="5131" max="5131" width="6.21875" style="2" customWidth="1"/>
    <col min="5132" max="5132" width="5.5546875" style="2" customWidth="1"/>
    <col min="5133" max="5133" width="10.77734375" style="2" customWidth="1"/>
    <col min="5134" max="5134" width="8.21875" style="2" customWidth="1"/>
    <col min="5135" max="5135" width="12.21875" style="2" customWidth="1"/>
    <col min="5136" max="5136" width="10.21875" style="2" customWidth="1"/>
    <col min="5137" max="5137" width="9.21875" style="2" customWidth="1"/>
    <col min="5138" max="5376" width="9.21875" style="2"/>
    <col min="5377" max="5377" width="4.21875" style="2" customWidth="1"/>
    <col min="5378" max="5378" width="2.5546875" style="2" customWidth="1"/>
    <col min="5379" max="5380" width="9.21875" style="2"/>
    <col min="5381" max="5381" width="5.77734375" style="2" customWidth="1"/>
    <col min="5382" max="5382" width="8.77734375" style="2" customWidth="1"/>
    <col min="5383" max="5383" width="3.21875" style="2" customWidth="1"/>
    <col min="5384" max="5384" width="10.21875" style="2" customWidth="1"/>
    <col min="5385" max="5385" width="3.77734375" style="2" customWidth="1"/>
    <col min="5386" max="5386" width="8.21875" style="2" customWidth="1"/>
    <col min="5387" max="5387" width="6.21875" style="2" customWidth="1"/>
    <col min="5388" max="5388" width="5.5546875" style="2" customWidth="1"/>
    <col min="5389" max="5389" width="10.77734375" style="2" customWidth="1"/>
    <col min="5390" max="5390" width="8.21875" style="2" customWidth="1"/>
    <col min="5391" max="5391" width="12.21875" style="2" customWidth="1"/>
    <col min="5392" max="5392" width="10.21875" style="2" customWidth="1"/>
    <col min="5393" max="5393" width="9.21875" style="2" customWidth="1"/>
    <col min="5394" max="5632" width="9.21875" style="2"/>
    <col min="5633" max="5633" width="4.21875" style="2" customWidth="1"/>
    <col min="5634" max="5634" width="2.5546875" style="2" customWidth="1"/>
    <col min="5635" max="5636" width="9.21875" style="2"/>
    <col min="5637" max="5637" width="5.77734375" style="2" customWidth="1"/>
    <col min="5638" max="5638" width="8.77734375" style="2" customWidth="1"/>
    <col min="5639" max="5639" width="3.21875" style="2" customWidth="1"/>
    <col min="5640" max="5640" width="10.21875" style="2" customWidth="1"/>
    <col min="5641" max="5641" width="3.77734375" style="2" customWidth="1"/>
    <col min="5642" max="5642" width="8.21875" style="2" customWidth="1"/>
    <col min="5643" max="5643" width="6.21875" style="2" customWidth="1"/>
    <col min="5644" max="5644" width="5.5546875" style="2" customWidth="1"/>
    <col min="5645" max="5645" width="10.77734375" style="2" customWidth="1"/>
    <col min="5646" max="5646" width="8.21875" style="2" customWidth="1"/>
    <col min="5647" max="5647" width="12.21875" style="2" customWidth="1"/>
    <col min="5648" max="5648" width="10.21875" style="2" customWidth="1"/>
    <col min="5649" max="5649" width="9.21875" style="2" customWidth="1"/>
    <col min="5650" max="5888" width="9.21875" style="2"/>
    <col min="5889" max="5889" width="4.21875" style="2" customWidth="1"/>
    <col min="5890" max="5890" width="2.5546875" style="2" customWidth="1"/>
    <col min="5891" max="5892" width="9.21875" style="2"/>
    <col min="5893" max="5893" width="5.77734375" style="2" customWidth="1"/>
    <col min="5894" max="5894" width="8.77734375" style="2" customWidth="1"/>
    <col min="5895" max="5895" width="3.21875" style="2" customWidth="1"/>
    <col min="5896" max="5896" width="10.21875" style="2" customWidth="1"/>
    <col min="5897" max="5897" width="3.77734375" style="2" customWidth="1"/>
    <col min="5898" max="5898" width="8.21875" style="2" customWidth="1"/>
    <col min="5899" max="5899" width="6.21875" style="2" customWidth="1"/>
    <col min="5900" max="5900" width="5.5546875" style="2" customWidth="1"/>
    <col min="5901" max="5901" width="10.77734375" style="2" customWidth="1"/>
    <col min="5902" max="5902" width="8.21875" style="2" customWidth="1"/>
    <col min="5903" max="5903" width="12.21875" style="2" customWidth="1"/>
    <col min="5904" max="5904" width="10.21875" style="2" customWidth="1"/>
    <col min="5905" max="5905" width="9.21875" style="2" customWidth="1"/>
    <col min="5906" max="6144" width="9.21875" style="2"/>
    <col min="6145" max="6145" width="4.21875" style="2" customWidth="1"/>
    <col min="6146" max="6146" width="2.5546875" style="2" customWidth="1"/>
    <col min="6147" max="6148" width="9.21875" style="2"/>
    <col min="6149" max="6149" width="5.77734375" style="2" customWidth="1"/>
    <col min="6150" max="6150" width="8.77734375" style="2" customWidth="1"/>
    <col min="6151" max="6151" width="3.21875" style="2" customWidth="1"/>
    <col min="6152" max="6152" width="10.21875" style="2" customWidth="1"/>
    <col min="6153" max="6153" width="3.77734375" style="2" customWidth="1"/>
    <col min="6154" max="6154" width="8.21875" style="2" customWidth="1"/>
    <col min="6155" max="6155" width="6.21875" style="2" customWidth="1"/>
    <col min="6156" max="6156" width="5.5546875" style="2" customWidth="1"/>
    <col min="6157" max="6157" width="10.77734375" style="2" customWidth="1"/>
    <col min="6158" max="6158" width="8.21875" style="2" customWidth="1"/>
    <col min="6159" max="6159" width="12.21875" style="2" customWidth="1"/>
    <col min="6160" max="6160" width="10.21875" style="2" customWidth="1"/>
    <col min="6161" max="6161" width="9.21875" style="2" customWidth="1"/>
    <col min="6162" max="6400" width="9.21875" style="2"/>
    <col min="6401" max="6401" width="4.21875" style="2" customWidth="1"/>
    <col min="6402" max="6402" width="2.5546875" style="2" customWidth="1"/>
    <col min="6403" max="6404" width="9.21875" style="2"/>
    <col min="6405" max="6405" width="5.77734375" style="2" customWidth="1"/>
    <col min="6406" max="6406" width="8.77734375" style="2" customWidth="1"/>
    <col min="6407" max="6407" width="3.21875" style="2" customWidth="1"/>
    <col min="6408" max="6408" width="10.21875" style="2" customWidth="1"/>
    <col min="6409" max="6409" width="3.77734375" style="2" customWidth="1"/>
    <col min="6410" max="6410" width="8.21875" style="2" customWidth="1"/>
    <col min="6411" max="6411" width="6.21875" style="2" customWidth="1"/>
    <col min="6412" max="6412" width="5.5546875" style="2" customWidth="1"/>
    <col min="6413" max="6413" width="10.77734375" style="2" customWidth="1"/>
    <col min="6414" max="6414" width="8.21875" style="2" customWidth="1"/>
    <col min="6415" max="6415" width="12.21875" style="2" customWidth="1"/>
    <col min="6416" max="6416" width="10.21875" style="2" customWidth="1"/>
    <col min="6417" max="6417" width="9.21875" style="2" customWidth="1"/>
    <col min="6418" max="6656" width="9.21875" style="2"/>
    <col min="6657" max="6657" width="4.21875" style="2" customWidth="1"/>
    <col min="6658" max="6658" width="2.5546875" style="2" customWidth="1"/>
    <col min="6659" max="6660" width="9.21875" style="2"/>
    <col min="6661" max="6661" width="5.77734375" style="2" customWidth="1"/>
    <col min="6662" max="6662" width="8.77734375" style="2" customWidth="1"/>
    <col min="6663" max="6663" width="3.21875" style="2" customWidth="1"/>
    <col min="6664" max="6664" width="10.21875" style="2" customWidth="1"/>
    <col min="6665" max="6665" width="3.77734375" style="2" customWidth="1"/>
    <col min="6666" max="6666" width="8.21875" style="2" customWidth="1"/>
    <col min="6667" max="6667" width="6.21875" style="2" customWidth="1"/>
    <col min="6668" max="6668" width="5.5546875" style="2" customWidth="1"/>
    <col min="6669" max="6669" width="10.77734375" style="2" customWidth="1"/>
    <col min="6670" max="6670" width="8.21875" style="2" customWidth="1"/>
    <col min="6671" max="6671" width="12.21875" style="2" customWidth="1"/>
    <col min="6672" max="6672" width="10.21875" style="2" customWidth="1"/>
    <col min="6673" max="6673" width="9.21875" style="2" customWidth="1"/>
    <col min="6674" max="6912" width="9.21875" style="2"/>
    <col min="6913" max="6913" width="4.21875" style="2" customWidth="1"/>
    <col min="6914" max="6914" width="2.5546875" style="2" customWidth="1"/>
    <col min="6915" max="6916" width="9.21875" style="2"/>
    <col min="6917" max="6917" width="5.77734375" style="2" customWidth="1"/>
    <col min="6918" max="6918" width="8.77734375" style="2" customWidth="1"/>
    <col min="6919" max="6919" width="3.21875" style="2" customWidth="1"/>
    <col min="6920" max="6920" width="10.21875" style="2" customWidth="1"/>
    <col min="6921" max="6921" width="3.77734375" style="2" customWidth="1"/>
    <col min="6922" max="6922" width="8.21875" style="2" customWidth="1"/>
    <col min="6923" max="6923" width="6.21875" style="2" customWidth="1"/>
    <col min="6924" max="6924" width="5.5546875" style="2" customWidth="1"/>
    <col min="6925" max="6925" width="10.77734375" style="2" customWidth="1"/>
    <col min="6926" max="6926" width="8.21875" style="2" customWidth="1"/>
    <col min="6927" max="6927" width="12.21875" style="2" customWidth="1"/>
    <col min="6928" max="6928" width="10.21875" style="2" customWidth="1"/>
    <col min="6929" max="6929" width="9.21875" style="2" customWidth="1"/>
    <col min="6930" max="7168" width="9.21875" style="2"/>
    <col min="7169" max="7169" width="4.21875" style="2" customWidth="1"/>
    <col min="7170" max="7170" width="2.5546875" style="2" customWidth="1"/>
    <col min="7171" max="7172" width="9.21875" style="2"/>
    <col min="7173" max="7173" width="5.77734375" style="2" customWidth="1"/>
    <col min="7174" max="7174" width="8.77734375" style="2" customWidth="1"/>
    <col min="7175" max="7175" width="3.21875" style="2" customWidth="1"/>
    <col min="7176" max="7176" width="10.21875" style="2" customWidth="1"/>
    <col min="7177" max="7177" width="3.77734375" style="2" customWidth="1"/>
    <col min="7178" max="7178" width="8.21875" style="2" customWidth="1"/>
    <col min="7179" max="7179" width="6.21875" style="2" customWidth="1"/>
    <col min="7180" max="7180" width="5.5546875" style="2" customWidth="1"/>
    <col min="7181" max="7181" width="10.77734375" style="2" customWidth="1"/>
    <col min="7182" max="7182" width="8.21875" style="2" customWidth="1"/>
    <col min="7183" max="7183" width="12.21875" style="2" customWidth="1"/>
    <col min="7184" max="7184" width="10.21875" style="2" customWidth="1"/>
    <col min="7185" max="7185" width="9.21875" style="2" customWidth="1"/>
    <col min="7186" max="7424" width="9.21875" style="2"/>
    <col min="7425" max="7425" width="4.21875" style="2" customWidth="1"/>
    <col min="7426" max="7426" width="2.5546875" style="2" customWidth="1"/>
    <col min="7427" max="7428" width="9.21875" style="2"/>
    <col min="7429" max="7429" width="5.77734375" style="2" customWidth="1"/>
    <col min="7430" max="7430" width="8.77734375" style="2" customWidth="1"/>
    <col min="7431" max="7431" width="3.21875" style="2" customWidth="1"/>
    <col min="7432" max="7432" width="10.21875" style="2" customWidth="1"/>
    <col min="7433" max="7433" width="3.77734375" style="2" customWidth="1"/>
    <col min="7434" max="7434" width="8.21875" style="2" customWidth="1"/>
    <col min="7435" max="7435" width="6.21875" style="2" customWidth="1"/>
    <col min="7436" max="7436" width="5.5546875" style="2" customWidth="1"/>
    <col min="7437" max="7437" width="10.77734375" style="2" customWidth="1"/>
    <col min="7438" max="7438" width="8.21875" style="2" customWidth="1"/>
    <col min="7439" max="7439" width="12.21875" style="2" customWidth="1"/>
    <col min="7440" max="7440" width="10.21875" style="2" customWidth="1"/>
    <col min="7441" max="7441" width="9.21875" style="2" customWidth="1"/>
    <col min="7442" max="7680" width="9.21875" style="2"/>
    <col min="7681" max="7681" width="4.21875" style="2" customWidth="1"/>
    <col min="7682" max="7682" width="2.5546875" style="2" customWidth="1"/>
    <col min="7683" max="7684" width="9.21875" style="2"/>
    <col min="7685" max="7685" width="5.77734375" style="2" customWidth="1"/>
    <col min="7686" max="7686" width="8.77734375" style="2" customWidth="1"/>
    <col min="7687" max="7687" width="3.21875" style="2" customWidth="1"/>
    <col min="7688" max="7688" width="10.21875" style="2" customWidth="1"/>
    <col min="7689" max="7689" width="3.77734375" style="2" customWidth="1"/>
    <col min="7690" max="7690" width="8.21875" style="2" customWidth="1"/>
    <col min="7691" max="7691" width="6.21875" style="2" customWidth="1"/>
    <col min="7692" max="7692" width="5.5546875" style="2" customWidth="1"/>
    <col min="7693" max="7693" width="10.77734375" style="2" customWidth="1"/>
    <col min="7694" max="7694" width="8.21875" style="2" customWidth="1"/>
    <col min="7695" max="7695" width="12.21875" style="2" customWidth="1"/>
    <col min="7696" max="7696" width="10.21875" style="2" customWidth="1"/>
    <col min="7697" max="7697" width="9.21875" style="2" customWidth="1"/>
    <col min="7698" max="7936" width="9.21875" style="2"/>
    <col min="7937" max="7937" width="4.21875" style="2" customWidth="1"/>
    <col min="7938" max="7938" width="2.5546875" style="2" customWidth="1"/>
    <col min="7939" max="7940" width="9.21875" style="2"/>
    <col min="7941" max="7941" width="5.77734375" style="2" customWidth="1"/>
    <col min="7942" max="7942" width="8.77734375" style="2" customWidth="1"/>
    <col min="7943" max="7943" width="3.21875" style="2" customWidth="1"/>
    <col min="7944" max="7944" width="10.21875" style="2" customWidth="1"/>
    <col min="7945" max="7945" width="3.77734375" style="2" customWidth="1"/>
    <col min="7946" max="7946" width="8.21875" style="2" customWidth="1"/>
    <col min="7947" max="7947" width="6.21875" style="2" customWidth="1"/>
    <col min="7948" max="7948" width="5.5546875" style="2" customWidth="1"/>
    <col min="7949" max="7949" width="10.77734375" style="2" customWidth="1"/>
    <col min="7950" max="7950" width="8.21875" style="2" customWidth="1"/>
    <col min="7951" max="7951" width="12.21875" style="2" customWidth="1"/>
    <col min="7952" max="7952" width="10.21875" style="2" customWidth="1"/>
    <col min="7953" max="7953" width="9.21875" style="2" customWidth="1"/>
    <col min="7954" max="8192" width="9.21875" style="2"/>
    <col min="8193" max="8193" width="4.21875" style="2" customWidth="1"/>
    <col min="8194" max="8194" width="2.5546875" style="2" customWidth="1"/>
    <col min="8195" max="8196" width="9.21875" style="2"/>
    <col min="8197" max="8197" width="5.77734375" style="2" customWidth="1"/>
    <col min="8198" max="8198" width="8.77734375" style="2" customWidth="1"/>
    <col min="8199" max="8199" width="3.21875" style="2" customWidth="1"/>
    <col min="8200" max="8200" width="10.21875" style="2" customWidth="1"/>
    <col min="8201" max="8201" width="3.77734375" style="2" customWidth="1"/>
    <col min="8202" max="8202" width="8.21875" style="2" customWidth="1"/>
    <col min="8203" max="8203" width="6.21875" style="2" customWidth="1"/>
    <col min="8204" max="8204" width="5.5546875" style="2" customWidth="1"/>
    <col min="8205" max="8205" width="10.77734375" style="2" customWidth="1"/>
    <col min="8206" max="8206" width="8.21875" style="2" customWidth="1"/>
    <col min="8207" max="8207" width="12.21875" style="2" customWidth="1"/>
    <col min="8208" max="8208" width="10.21875" style="2" customWidth="1"/>
    <col min="8209" max="8209" width="9.21875" style="2" customWidth="1"/>
    <col min="8210" max="8448" width="9.21875" style="2"/>
    <col min="8449" max="8449" width="4.21875" style="2" customWidth="1"/>
    <col min="8450" max="8450" width="2.5546875" style="2" customWidth="1"/>
    <col min="8451" max="8452" width="9.21875" style="2"/>
    <col min="8453" max="8453" width="5.77734375" style="2" customWidth="1"/>
    <col min="8454" max="8454" width="8.77734375" style="2" customWidth="1"/>
    <col min="8455" max="8455" width="3.21875" style="2" customWidth="1"/>
    <col min="8456" max="8456" width="10.21875" style="2" customWidth="1"/>
    <col min="8457" max="8457" width="3.77734375" style="2" customWidth="1"/>
    <col min="8458" max="8458" width="8.21875" style="2" customWidth="1"/>
    <col min="8459" max="8459" width="6.21875" style="2" customWidth="1"/>
    <col min="8460" max="8460" width="5.5546875" style="2" customWidth="1"/>
    <col min="8461" max="8461" width="10.77734375" style="2" customWidth="1"/>
    <col min="8462" max="8462" width="8.21875" style="2" customWidth="1"/>
    <col min="8463" max="8463" width="12.21875" style="2" customWidth="1"/>
    <col min="8464" max="8464" width="10.21875" style="2" customWidth="1"/>
    <col min="8465" max="8465" width="9.21875" style="2" customWidth="1"/>
    <col min="8466" max="8704" width="9.21875" style="2"/>
    <col min="8705" max="8705" width="4.21875" style="2" customWidth="1"/>
    <col min="8706" max="8706" width="2.5546875" style="2" customWidth="1"/>
    <col min="8707" max="8708" width="9.21875" style="2"/>
    <col min="8709" max="8709" width="5.77734375" style="2" customWidth="1"/>
    <col min="8710" max="8710" width="8.77734375" style="2" customWidth="1"/>
    <col min="8711" max="8711" width="3.21875" style="2" customWidth="1"/>
    <col min="8712" max="8712" width="10.21875" style="2" customWidth="1"/>
    <col min="8713" max="8713" width="3.77734375" style="2" customWidth="1"/>
    <col min="8714" max="8714" width="8.21875" style="2" customWidth="1"/>
    <col min="8715" max="8715" width="6.21875" style="2" customWidth="1"/>
    <col min="8716" max="8716" width="5.5546875" style="2" customWidth="1"/>
    <col min="8717" max="8717" width="10.77734375" style="2" customWidth="1"/>
    <col min="8718" max="8718" width="8.21875" style="2" customWidth="1"/>
    <col min="8719" max="8719" width="12.21875" style="2" customWidth="1"/>
    <col min="8720" max="8720" width="10.21875" style="2" customWidth="1"/>
    <col min="8721" max="8721" width="9.21875" style="2" customWidth="1"/>
    <col min="8722" max="8960" width="9.21875" style="2"/>
    <col min="8961" max="8961" width="4.21875" style="2" customWidth="1"/>
    <col min="8962" max="8962" width="2.5546875" style="2" customWidth="1"/>
    <col min="8963" max="8964" width="9.21875" style="2"/>
    <col min="8965" max="8965" width="5.77734375" style="2" customWidth="1"/>
    <col min="8966" max="8966" width="8.77734375" style="2" customWidth="1"/>
    <col min="8967" max="8967" width="3.21875" style="2" customWidth="1"/>
    <col min="8968" max="8968" width="10.21875" style="2" customWidth="1"/>
    <col min="8969" max="8969" width="3.77734375" style="2" customWidth="1"/>
    <col min="8970" max="8970" width="8.21875" style="2" customWidth="1"/>
    <col min="8971" max="8971" width="6.21875" style="2" customWidth="1"/>
    <col min="8972" max="8972" width="5.5546875" style="2" customWidth="1"/>
    <col min="8973" max="8973" width="10.77734375" style="2" customWidth="1"/>
    <col min="8974" max="8974" width="8.21875" style="2" customWidth="1"/>
    <col min="8975" max="8975" width="12.21875" style="2" customWidth="1"/>
    <col min="8976" max="8976" width="10.21875" style="2" customWidth="1"/>
    <col min="8977" max="8977" width="9.21875" style="2" customWidth="1"/>
    <col min="8978" max="9216" width="9.21875" style="2"/>
    <col min="9217" max="9217" width="4.21875" style="2" customWidth="1"/>
    <col min="9218" max="9218" width="2.5546875" style="2" customWidth="1"/>
    <col min="9219" max="9220" width="9.21875" style="2"/>
    <col min="9221" max="9221" width="5.77734375" style="2" customWidth="1"/>
    <col min="9222" max="9222" width="8.77734375" style="2" customWidth="1"/>
    <col min="9223" max="9223" width="3.21875" style="2" customWidth="1"/>
    <col min="9224" max="9224" width="10.21875" style="2" customWidth="1"/>
    <col min="9225" max="9225" width="3.77734375" style="2" customWidth="1"/>
    <col min="9226" max="9226" width="8.21875" style="2" customWidth="1"/>
    <col min="9227" max="9227" width="6.21875" style="2" customWidth="1"/>
    <col min="9228" max="9228" width="5.5546875" style="2" customWidth="1"/>
    <col min="9229" max="9229" width="10.77734375" style="2" customWidth="1"/>
    <col min="9230" max="9230" width="8.21875" style="2" customWidth="1"/>
    <col min="9231" max="9231" width="12.21875" style="2" customWidth="1"/>
    <col min="9232" max="9232" width="10.21875" style="2" customWidth="1"/>
    <col min="9233" max="9233" width="9.21875" style="2" customWidth="1"/>
    <col min="9234" max="9472" width="9.21875" style="2"/>
    <col min="9473" max="9473" width="4.21875" style="2" customWidth="1"/>
    <col min="9474" max="9474" width="2.5546875" style="2" customWidth="1"/>
    <col min="9475" max="9476" width="9.21875" style="2"/>
    <col min="9477" max="9477" width="5.77734375" style="2" customWidth="1"/>
    <col min="9478" max="9478" width="8.77734375" style="2" customWidth="1"/>
    <col min="9479" max="9479" width="3.21875" style="2" customWidth="1"/>
    <col min="9480" max="9480" width="10.21875" style="2" customWidth="1"/>
    <col min="9481" max="9481" width="3.77734375" style="2" customWidth="1"/>
    <col min="9482" max="9482" width="8.21875" style="2" customWidth="1"/>
    <col min="9483" max="9483" width="6.21875" style="2" customWidth="1"/>
    <col min="9484" max="9484" width="5.5546875" style="2" customWidth="1"/>
    <col min="9485" max="9485" width="10.77734375" style="2" customWidth="1"/>
    <col min="9486" max="9486" width="8.21875" style="2" customWidth="1"/>
    <col min="9487" max="9487" width="12.21875" style="2" customWidth="1"/>
    <col min="9488" max="9488" width="10.21875" style="2" customWidth="1"/>
    <col min="9489" max="9489" width="9.21875" style="2" customWidth="1"/>
    <col min="9490" max="9728" width="9.21875" style="2"/>
    <col min="9729" max="9729" width="4.21875" style="2" customWidth="1"/>
    <col min="9730" max="9730" width="2.5546875" style="2" customWidth="1"/>
    <col min="9731" max="9732" width="9.21875" style="2"/>
    <col min="9733" max="9733" width="5.77734375" style="2" customWidth="1"/>
    <col min="9734" max="9734" width="8.77734375" style="2" customWidth="1"/>
    <col min="9735" max="9735" width="3.21875" style="2" customWidth="1"/>
    <col min="9736" max="9736" width="10.21875" style="2" customWidth="1"/>
    <col min="9737" max="9737" width="3.77734375" style="2" customWidth="1"/>
    <col min="9738" max="9738" width="8.21875" style="2" customWidth="1"/>
    <col min="9739" max="9739" width="6.21875" style="2" customWidth="1"/>
    <col min="9740" max="9740" width="5.5546875" style="2" customWidth="1"/>
    <col min="9741" max="9741" width="10.77734375" style="2" customWidth="1"/>
    <col min="9742" max="9742" width="8.21875" style="2" customWidth="1"/>
    <col min="9743" max="9743" width="12.21875" style="2" customWidth="1"/>
    <col min="9744" max="9744" width="10.21875" style="2" customWidth="1"/>
    <col min="9745" max="9745" width="9.21875" style="2" customWidth="1"/>
    <col min="9746" max="9984" width="9.21875" style="2"/>
    <col min="9985" max="9985" width="4.21875" style="2" customWidth="1"/>
    <col min="9986" max="9986" width="2.5546875" style="2" customWidth="1"/>
    <col min="9987" max="9988" width="9.21875" style="2"/>
    <col min="9989" max="9989" width="5.77734375" style="2" customWidth="1"/>
    <col min="9990" max="9990" width="8.77734375" style="2" customWidth="1"/>
    <col min="9991" max="9991" width="3.21875" style="2" customWidth="1"/>
    <col min="9992" max="9992" width="10.21875" style="2" customWidth="1"/>
    <col min="9993" max="9993" width="3.77734375" style="2" customWidth="1"/>
    <col min="9994" max="9994" width="8.21875" style="2" customWidth="1"/>
    <col min="9995" max="9995" width="6.21875" style="2" customWidth="1"/>
    <col min="9996" max="9996" width="5.5546875" style="2" customWidth="1"/>
    <col min="9997" max="9997" width="10.77734375" style="2" customWidth="1"/>
    <col min="9998" max="9998" width="8.21875" style="2" customWidth="1"/>
    <col min="9999" max="9999" width="12.21875" style="2" customWidth="1"/>
    <col min="10000" max="10000" width="10.21875" style="2" customWidth="1"/>
    <col min="10001" max="10001" width="9.21875" style="2" customWidth="1"/>
    <col min="10002" max="10240" width="9.21875" style="2"/>
    <col min="10241" max="10241" width="4.21875" style="2" customWidth="1"/>
    <col min="10242" max="10242" width="2.5546875" style="2" customWidth="1"/>
    <col min="10243" max="10244" width="9.21875" style="2"/>
    <col min="10245" max="10245" width="5.77734375" style="2" customWidth="1"/>
    <col min="10246" max="10246" width="8.77734375" style="2" customWidth="1"/>
    <col min="10247" max="10247" width="3.21875" style="2" customWidth="1"/>
    <col min="10248" max="10248" width="10.21875" style="2" customWidth="1"/>
    <col min="10249" max="10249" width="3.77734375" style="2" customWidth="1"/>
    <col min="10250" max="10250" width="8.21875" style="2" customWidth="1"/>
    <col min="10251" max="10251" width="6.21875" style="2" customWidth="1"/>
    <col min="10252" max="10252" width="5.5546875" style="2" customWidth="1"/>
    <col min="10253" max="10253" width="10.77734375" style="2" customWidth="1"/>
    <col min="10254" max="10254" width="8.21875" style="2" customWidth="1"/>
    <col min="10255" max="10255" width="12.21875" style="2" customWidth="1"/>
    <col min="10256" max="10256" width="10.21875" style="2" customWidth="1"/>
    <col min="10257" max="10257" width="9.21875" style="2" customWidth="1"/>
    <col min="10258" max="10496" width="9.21875" style="2"/>
    <col min="10497" max="10497" width="4.21875" style="2" customWidth="1"/>
    <col min="10498" max="10498" width="2.5546875" style="2" customWidth="1"/>
    <col min="10499" max="10500" width="9.21875" style="2"/>
    <col min="10501" max="10501" width="5.77734375" style="2" customWidth="1"/>
    <col min="10502" max="10502" width="8.77734375" style="2" customWidth="1"/>
    <col min="10503" max="10503" width="3.21875" style="2" customWidth="1"/>
    <col min="10504" max="10504" width="10.21875" style="2" customWidth="1"/>
    <col min="10505" max="10505" width="3.77734375" style="2" customWidth="1"/>
    <col min="10506" max="10506" width="8.21875" style="2" customWidth="1"/>
    <col min="10507" max="10507" width="6.21875" style="2" customWidth="1"/>
    <col min="10508" max="10508" width="5.5546875" style="2" customWidth="1"/>
    <col min="10509" max="10509" width="10.77734375" style="2" customWidth="1"/>
    <col min="10510" max="10510" width="8.21875" style="2" customWidth="1"/>
    <col min="10511" max="10511" width="12.21875" style="2" customWidth="1"/>
    <col min="10512" max="10512" width="10.21875" style="2" customWidth="1"/>
    <col min="10513" max="10513" width="9.21875" style="2" customWidth="1"/>
    <col min="10514" max="10752" width="9.21875" style="2"/>
    <col min="10753" max="10753" width="4.21875" style="2" customWidth="1"/>
    <col min="10754" max="10754" width="2.5546875" style="2" customWidth="1"/>
    <col min="10755" max="10756" width="9.21875" style="2"/>
    <col min="10757" max="10757" width="5.77734375" style="2" customWidth="1"/>
    <col min="10758" max="10758" width="8.77734375" style="2" customWidth="1"/>
    <col min="10759" max="10759" width="3.21875" style="2" customWidth="1"/>
    <col min="10760" max="10760" width="10.21875" style="2" customWidth="1"/>
    <col min="10761" max="10761" width="3.77734375" style="2" customWidth="1"/>
    <col min="10762" max="10762" width="8.21875" style="2" customWidth="1"/>
    <col min="10763" max="10763" width="6.21875" style="2" customWidth="1"/>
    <col min="10764" max="10764" width="5.5546875" style="2" customWidth="1"/>
    <col min="10765" max="10765" width="10.77734375" style="2" customWidth="1"/>
    <col min="10766" max="10766" width="8.21875" style="2" customWidth="1"/>
    <col min="10767" max="10767" width="12.21875" style="2" customWidth="1"/>
    <col min="10768" max="10768" width="10.21875" style="2" customWidth="1"/>
    <col min="10769" max="10769" width="9.21875" style="2" customWidth="1"/>
    <col min="10770" max="11008" width="9.21875" style="2"/>
    <col min="11009" max="11009" width="4.21875" style="2" customWidth="1"/>
    <col min="11010" max="11010" width="2.5546875" style="2" customWidth="1"/>
    <col min="11011" max="11012" width="9.21875" style="2"/>
    <col min="11013" max="11013" width="5.77734375" style="2" customWidth="1"/>
    <col min="11014" max="11014" width="8.77734375" style="2" customWidth="1"/>
    <col min="11015" max="11015" width="3.21875" style="2" customWidth="1"/>
    <col min="11016" max="11016" width="10.21875" style="2" customWidth="1"/>
    <col min="11017" max="11017" width="3.77734375" style="2" customWidth="1"/>
    <col min="11018" max="11018" width="8.21875" style="2" customWidth="1"/>
    <col min="11019" max="11019" width="6.21875" style="2" customWidth="1"/>
    <col min="11020" max="11020" width="5.5546875" style="2" customWidth="1"/>
    <col min="11021" max="11021" width="10.77734375" style="2" customWidth="1"/>
    <col min="11022" max="11022" width="8.21875" style="2" customWidth="1"/>
    <col min="11023" max="11023" width="12.21875" style="2" customWidth="1"/>
    <col min="11024" max="11024" width="10.21875" style="2" customWidth="1"/>
    <col min="11025" max="11025" width="9.21875" style="2" customWidth="1"/>
    <col min="11026" max="11264" width="9.21875" style="2"/>
    <col min="11265" max="11265" width="4.21875" style="2" customWidth="1"/>
    <col min="11266" max="11266" width="2.5546875" style="2" customWidth="1"/>
    <col min="11267" max="11268" width="9.21875" style="2"/>
    <col min="11269" max="11269" width="5.77734375" style="2" customWidth="1"/>
    <col min="11270" max="11270" width="8.77734375" style="2" customWidth="1"/>
    <col min="11271" max="11271" width="3.21875" style="2" customWidth="1"/>
    <col min="11272" max="11272" width="10.21875" style="2" customWidth="1"/>
    <col min="11273" max="11273" width="3.77734375" style="2" customWidth="1"/>
    <col min="11274" max="11274" width="8.21875" style="2" customWidth="1"/>
    <col min="11275" max="11275" width="6.21875" style="2" customWidth="1"/>
    <col min="11276" max="11276" width="5.5546875" style="2" customWidth="1"/>
    <col min="11277" max="11277" width="10.77734375" style="2" customWidth="1"/>
    <col min="11278" max="11278" width="8.21875" style="2" customWidth="1"/>
    <col min="11279" max="11279" width="12.21875" style="2" customWidth="1"/>
    <col min="11280" max="11280" width="10.21875" style="2" customWidth="1"/>
    <col min="11281" max="11281" width="9.21875" style="2" customWidth="1"/>
    <col min="11282" max="11520" width="9.21875" style="2"/>
    <col min="11521" max="11521" width="4.21875" style="2" customWidth="1"/>
    <col min="11522" max="11522" width="2.5546875" style="2" customWidth="1"/>
    <col min="11523" max="11524" width="9.21875" style="2"/>
    <col min="11525" max="11525" width="5.77734375" style="2" customWidth="1"/>
    <col min="11526" max="11526" width="8.77734375" style="2" customWidth="1"/>
    <col min="11527" max="11527" width="3.21875" style="2" customWidth="1"/>
    <col min="11528" max="11528" width="10.21875" style="2" customWidth="1"/>
    <col min="11529" max="11529" width="3.77734375" style="2" customWidth="1"/>
    <col min="11530" max="11530" width="8.21875" style="2" customWidth="1"/>
    <col min="11531" max="11531" width="6.21875" style="2" customWidth="1"/>
    <col min="11532" max="11532" width="5.5546875" style="2" customWidth="1"/>
    <col min="11533" max="11533" width="10.77734375" style="2" customWidth="1"/>
    <col min="11534" max="11534" width="8.21875" style="2" customWidth="1"/>
    <col min="11535" max="11535" width="12.21875" style="2" customWidth="1"/>
    <col min="11536" max="11536" width="10.21875" style="2" customWidth="1"/>
    <col min="11537" max="11537" width="9.21875" style="2" customWidth="1"/>
    <col min="11538" max="11776" width="9.21875" style="2"/>
    <col min="11777" max="11777" width="4.21875" style="2" customWidth="1"/>
    <col min="11778" max="11778" width="2.5546875" style="2" customWidth="1"/>
    <col min="11779" max="11780" width="9.21875" style="2"/>
    <col min="11781" max="11781" width="5.77734375" style="2" customWidth="1"/>
    <col min="11782" max="11782" width="8.77734375" style="2" customWidth="1"/>
    <col min="11783" max="11783" width="3.21875" style="2" customWidth="1"/>
    <col min="11784" max="11784" width="10.21875" style="2" customWidth="1"/>
    <col min="11785" max="11785" width="3.77734375" style="2" customWidth="1"/>
    <col min="11786" max="11786" width="8.21875" style="2" customWidth="1"/>
    <col min="11787" max="11787" width="6.21875" style="2" customWidth="1"/>
    <col min="11788" max="11788" width="5.5546875" style="2" customWidth="1"/>
    <col min="11789" max="11789" width="10.77734375" style="2" customWidth="1"/>
    <col min="11790" max="11790" width="8.21875" style="2" customWidth="1"/>
    <col min="11791" max="11791" width="12.21875" style="2" customWidth="1"/>
    <col min="11792" max="11792" width="10.21875" style="2" customWidth="1"/>
    <col min="11793" max="11793" width="9.21875" style="2" customWidth="1"/>
    <col min="11794" max="12032" width="9.21875" style="2"/>
    <col min="12033" max="12033" width="4.21875" style="2" customWidth="1"/>
    <col min="12034" max="12034" width="2.5546875" style="2" customWidth="1"/>
    <col min="12035" max="12036" width="9.21875" style="2"/>
    <col min="12037" max="12037" width="5.77734375" style="2" customWidth="1"/>
    <col min="12038" max="12038" width="8.77734375" style="2" customWidth="1"/>
    <col min="12039" max="12039" width="3.21875" style="2" customWidth="1"/>
    <col min="12040" max="12040" width="10.21875" style="2" customWidth="1"/>
    <col min="12041" max="12041" width="3.77734375" style="2" customWidth="1"/>
    <col min="12042" max="12042" width="8.21875" style="2" customWidth="1"/>
    <col min="12043" max="12043" width="6.21875" style="2" customWidth="1"/>
    <col min="12044" max="12044" width="5.5546875" style="2" customWidth="1"/>
    <col min="12045" max="12045" width="10.77734375" style="2" customWidth="1"/>
    <col min="12046" max="12046" width="8.21875" style="2" customWidth="1"/>
    <col min="12047" max="12047" width="12.21875" style="2" customWidth="1"/>
    <col min="12048" max="12048" width="10.21875" style="2" customWidth="1"/>
    <col min="12049" max="12049" width="9.21875" style="2" customWidth="1"/>
    <col min="12050" max="12288" width="9.21875" style="2"/>
    <col min="12289" max="12289" width="4.21875" style="2" customWidth="1"/>
    <col min="12290" max="12290" width="2.5546875" style="2" customWidth="1"/>
    <col min="12291" max="12292" width="9.21875" style="2"/>
    <col min="12293" max="12293" width="5.77734375" style="2" customWidth="1"/>
    <col min="12294" max="12294" width="8.77734375" style="2" customWidth="1"/>
    <col min="12295" max="12295" width="3.21875" style="2" customWidth="1"/>
    <col min="12296" max="12296" width="10.21875" style="2" customWidth="1"/>
    <col min="12297" max="12297" width="3.77734375" style="2" customWidth="1"/>
    <col min="12298" max="12298" width="8.21875" style="2" customWidth="1"/>
    <col min="12299" max="12299" width="6.21875" style="2" customWidth="1"/>
    <col min="12300" max="12300" width="5.5546875" style="2" customWidth="1"/>
    <col min="12301" max="12301" width="10.77734375" style="2" customWidth="1"/>
    <col min="12302" max="12302" width="8.21875" style="2" customWidth="1"/>
    <col min="12303" max="12303" width="12.21875" style="2" customWidth="1"/>
    <col min="12304" max="12304" width="10.21875" style="2" customWidth="1"/>
    <col min="12305" max="12305" width="9.21875" style="2" customWidth="1"/>
    <col min="12306" max="12544" width="9.21875" style="2"/>
    <col min="12545" max="12545" width="4.21875" style="2" customWidth="1"/>
    <col min="12546" max="12546" width="2.5546875" style="2" customWidth="1"/>
    <col min="12547" max="12548" width="9.21875" style="2"/>
    <col min="12549" max="12549" width="5.77734375" style="2" customWidth="1"/>
    <col min="12550" max="12550" width="8.77734375" style="2" customWidth="1"/>
    <col min="12551" max="12551" width="3.21875" style="2" customWidth="1"/>
    <col min="12552" max="12552" width="10.21875" style="2" customWidth="1"/>
    <col min="12553" max="12553" width="3.77734375" style="2" customWidth="1"/>
    <col min="12554" max="12554" width="8.21875" style="2" customWidth="1"/>
    <col min="12555" max="12555" width="6.21875" style="2" customWidth="1"/>
    <col min="12556" max="12556" width="5.5546875" style="2" customWidth="1"/>
    <col min="12557" max="12557" width="10.77734375" style="2" customWidth="1"/>
    <col min="12558" max="12558" width="8.21875" style="2" customWidth="1"/>
    <col min="12559" max="12559" width="12.21875" style="2" customWidth="1"/>
    <col min="12560" max="12560" width="10.21875" style="2" customWidth="1"/>
    <col min="12561" max="12561" width="9.21875" style="2" customWidth="1"/>
    <col min="12562" max="12800" width="9.21875" style="2"/>
    <col min="12801" max="12801" width="4.21875" style="2" customWidth="1"/>
    <col min="12802" max="12802" width="2.5546875" style="2" customWidth="1"/>
    <col min="12803" max="12804" width="9.21875" style="2"/>
    <col min="12805" max="12805" width="5.77734375" style="2" customWidth="1"/>
    <col min="12806" max="12806" width="8.77734375" style="2" customWidth="1"/>
    <col min="12807" max="12807" width="3.21875" style="2" customWidth="1"/>
    <col min="12808" max="12808" width="10.21875" style="2" customWidth="1"/>
    <col min="12809" max="12809" width="3.77734375" style="2" customWidth="1"/>
    <col min="12810" max="12810" width="8.21875" style="2" customWidth="1"/>
    <col min="12811" max="12811" width="6.21875" style="2" customWidth="1"/>
    <col min="12812" max="12812" width="5.5546875" style="2" customWidth="1"/>
    <col min="12813" max="12813" width="10.77734375" style="2" customWidth="1"/>
    <col min="12814" max="12814" width="8.21875" style="2" customWidth="1"/>
    <col min="12815" max="12815" width="12.21875" style="2" customWidth="1"/>
    <col min="12816" max="12816" width="10.21875" style="2" customWidth="1"/>
    <col min="12817" max="12817" width="9.21875" style="2" customWidth="1"/>
    <col min="12818" max="13056" width="9.21875" style="2"/>
    <col min="13057" max="13057" width="4.21875" style="2" customWidth="1"/>
    <col min="13058" max="13058" width="2.5546875" style="2" customWidth="1"/>
    <col min="13059" max="13060" width="9.21875" style="2"/>
    <col min="13061" max="13061" width="5.77734375" style="2" customWidth="1"/>
    <col min="13062" max="13062" width="8.77734375" style="2" customWidth="1"/>
    <col min="13063" max="13063" width="3.21875" style="2" customWidth="1"/>
    <col min="13064" max="13064" width="10.21875" style="2" customWidth="1"/>
    <col min="13065" max="13065" width="3.77734375" style="2" customWidth="1"/>
    <col min="13066" max="13066" width="8.21875" style="2" customWidth="1"/>
    <col min="13067" max="13067" width="6.21875" style="2" customWidth="1"/>
    <col min="13068" max="13068" width="5.5546875" style="2" customWidth="1"/>
    <col min="13069" max="13069" width="10.77734375" style="2" customWidth="1"/>
    <col min="13070" max="13070" width="8.21875" style="2" customWidth="1"/>
    <col min="13071" max="13071" width="12.21875" style="2" customWidth="1"/>
    <col min="13072" max="13072" width="10.21875" style="2" customWidth="1"/>
    <col min="13073" max="13073" width="9.21875" style="2" customWidth="1"/>
    <col min="13074" max="13312" width="9.21875" style="2"/>
    <col min="13313" max="13313" width="4.21875" style="2" customWidth="1"/>
    <col min="13314" max="13314" width="2.5546875" style="2" customWidth="1"/>
    <col min="13315" max="13316" width="9.21875" style="2"/>
    <col min="13317" max="13317" width="5.77734375" style="2" customWidth="1"/>
    <col min="13318" max="13318" width="8.77734375" style="2" customWidth="1"/>
    <col min="13319" max="13319" width="3.21875" style="2" customWidth="1"/>
    <col min="13320" max="13320" width="10.21875" style="2" customWidth="1"/>
    <col min="13321" max="13321" width="3.77734375" style="2" customWidth="1"/>
    <col min="13322" max="13322" width="8.21875" style="2" customWidth="1"/>
    <col min="13323" max="13323" width="6.21875" style="2" customWidth="1"/>
    <col min="13324" max="13324" width="5.5546875" style="2" customWidth="1"/>
    <col min="13325" max="13325" width="10.77734375" style="2" customWidth="1"/>
    <col min="13326" max="13326" width="8.21875" style="2" customWidth="1"/>
    <col min="13327" max="13327" width="12.21875" style="2" customWidth="1"/>
    <col min="13328" max="13328" width="10.21875" style="2" customWidth="1"/>
    <col min="13329" max="13329" width="9.21875" style="2" customWidth="1"/>
    <col min="13330" max="13568" width="9.21875" style="2"/>
    <col min="13569" max="13569" width="4.21875" style="2" customWidth="1"/>
    <col min="13570" max="13570" width="2.5546875" style="2" customWidth="1"/>
    <col min="13571" max="13572" width="9.21875" style="2"/>
    <col min="13573" max="13573" width="5.77734375" style="2" customWidth="1"/>
    <col min="13574" max="13574" width="8.77734375" style="2" customWidth="1"/>
    <col min="13575" max="13575" width="3.21875" style="2" customWidth="1"/>
    <col min="13576" max="13576" width="10.21875" style="2" customWidth="1"/>
    <col min="13577" max="13577" width="3.77734375" style="2" customWidth="1"/>
    <col min="13578" max="13578" width="8.21875" style="2" customWidth="1"/>
    <col min="13579" max="13579" width="6.21875" style="2" customWidth="1"/>
    <col min="13580" max="13580" width="5.5546875" style="2" customWidth="1"/>
    <col min="13581" max="13581" width="10.77734375" style="2" customWidth="1"/>
    <col min="13582" max="13582" width="8.21875" style="2" customWidth="1"/>
    <col min="13583" max="13583" width="12.21875" style="2" customWidth="1"/>
    <col min="13584" max="13584" width="10.21875" style="2" customWidth="1"/>
    <col min="13585" max="13585" width="9.21875" style="2" customWidth="1"/>
    <col min="13586" max="13824" width="9.21875" style="2"/>
    <col min="13825" max="13825" width="4.21875" style="2" customWidth="1"/>
    <col min="13826" max="13826" width="2.5546875" style="2" customWidth="1"/>
    <col min="13827" max="13828" width="9.21875" style="2"/>
    <col min="13829" max="13829" width="5.77734375" style="2" customWidth="1"/>
    <col min="13830" max="13830" width="8.77734375" style="2" customWidth="1"/>
    <col min="13831" max="13831" width="3.21875" style="2" customWidth="1"/>
    <col min="13832" max="13832" width="10.21875" style="2" customWidth="1"/>
    <col min="13833" max="13833" width="3.77734375" style="2" customWidth="1"/>
    <col min="13834" max="13834" width="8.21875" style="2" customWidth="1"/>
    <col min="13835" max="13835" width="6.21875" style="2" customWidth="1"/>
    <col min="13836" max="13836" width="5.5546875" style="2" customWidth="1"/>
    <col min="13837" max="13837" width="10.77734375" style="2" customWidth="1"/>
    <col min="13838" max="13838" width="8.21875" style="2" customWidth="1"/>
    <col min="13839" max="13839" width="12.21875" style="2" customWidth="1"/>
    <col min="13840" max="13840" width="10.21875" style="2" customWidth="1"/>
    <col min="13841" max="13841" width="9.21875" style="2" customWidth="1"/>
    <col min="13842" max="14080" width="9.21875" style="2"/>
    <col min="14081" max="14081" width="4.21875" style="2" customWidth="1"/>
    <col min="14082" max="14082" width="2.5546875" style="2" customWidth="1"/>
    <col min="14083" max="14084" width="9.21875" style="2"/>
    <col min="14085" max="14085" width="5.77734375" style="2" customWidth="1"/>
    <col min="14086" max="14086" width="8.77734375" style="2" customWidth="1"/>
    <col min="14087" max="14087" width="3.21875" style="2" customWidth="1"/>
    <col min="14088" max="14088" width="10.21875" style="2" customWidth="1"/>
    <col min="14089" max="14089" width="3.77734375" style="2" customWidth="1"/>
    <col min="14090" max="14090" width="8.21875" style="2" customWidth="1"/>
    <col min="14091" max="14091" width="6.21875" style="2" customWidth="1"/>
    <col min="14092" max="14092" width="5.5546875" style="2" customWidth="1"/>
    <col min="14093" max="14093" width="10.77734375" style="2" customWidth="1"/>
    <col min="14094" max="14094" width="8.21875" style="2" customWidth="1"/>
    <col min="14095" max="14095" width="12.21875" style="2" customWidth="1"/>
    <col min="14096" max="14096" width="10.21875" style="2" customWidth="1"/>
    <col min="14097" max="14097" width="9.21875" style="2" customWidth="1"/>
    <col min="14098" max="14336" width="9.21875" style="2"/>
    <col min="14337" max="14337" width="4.21875" style="2" customWidth="1"/>
    <col min="14338" max="14338" width="2.5546875" style="2" customWidth="1"/>
    <col min="14339" max="14340" width="9.21875" style="2"/>
    <col min="14341" max="14341" width="5.77734375" style="2" customWidth="1"/>
    <col min="14342" max="14342" width="8.77734375" style="2" customWidth="1"/>
    <col min="14343" max="14343" width="3.21875" style="2" customWidth="1"/>
    <col min="14344" max="14344" width="10.21875" style="2" customWidth="1"/>
    <col min="14345" max="14345" width="3.77734375" style="2" customWidth="1"/>
    <col min="14346" max="14346" width="8.21875" style="2" customWidth="1"/>
    <col min="14347" max="14347" width="6.21875" style="2" customWidth="1"/>
    <col min="14348" max="14348" width="5.5546875" style="2" customWidth="1"/>
    <col min="14349" max="14349" width="10.77734375" style="2" customWidth="1"/>
    <col min="14350" max="14350" width="8.21875" style="2" customWidth="1"/>
    <col min="14351" max="14351" width="12.21875" style="2" customWidth="1"/>
    <col min="14352" max="14352" width="10.21875" style="2" customWidth="1"/>
    <col min="14353" max="14353" width="9.21875" style="2" customWidth="1"/>
    <col min="14354" max="14592" width="9.21875" style="2"/>
    <col min="14593" max="14593" width="4.21875" style="2" customWidth="1"/>
    <col min="14594" max="14594" width="2.5546875" style="2" customWidth="1"/>
    <col min="14595" max="14596" width="9.21875" style="2"/>
    <col min="14597" max="14597" width="5.77734375" style="2" customWidth="1"/>
    <col min="14598" max="14598" width="8.77734375" style="2" customWidth="1"/>
    <col min="14599" max="14599" width="3.21875" style="2" customWidth="1"/>
    <col min="14600" max="14600" width="10.21875" style="2" customWidth="1"/>
    <col min="14601" max="14601" width="3.77734375" style="2" customWidth="1"/>
    <col min="14602" max="14602" width="8.21875" style="2" customWidth="1"/>
    <col min="14603" max="14603" width="6.21875" style="2" customWidth="1"/>
    <col min="14604" max="14604" width="5.5546875" style="2" customWidth="1"/>
    <col min="14605" max="14605" width="10.77734375" style="2" customWidth="1"/>
    <col min="14606" max="14606" width="8.21875" style="2" customWidth="1"/>
    <col min="14607" max="14607" width="12.21875" style="2" customWidth="1"/>
    <col min="14608" max="14608" width="10.21875" style="2" customWidth="1"/>
    <col min="14609" max="14609" width="9.21875" style="2" customWidth="1"/>
    <col min="14610" max="14848" width="9.21875" style="2"/>
    <col min="14849" max="14849" width="4.21875" style="2" customWidth="1"/>
    <col min="14850" max="14850" width="2.5546875" style="2" customWidth="1"/>
    <col min="14851" max="14852" width="9.21875" style="2"/>
    <col min="14853" max="14853" width="5.77734375" style="2" customWidth="1"/>
    <col min="14854" max="14854" width="8.77734375" style="2" customWidth="1"/>
    <col min="14855" max="14855" width="3.21875" style="2" customWidth="1"/>
    <col min="14856" max="14856" width="10.21875" style="2" customWidth="1"/>
    <col min="14857" max="14857" width="3.77734375" style="2" customWidth="1"/>
    <col min="14858" max="14858" width="8.21875" style="2" customWidth="1"/>
    <col min="14859" max="14859" width="6.21875" style="2" customWidth="1"/>
    <col min="14860" max="14860" width="5.5546875" style="2" customWidth="1"/>
    <col min="14861" max="14861" width="10.77734375" style="2" customWidth="1"/>
    <col min="14862" max="14862" width="8.21875" style="2" customWidth="1"/>
    <col min="14863" max="14863" width="12.21875" style="2" customWidth="1"/>
    <col min="14864" max="14864" width="10.21875" style="2" customWidth="1"/>
    <col min="14865" max="14865" width="9.21875" style="2" customWidth="1"/>
    <col min="14866" max="15104" width="9.21875" style="2"/>
    <col min="15105" max="15105" width="4.21875" style="2" customWidth="1"/>
    <col min="15106" max="15106" width="2.5546875" style="2" customWidth="1"/>
    <col min="15107" max="15108" width="9.21875" style="2"/>
    <col min="15109" max="15109" width="5.77734375" style="2" customWidth="1"/>
    <col min="15110" max="15110" width="8.77734375" style="2" customWidth="1"/>
    <col min="15111" max="15111" width="3.21875" style="2" customWidth="1"/>
    <col min="15112" max="15112" width="10.21875" style="2" customWidth="1"/>
    <col min="15113" max="15113" width="3.77734375" style="2" customWidth="1"/>
    <col min="15114" max="15114" width="8.21875" style="2" customWidth="1"/>
    <col min="15115" max="15115" width="6.21875" style="2" customWidth="1"/>
    <col min="15116" max="15116" width="5.5546875" style="2" customWidth="1"/>
    <col min="15117" max="15117" width="10.77734375" style="2" customWidth="1"/>
    <col min="15118" max="15118" width="8.21875" style="2" customWidth="1"/>
    <col min="15119" max="15119" width="12.21875" style="2" customWidth="1"/>
    <col min="15120" max="15120" width="10.21875" style="2" customWidth="1"/>
    <col min="15121" max="15121" width="9.21875" style="2" customWidth="1"/>
    <col min="15122" max="15360" width="9.21875" style="2"/>
    <col min="15361" max="15361" width="4.21875" style="2" customWidth="1"/>
    <col min="15362" max="15362" width="2.5546875" style="2" customWidth="1"/>
    <col min="15363" max="15364" width="9.21875" style="2"/>
    <col min="15365" max="15365" width="5.77734375" style="2" customWidth="1"/>
    <col min="15366" max="15366" width="8.77734375" style="2" customWidth="1"/>
    <col min="15367" max="15367" width="3.21875" style="2" customWidth="1"/>
    <col min="15368" max="15368" width="10.21875" style="2" customWidth="1"/>
    <col min="15369" max="15369" width="3.77734375" style="2" customWidth="1"/>
    <col min="15370" max="15370" width="8.21875" style="2" customWidth="1"/>
    <col min="15371" max="15371" width="6.21875" style="2" customWidth="1"/>
    <col min="15372" max="15372" width="5.5546875" style="2" customWidth="1"/>
    <col min="15373" max="15373" width="10.77734375" style="2" customWidth="1"/>
    <col min="15374" max="15374" width="8.21875" style="2" customWidth="1"/>
    <col min="15375" max="15375" width="12.21875" style="2" customWidth="1"/>
    <col min="15376" max="15376" width="10.21875" style="2" customWidth="1"/>
    <col min="15377" max="15377" width="9.21875" style="2" customWidth="1"/>
    <col min="15378" max="15616" width="9.21875" style="2"/>
    <col min="15617" max="15617" width="4.21875" style="2" customWidth="1"/>
    <col min="15618" max="15618" width="2.5546875" style="2" customWidth="1"/>
    <col min="15619" max="15620" width="9.21875" style="2"/>
    <col min="15621" max="15621" width="5.77734375" style="2" customWidth="1"/>
    <col min="15622" max="15622" width="8.77734375" style="2" customWidth="1"/>
    <col min="15623" max="15623" width="3.21875" style="2" customWidth="1"/>
    <col min="15624" max="15624" width="10.21875" style="2" customWidth="1"/>
    <col min="15625" max="15625" width="3.77734375" style="2" customWidth="1"/>
    <col min="15626" max="15626" width="8.21875" style="2" customWidth="1"/>
    <col min="15627" max="15627" width="6.21875" style="2" customWidth="1"/>
    <col min="15628" max="15628" width="5.5546875" style="2" customWidth="1"/>
    <col min="15629" max="15629" width="10.77734375" style="2" customWidth="1"/>
    <col min="15630" max="15630" width="8.21875" style="2" customWidth="1"/>
    <col min="15631" max="15631" width="12.21875" style="2" customWidth="1"/>
    <col min="15632" max="15632" width="10.21875" style="2" customWidth="1"/>
    <col min="15633" max="15633" width="9.21875" style="2" customWidth="1"/>
    <col min="15634" max="15872" width="9.21875" style="2"/>
    <col min="15873" max="15873" width="4.21875" style="2" customWidth="1"/>
    <col min="15874" max="15874" width="2.5546875" style="2" customWidth="1"/>
    <col min="15875" max="15876" width="9.21875" style="2"/>
    <col min="15877" max="15877" width="5.77734375" style="2" customWidth="1"/>
    <col min="15878" max="15878" width="8.77734375" style="2" customWidth="1"/>
    <col min="15879" max="15879" width="3.21875" style="2" customWidth="1"/>
    <col min="15880" max="15880" width="10.21875" style="2" customWidth="1"/>
    <col min="15881" max="15881" width="3.77734375" style="2" customWidth="1"/>
    <col min="15882" max="15882" width="8.21875" style="2" customWidth="1"/>
    <col min="15883" max="15883" width="6.21875" style="2" customWidth="1"/>
    <col min="15884" max="15884" width="5.5546875" style="2" customWidth="1"/>
    <col min="15885" max="15885" width="10.77734375" style="2" customWidth="1"/>
    <col min="15886" max="15886" width="8.21875" style="2" customWidth="1"/>
    <col min="15887" max="15887" width="12.21875" style="2" customWidth="1"/>
    <col min="15888" max="15888" width="10.21875" style="2" customWidth="1"/>
    <col min="15889" max="15889" width="9.21875" style="2" customWidth="1"/>
    <col min="15890" max="16128" width="9.21875" style="2"/>
    <col min="16129" max="16129" width="4.21875" style="2" customWidth="1"/>
    <col min="16130" max="16130" width="2.5546875" style="2" customWidth="1"/>
    <col min="16131" max="16132" width="9.21875" style="2"/>
    <col min="16133" max="16133" width="5.77734375" style="2" customWidth="1"/>
    <col min="16134" max="16134" width="8.77734375" style="2" customWidth="1"/>
    <col min="16135" max="16135" width="3.21875" style="2" customWidth="1"/>
    <col min="16136" max="16136" width="10.21875" style="2" customWidth="1"/>
    <col min="16137" max="16137" width="3.77734375" style="2" customWidth="1"/>
    <col min="16138" max="16138" width="8.21875" style="2" customWidth="1"/>
    <col min="16139" max="16139" width="6.21875" style="2" customWidth="1"/>
    <col min="16140" max="16140" width="5.5546875" style="2" customWidth="1"/>
    <col min="16141" max="16141" width="10.77734375" style="2" customWidth="1"/>
    <col min="16142" max="16142" width="8.21875" style="2" customWidth="1"/>
    <col min="16143" max="16143" width="12.21875" style="2" customWidth="1"/>
    <col min="16144" max="16144" width="10.21875" style="2" customWidth="1"/>
    <col min="16145" max="16145" width="9.21875" style="2" customWidth="1"/>
    <col min="16146" max="16384" width="9.21875" style="2"/>
  </cols>
  <sheetData>
    <row r="1" spans="1:17" ht="14.25" customHeight="1">
      <c r="P1" s="31"/>
    </row>
    <row r="2" spans="1:17" ht="15.6">
      <c r="A2" s="1220" t="s">
        <v>20</v>
      </c>
      <c r="B2" s="1220"/>
      <c r="C2" s="1220"/>
      <c r="D2" s="1220"/>
      <c r="E2" s="1220"/>
      <c r="F2" s="1220"/>
      <c r="G2" s="1220"/>
      <c r="H2" s="1220"/>
      <c r="I2" s="1220"/>
      <c r="J2" s="1220"/>
      <c r="K2" s="1220"/>
      <c r="L2" s="1220"/>
      <c r="M2" s="1220"/>
      <c r="N2" s="1220"/>
      <c r="O2" s="1220"/>
    </row>
    <row r="3" spans="1:17" ht="15.6">
      <c r="A3" s="1220" t="s">
        <v>21</v>
      </c>
      <c r="B3" s="1220"/>
      <c r="C3" s="1220"/>
      <c r="D3" s="1220"/>
      <c r="E3" s="1220"/>
      <c r="F3" s="1220"/>
      <c r="G3" s="1220"/>
      <c r="H3" s="1220"/>
      <c r="I3" s="1220"/>
      <c r="J3" s="1220"/>
      <c r="K3" s="1220"/>
      <c r="L3" s="1220"/>
      <c r="M3" s="1220"/>
      <c r="N3" s="1220"/>
      <c r="O3" s="1220"/>
    </row>
    <row r="4" spans="1:17" ht="7.5" customHeight="1"/>
    <row r="5" spans="1:17" ht="31.5" customHeight="1">
      <c r="A5" s="33" t="s">
        <v>22</v>
      </c>
      <c r="F5" s="34" t="s">
        <v>23</v>
      </c>
      <c r="H5" s="35" t="s">
        <v>24</v>
      </c>
      <c r="I5" s="36"/>
      <c r="J5" s="1221" t="s">
        <v>25</v>
      </c>
      <c r="K5" s="1217"/>
      <c r="M5" s="3" t="s">
        <v>26</v>
      </c>
      <c r="O5" s="37" t="s">
        <v>27</v>
      </c>
    </row>
    <row r="6" spans="1:17" ht="6.75" customHeight="1"/>
    <row r="7" spans="1:17" ht="15">
      <c r="B7" s="5" t="s">
        <v>6</v>
      </c>
      <c r="F7" s="38">
        <f>IF('Input (4)'!$E$4=0,"0",'Input (4)'!$E$4)</f>
        <v>19</v>
      </c>
      <c r="G7" s="39"/>
      <c r="J7" s="1222">
        <f>IF('Input (4)'!$E$4=0,"0",'Input (4)'!$E$4)</f>
        <v>19</v>
      </c>
      <c r="K7" s="1222"/>
      <c r="L7" s="40" t="s">
        <v>28</v>
      </c>
      <c r="M7" s="41">
        <f>IF('Input (4)'!E4=0,0,LOOKUP(J7,'criteria (4)'!$A$3:$A$10,'criteria (4)'!$B$3:$B$10))</f>
        <v>40</v>
      </c>
      <c r="N7" s="42" t="s">
        <v>29</v>
      </c>
      <c r="O7" s="38">
        <f>IF(Q7=0,0,IF(Q7&lt;LOOKUP(J7,'criteria (4)'!$A$3:$A$10,'criteria (4)'!$C$3:$C$10),LOOKUP(J7,'criteria (4)'!$A$3:$A$10,'criteria (4)'!$C$3:$C$10),IF(LOOKUP(J7,'criteria (4)'!$A$3:$A$10,'criteria (4)'!$C$3:$C$10)=0,0,Q7)))</f>
        <v>0.6</v>
      </c>
      <c r="P7" s="28" t="str">
        <f>IF('Input (4)'!E4=0," ",IF(O7=0,"ADD to 1-6",IF(O7=Q7," ","Minimum")))</f>
        <v>Minimum</v>
      </c>
      <c r="Q7" s="32">
        <f>ROUND(IF('Input (4)'!E4=0,0,IF(M7=0,0,(J7/M7))),2)</f>
        <v>0.48</v>
      </c>
    </row>
    <row r="8" spans="1:17" ht="6.75" customHeight="1">
      <c r="J8" s="43"/>
      <c r="K8" s="43"/>
      <c r="O8" s="43"/>
    </row>
    <row r="9" spans="1:17">
      <c r="B9" s="5" t="s">
        <v>7</v>
      </c>
      <c r="J9" s="43"/>
      <c r="K9" s="43"/>
      <c r="O9" s="43"/>
    </row>
    <row r="10" spans="1:17">
      <c r="B10" s="28" t="s">
        <v>30</v>
      </c>
      <c r="J10" s="43"/>
      <c r="K10" s="43"/>
      <c r="O10" s="43"/>
    </row>
    <row r="11" spans="1:17" ht="16.5" customHeight="1">
      <c r="C11" s="12" t="s">
        <v>8</v>
      </c>
      <c r="F11" s="41" t="str">
        <f>IF(J11=0," ",IF($J$16&gt;300," ",'Input (4)'!E7))</f>
        <v xml:space="preserve"> </v>
      </c>
      <c r="G11" s="44" t="s">
        <v>31</v>
      </c>
      <c r="H11" s="38" t="str">
        <f>IF(J11=0," ",'C (4)'!H25)</f>
        <v xml:space="preserve"> </v>
      </c>
      <c r="I11" s="42" t="s">
        <v>29</v>
      </c>
      <c r="J11" s="1222">
        <f>IF('Input (4)'!E7=0,0,IF(SUM('Input (4)'!E7-'C (4)'!H25)+SUM('Input (4)'!E8-'C (4)'!H26)&gt;299.99,SUM('Input (4)'!E7-'C (4)'!H25),0))</f>
        <v>0</v>
      </c>
      <c r="K11" s="1222"/>
      <c r="L11" s="40" t="s">
        <v>28</v>
      </c>
      <c r="M11" s="41">
        <f>IF(SUM('Input (4)'!$E$7-'C (4)'!$H$25)+SUM('Input (4)'!$E$8-'C (4)'!$H$26)&gt;299.99,20,0)</f>
        <v>0</v>
      </c>
      <c r="N11" s="42" t="s">
        <v>29</v>
      </c>
      <c r="O11" s="38">
        <f>ROUND(IF(SUM('Input (4)'!$E$7-'C (4)'!$H$25)+SUM('Input (4)'!$E$8-'C (4)'!$H$26)&lt;299.99,0,IF(Q11+Q13&lt;15,0,(J11/M11))),2)</f>
        <v>0</v>
      </c>
      <c r="P11" s="2" t="str">
        <f>IF(O11=0," ",IF(O11=Q11," ","Minimum"))</f>
        <v xml:space="preserve"> </v>
      </c>
      <c r="Q11" s="32">
        <f>ROUND(IF(SUM('Input (4)'!$E$7-'C (4)'!$H$25)+SUM('Input (4)'!$E$8-'C (4)'!$H$26)&lt;299.99,0,(J11/M11)),2)</f>
        <v>0</v>
      </c>
    </row>
    <row r="12" spans="1:17" ht="9" customHeight="1">
      <c r="B12" s="12"/>
      <c r="J12" s="43"/>
      <c r="K12" s="43"/>
      <c r="O12" s="43"/>
    </row>
    <row r="13" spans="1:17" ht="15">
      <c r="C13" s="12" t="s">
        <v>9</v>
      </c>
      <c r="F13" s="41" t="str">
        <f>IF(J13=0," ",IF($J$16&gt;300," ",'Input (4)'!E8))</f>
        <v xml:space="preserve"> </v>
      </c>
      <c r="G13" s="44" t="s">
        <v>31</v>
      </c>
      <c r="H13" s="38" t="str">
        <f>IF(J13=0," ",'C (4)'!H26)</f>
        <v xml:space="preserve"> </v>
      </c>
      <c r="I13" s="42" t="s">
        <v>29</v>
      </c>
      <c r="J13" s="1222">
        <f>IF('Input (4)'!E8=0,0,IF(SUM('Input (4)'!E7-'C (4)'!H25)+SUM('Input (4)'!E8-'C (4)'!H26)&gt;299.99,SUM('Input (4)'!E8-'C (4)'!H26),0))</f>
        <v>0</v>
      </c>
      <c r="K13" s="1222"/>
      <c r="L13" s="40" t="s">
        <v>28</v>
      </c>
      <c r="M13" s="41">
        <f>IF(SUM('Input (4)'!$E$7-'C (4)'!$H$25)+SUM('Input (4)'!$E$8-'C (4)'!$H$26)&gt;299.99,23,0)</f>
        <v>0</v>
      </c>
      <c r="N13" s="42" t="s">
        <v>29</v>
      </c>
      <c r="O13" s="38">
        <f>ROUND(IF(SUM('Input (4)'!$E$7-'C (4)'!$H$25)+SUM('Input (4)'!$E$8-'C (4)'!$H$26)&lt;299.99,0,IF(Q11+Q13&lt;15,0,($J$13/$M$13))),2)</f>
        <v>0</v>
      </c>
      <c r="P13" s="2" t="str">
        <f>IF(O13=0," ",IF(O13=Q13," ","Minimum"))</f>
        <v xml:space="preserve"> </v>
      </c>
      <c r="Q13" s="32">
        <f>ROUND(IF(SUM('Input (4)'!$E$7-'C (4)'!$H$25)+SUM('Input (4)'!$E$8-'C (4)'!$H$26)&lt;299.99,0,($J$13/$M$13)),2)</f>
        <v>0</v>
      </c>
    </row>
    <row r="14" spans="1:17" ht="17.25" customHeight="1">
      <c r="B14" s="5" t="s">
        <v>7</v>
      </c>
      <c r="F14" s="36"/>
      <c r="G14" s="44"/>
      <c r="H14" s="39"/>
      <c r="I14" s="42"/>
      <c r="J14" s="39"/>
      <c r="K14" s="39"/>
      <c r="M14" s="36"/>
      <c r="N14" s="42"/>
      <c r="O14" s="39"/>
    </row>
    <row r="15" spans="1:17">
      <c r="B15" s="28" t="s">
        <v>32</v>
      </c>
      <c r="O15" s="39" t="str">
        <f>IF(P15="Minimum",15," ")</f>
        <v xml:space="preserve"> </v>
      </c>
      <c r="P15" s="2" t="str">
        <f>IF(Q11+Q13=0," ",IF(Q11+Q13&lt;15,"Minimum"," "))</f>
        <v xml:space="preserve"> </v>
      </c>
    </row>
    <row r="16" spans="1:17" ht="15">
      <c r="C16" s="12" t="s">
        <v>33</v>
      </c>
      <c r="F16" s="41">
        <f>IF(J16=0," ",IF(J16&lt;300,SUM('Input (4)'!E7+'Input (4)'!E8)," "))</f>
        <v>98.8</v>
      </c>
      <c r="G16" s="44" t="s">
        <v>31</v>
      </c>
      <c r="H16" s="38">
        <f>IF(J16=0," ",'C (4)'!H22)</f>
        <v>7.4399999999999995</v>
      </c>
      <c r="I16" s="42" t="s">
        <v>29</v>
      </c>
      <c r="J16" s="1222">
        <f>IF('Input (4)'!E9=0,0,IF(SUM('Input (4)'!E7-'C (4)'!H25)+SUM('Input (4)'!E8-'C (4)'!H26)&lt;300,IF(P7="ADD to 1-6",SUM('Input (4)'!E7-'C (4)'!H25)+SUM('Input (4)'!E8-'C (4)'!H26)+'Input (4)'!E4,SUM('Input (4)'!E7-'C (4)'!H25)+SUM('Input (4)'!E8-'C (4)'!H26)),0))</f>
        <v>91.359999999999985</v>
      </c>
      <c r="K16" s="1222"/>
      <c r="L16" s="40" t="s">
        <v>28</v>
      </c>
      <c r="M16" s="41">
        <f>IF(J16=0,0,LOOKUP(J16,'criteria (4)'!$M$3:$M$11,'criteria (4)'!$N$3:$N$11))</f>
        <v>16</v>
      </c>
      <c r="N16" s="42" t="s">
        <v>29</v>
      </c>
      <c r="O16" s="38">
        <f>IF(Q16=0,0,IF(Q16&lt;LOOKUP(J16,'criteria (4)'!$M$3:$M$10,'criteria (4)'!$O$3:$O$10),LOOKUP(J16,'criteria (4)'!$M$3:$M$10,'criteria (4)'!$O$3:$O$10),Q16))</f>
        <v>5.71</v>
      </c>
      <c r="P16" s="2" t="str">
        <f>IF(O16=0," ",IF(O16=Q16," ","Minimum"))</f>
        <v xml:space="preserve"> </v>
      </c>
      <c r="Q16" s="32">
        <f>ROUND(IF('Input (4)'!E9=0,0,IF(SUM('Input (4)'!$E$7-'C (4)'!$H$25)+SUM('Input (4)'!$E$8-'C (4)'!$H$26)&gt;299.99,0,(J16/M16))),2)</f>
        <v>5.71</v>
      </c>
    </row>
    <row r="17" spans="1:17" ht="6" customHeight="1">
      <c r="J17" s="43"/>
      <c r="K17" s="43"/>
      <c r="O17" s="43"/>
    </row>
    <row r="18" spans="1:17" ht="15">
      <c r="B18" s="5" t="s">
        <v>10</v>
      </c>
      <c r="F18" s="41">
        <f>IF(J18=0," ",'Input (4)'!E10)</f>
        <v>123.5</v>
      </c>
      <c r="G18" s="44" t="s">
        <v>31</v>
      </c>
      <c r="H18" s="38">
        <f>IF('C (4)'!$H$43=0," ",'C (4)'!$H$43)</f>
        <v>7.15</v>
      </c>
      <c r="I18" s="42" t="s">
        <v>29</v>
      </c>
      <c r="J18" s="1222">
        <f>IF('Input (4)'!E10=0,0,SUM('Input (4)'!E10-'C (4)'!H43))</f>
        <v>116.35</v>
      </c>
      <c r="K18" s="1222"/>
      <c r="L18" s="40" t="s">
        <v>28</v>
      </c>
      <c r="M18" s="41">
        <f>IF('Input (4)'!C10=0,0,IF(J18&gt;99.99,LOOKUP(J18,'criteria (4)'!Q3:Q10,'criteria (4)'!R3:R10),12))</f>
        <v>12</v>
      </c>
      <c r="N18" s="42" t="s">
        <v>29</v>
      </c>
      <c r="O18" s="38">
        <f>ROUND(IF(J18=0,0,IF(J18&lt;99.99,IF(M18=0,8,(J18/M18)),IF(Q18&lt;LOOKUP(J18,'criteria (4)'!$Q$3:$Q$10,'criteria (4)'!$S$3:$S$10),LOOKUP(J18,'criteria (4)'!$Q$3:$Q$10,'criteria (4)'!$S$3:$S$10),Q18))),2)</f>
        <v>9.6999999999999993</v>
      </c>
      <c r="P18" s="2" t="str">
        <f>IF(O18=0," ",IF(O18=Q18," ","Minimum"))</f>
        <v xml:space="preserve"> </v>
      </c>
      <c r="Q18" s="32">
        <f>ROUND(IF(M18=0,0,(J18/M18)),2)</f>
        <v>9.6999999999999993</v>
      </c>
    </row>
    <row r="19" spans="1:17" ht="9" customHeight="1">
      <c r="B19" s="5"/>
      <c r="F19" s="36"/>
      <c r="G19" s="44"/>
      <c r="H19" s="39"/>
      <c r="I19" s="42"/>
      <c r="J19" s="39"/>
      <c r="K19" s="39"/>
      <c r="M19" s="36"/>
      <c r="N19" s="42"/>
      <c r="O19" s="36"/>
    </row>
    <row r="20" spans="1:17" ht="15">
      <c r="A20" s="45" t="s">
        <v>34</v>
      </c>
      <c r="J20" s="43"/>
      <c r="K20" s="43"/>
    </row>
    <row r="21" spans="1:17" ht="3.75" customHeight="1">
      <c r="J21" s="43"/>
      <c r="K21" s="43"/>
    </row>
    <row r="22" spans="1:17">
      <c r="B22" s="2" t="s">
        <v>35</v>
      </c>
      <c r="J22" s="1222" t="str">
        <f>IF('C (4)'!H55=0," ",'C (4)'!H55)</f>
        <v xml:space="preserve"> </v>
      </c>
      <c r="K22" s="1222"/>
    </row>
    <row r="23" spans="1:17" ht="9" customHeight="1">
      <c r="J23" s="43"/>
      <c r="K23" s="43"/>
    </row>
    <row r="24" spans="1:17">
      <c r="B24" s="2" t="s">
        <v>36</v>
      </c>
      <c r="J24" s="1222">
        <f>IF('C (4)'!H22=0," ",'C (4)'!H22)</f>
        <v>7.4399999999999995</v>
      </c>
      <c r="K24" s="1222"/>
    </row>
    <row r="25" spans="1:17" ht="9" customHeight="1">
      <c r="J25" s="43"/>
      <c r="K25" s="43"/>
    </row>
    <row r="26" spans="1:17">
      <c r="B26" s="2" t="s">
        <v>37</v>
      </c>
      <c r="J26" s="1222">
        <f>IF('C (4)'!$H$43=0," ",'C (4)'!$H$43)</f>
        <v>7.15</v>
      </c>
      <c r="K26" s="1222"/>
    </row>
    <row r="27" spans="1:17" ht="8.25" customHeight="1">
      <c r="J27" s="43"/>
      <c r="K27" s="43"/>
    </row>
    <row r="28" spans="1:17" ht="6" customHeight="1">
      <c r="J28" s="39"/>
      <c r="K28" s="39"/>
    </row>
    <row r="29" spans="1:17" ht="15.6" thickBot="1">
      <c r="B29" s="46" t="s">
        <v>38</v>
      </c>
      <c r="J29" s="1219">
        <f>SUM(J22:K27)</f>
        <v>14.59</v>
      </c>
      <c r="K29" s="1219"/>
      <c r="L29" s="40" t="s">
        <v>28</v>
      </c>
      <c r="M29" s="41">
        <f>IF(SUM('Input (4)'!C4:C10)=0,0,IF(J29&gt;=14,LOOKUP(J29,'criteria (4)'!$U$3:$U$10,'criteria (4)'!$V$3:$V$10),0))</f>
        <v>14.5</v>
      </c>
      <c r="N29" s="42" t="s">
        <v>29</v>
      </c>
      <c r="O29" s="38">
        <f>IF(J29=0,0,IF(Q29&lt;LOOKUP(J29,'criteria (4)'!$U$3:$U$10,'criteria (4)'!$W$3:$W$10),LOOKUP(J29,'criteria (4)'!$U$3:$U$10,'criteria (4)'!$W$3:$W$10),Q29))</f>
        <v>1.01</v>
      </c>
      <c r="P29" s="2" t="str">
        <f>IF(O29=0," ",IF(O29=Q29," ","Minimum"))</f>
        <v xml:space="preserve"> </v>
      </c>
      <c r="Q29" s="32">
        <f>ROUND(IF(SUM('Input (4)'!C4:C10)=0,0,IF(M29=0,0,(J29/M29))),2)</f>
        <v>1.01</v>
      </c>
    </row>
    <row r="30" spans="1:17" ht="21" customHeight="1" thickTop="1">
      <c r="B30" s="47"/>
      <c r="C30" s="47"/>
      <c r="D30" s="47"/>
      <c r="E30" s="47"/>
      <c r="F30" s="47"/>
      <c r="G30" s="47"/>
      <c r="H30" s="47"/>
      <c r="J30" s="12"/>
      <c r="N30" s="42"/>
      <c r="O30" s="36"/>
      <c r="P30" s="46"/>
    </row>
    <row r="31" spans="1:17" ht="19.5" customHeight="1">
      <c r="A31" s="48" t="s">
        <v>39</v>
      </c>
    </row>
    <row r="32" spans="1:17" ht="15">
      <c r="B32" s="1223" t="str">
        <f>IF('Input (4)'!E14=0," ","Alternative Secondary High School")</f>
        <v xml:space="preserve"> </v>
      </c>
      <c r="C32" s="1223"/>
      <c r="D32" s="1223"/>
      <c r="E32" s="1223"/>
      <c r="F32" s="1223"/>
      <c r="G32" s="1223"/>
      <c r="J32" s="1222">
        <f>'Input (4)'!E14</f>
        <v>0</v>
      </c>
      <c r="K32" s="1222"/>
      <c r="L32" s="40" t="s">
        <v>28</v>
      </c>
      <c r="M32" s="41">
        <f>IF(J32=0,0,IF(Q32&lt;1,M18,12))</f>
        <v>0</v>
      </c>
      <c r="N32" s="42" t="s">
        <v>29</v>
      </c>
      <c r="O32" s="38">
        <f>ROUND(IF(J32=0,0,J32/M32),2)</f>
        <v>0</v>
      </c>
      <c r="P32" s="45"/>
      <c r="Q32" s="32">
        <f>ROUND(IF(J32=0,0,J32/12),2)</f>
        <v>0</v>
      </c>
    </row>
    <row r="33" spans="1:17" ht="11.25" customHeight="1">
      <c r="J33" s="43"/>
      <c r="K33" s="43"/>
      <c r="O33" s="43"/>
    </row>
    <row r="34" spans="1:17" ht="11.25" customHeight="1">
      <c r="B34" s="1223" t="str">
        <f>IF('Input (4)'!E15=0," ","Summer Alternative Secondary High School")</f>
        <v xml:space="preserve"> </v>
      </c>
      <c r="C34" s="1223"/>
      <c r="D34" s="1223"/>
      <c r="E34" s="1223"/>
      <c r="F34" s="1223"/>
      <c r="G34" s="1223"/>
      <c r="J34" s="1222">
        <f>'Input (4)'!E15</f>
        <v>0</v>
      </c>
      <c r="K34" s="1222"/>
      <c r="L34" s="40" t="s">
        <v>28</v>
      </c>
      <c r="M34" s="41">
        <f>IF(J34=0,0,40)</f>
        <v>0</v>
      </c>
      <c r="N34" s="42" t="s">
        <v>29</v>
      </c>
      <c r="O34" s="38">
        <f>ROUND(IF(J34=0,0,J34/M34),2)</f>
        <v>0</v>
      </c>
      <c r="P34" s="45"/>
      <c r="Q34" s="32">
        <f>ROUND(IF(J34=0,0,J34/12),2)</f>
        <v>0</v>
      </c>
    </row>
    <row r="35" spans="1:17" ht="13.5" customHeight="1">
      <c r="J35" s="36"/>
      <c r="K35" s="36"/>
      <c r="L35" s="40"/>
      <c r="M35" s="36"/>
      <c r="N35" s="42"/>
      <c r="O35" s="36"/>
      <c r="P35" s="46"/>
    </row>
    <row r="36" spans="1:17" ht="18.75" customHeight="1" thickBot="1">
      <c r="A36" s="45"/>
      <c r="B36" s="12" t="s">
        <v>40</v>
      </c>
      <c r="C36" s="46"/>
      <c r="D36" s="46"/>
      <c r="E36" s="46"/>
      <c r="F36" s="46"/>
      <c r="G36" s="46"/>
      <c r="H36" s="46"/>
      <c r="I36" s="46"/>
      <c r="J36" s="46"/>
      <c r="K36" s="46"/>
      <c r="M36" s="36" t="s">
        <v>29</v>
      </c>
      <c r="N36" s="1224">
        <f>ROUND(IF(SUM(O7:O34)=0,0,SUM(O7:O34)),2)</f>
        <v>17.02</v>
      </c>
      <c r="O36" s="1224"/>
    </row>
    <row r="37" spans="1:17" ht="13.8" thickTop="1"/>
  </sheetData>
  <sheetProtection password="CC16" sheet="1" objects="1" scenarios="1"/>
  <mergeCells count="17">
    <mergeCell ref="B32:G32"/>
    <mergeCell ref="J32:K32"/>
    <mergeCell ref="B34:G34"/>
    <mergeCell ref="J34:K34"/>
    <mergeCell ref="N36:O36"/>
    <mergeCell ref="J29:K29"/>
    <mergeCell ref="A2:O2"/>
    <mergeCell ref="A3:O3"/>
    <mergeCell ref="J5:K5"/>
    <mergeCell ref="J7:K7"/>
    <mergeCell ref="J11:K11"/>
    <mergeCell ref="J13:K13"/>
    <mergeCell ref="J16:K16"/>
    <mergeCell ref="J18:K18"/>
    <mergeCell ref="J22:K22"/>
    <mergeCell ref="J24:K24"/>
    <mergeCell ref="J26:K26"/>
  </mergeCells>
  <pageMargins left="0.5" right="0.5" top="0.5" bottom="0.5" header="0.25" footer="0.25"/>
  <pageSetup scale="81" orientation="portrait" r:id="rId1"/>
  <headerFooter alignWithMargins="0">
    <oddFooter>&amp;L&amp;F</oddFooter>
  </headerFooter>
  <colBreaks count="1" manualBreakCount="1">
    <brk id="16"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9"/>
  <dimension ref="A1:R37"/>
  <sheetViews>
    <sheetView showGridLines="0" zoomScale="90" zoomScaleNormal="100" workbookViewId="0">
      <selection activeCell="C4" sqref="C4"/>
    </sheetView>
  </sheetViews>
  <sheetFormatPr defaultRowHeight="13.2"/>
  <cols>
    <col min="1" max="1" width="4.21875" style="30" customWidth="1"/>
    <col min="2" max="2" width="2.5546875" style="2" customWidth="1"/>
    <col min="3" max="6" width="9.21875" style="2"/>
    <col min="7" max="7" width="4.5546875" style="2" customWidth="1"/>
    <col min="8" max="8" width="10.21875" style="2" customWidth="1"/>
    <col min="9" max="9" width="3.21875" style="2" customWidth="1"/>
    <col min="10" max="10" width="9.21875" style="2"/>
    <col min="11" max="11" width="6.21875" style="2" customWidth="1"/>
    <col min="12" max="12" width="3.77734375" style="2" customWidth="1"/>
    <col min="13" max="13" width="10.77734375" style="2" customWidth="1"/>
    <col min="14" max="14" width="4.21875" style="2" customWidth="1"/>
    <col min="15" max="15" width="12.21875" style="2" customWidth="1"/>
    <col min="16" max="16" width="10.21875" style="2" customWidth="1"/>
    <col min="17" max="17" width="9.21875" style="32" customWidth="1"/>
    <col min="18" max="256" width="9.21875" style="2"/>
    <col min="257" max="257" width="4.21875" style="2" customWidth="1"/>
    <col min="258" max="258" width="2.5546875" style="2" customWidth="1"/>
    <col min="259" max="262" width="9.21875" style="2"/>
    <col min="263" max="263" width="4.5546875" style="2" customWidth="1"/>
    <col min="264" max="264" width="10.21875" style="2" customWidth="1"/>
    <col min="265" max="265" width="3.21875" style="2" customWidth="1"/>
    <col min="266" max="266" width="9.21875" style="2"/>
    <col min="267" max="267" width="6.21875" style="2" customWidth="1"/>
    <col min="268" max="268" width="3.77734375" style="2" customWidth="1"/>
    <col min="269" max="269" width="10.77734375" style="2" customWidth="1"/>
    <col min="270" max="270" width="4.21875" style="2" customWidth="1"/>
    <col min="271" max="271" width="12.21875" style="2" customWidth="1"/>
    <col min="272" max="272" width="10.21875" style="2" customWidth="1"/>
    <col min="273" max="273" width="9.21875" style="2" customWidth="1"/>
    <col min="274" max="512" width="9.21875" style="2"/>
    <col min="513" max="513" width="4.21875" style="2" customWidth="1"/>
    <col min="514" max="514" width="2.5546875" style="2" customWidth="1"/>
    <col min="515" max="518" width="9.21875" style="2"/>
    <col min="519" max="519" width="4.5546875" style="2" customWidth="1"/>
    <col min="520" max="520" width="10.21875" style="2" customWidth="1"/>
    <col min="521" max="521" width="3.21875" style="2" customWidth="1"/>
    <col min="522" max="522" width="9.21875" style="2"/>
    <col min="523" max="523" width="6.21875" style="2" customWidth="1"/>
    <col min="524" max="524" width="3.77734375" style="2" customWidth="1"/>
    <col min="525" max="525" width="10.77734375" style="2" customWidth="1"/>
    <col min="526" max="526" width="4.21875" style="2" customWidth="1"/>
    <col min="527" max="527" width="12.21875" style="2" customWidth="1"/>
    <col min="528" max="528" width="10.21875" style="2" customWidth="1"/>
    <col min="529" max="529" width="9.21875" style="2" customWidth="1"/>
    <col min="530" max="768" width="9.21875" style="2"/>
    <col min="769" max="769" width="4.21875" style="2" customWidth="1"/>
    <col min="770" max="770" width="2.5546875" style="2" customWidth="1"/>
    <col min="771" max="774" width="9.21875" style="2"/>
    <col min="775" max="775" width="4.5546875" style="2" customWidth="1"/>
    <col min="776" max="776" width="10.21875" style="2" customWidth="1"/>
    <col min="777" max="777" width="3.21875" style="2" customWidth="1"/>
    <col min="778" max="778" width="9.21875" style="2"/>
    <col min="779" max="779" width="6.21875" style="2" customWidth="1"/>
    <col min="780" max="780" width="3.77734375" style="2" customWidth="1"/>
    <col min="781" max="781" width="10.77734375" style="2" customWidth="1"/>
    <col min="782" max="782" width="4.21875" style="2" customWidth="1"/>
    <col min="783" max="783" width="12.21875" style="2" customWidth="1"/>
    <col min="784" max="784" width="10.21875" style="2" customWidth="1"/>
    <col min="785" max="785" width="9.21875" style="2" customWidth="1"/>
    <col min="786" max="1024" width="9.21875" style="2"/>
    <col min="1025" max="1025" width="4.21875" style="2" customWidth="1"/>
    <col min="1026" max="1026" width="2.5546875" style="2" customWidth="1"/>
    <col min="1027" max="1030" width="9.21875" style="2"/>
    <col min="1031" max="1031" width="4.5546875" style="2" customWidth="1"/>
    <col min="1032" max="1032" width="10.21875" style="2" customWidth="1"/>
    <col min="1033" max="1033" width="3.21875" style="2" customWidth="1"/>
    <col min="1034" max="1034" width="9.21875" style="2"/>
    <col min="1035" max="1035" width="6.21875" style="2" customWidth="1"/>
    <col min="1036" max="1036" width="3.77734375" style="2" customWidth="1"/>
    <col min="1037" max="1037" width="10.77734375" style="2" customWidth="1"/>
    <col min="1038" max="1038" width="4.21875" style="2" customWidth="1"/>
    <col min="1039" max="1039" width="12.21875" style="2" customWidth="1"/>
    <col min="1040" max="1040" width="10.21875" style="2" customWidth="1"/>
    <col min="1041" max="1041" width="9.21875" style="2" customWidth="1"/>
    <col min="1042" max="1280" width="9.21875" style="2"/>
    <col min="1281" max="1281" width="4.21875" style="2" customWidth="1"/>
    <col min="1282" max="1282" width="2.5546875" style="2" customWidth="1"/>
    <col min="1283" max="1286" width="9.21875" style="2"/>
    <col min="1287" max="1287" width="4.5546875" style="2" customWidth="1"/>
    <col min="1288" max="1288" width="10.21875" style="2" customWidth="1"/>
    <col min="1289" max="1289" width="3.21875" style="2" customWidth="1"/>
    <col min="1290" max="1290" width="9.21875" style="2"/>
    <col min="1291" max="1291" width="6.21875" style="2" customWidth="1"/>
    <col min="1292" max="1292" width="3.77734375" style="2" customWidth="1"/>
    <col min="1293" max="1293" width="10.77734375" style="2" customWidth="1"/>
    <col min="1294" max="1294" width="4.21875" style="2" customWidth="1"/>
    <col min="1295" max="1295" width="12.21875" style="2" customWidth="1"/>
    <col min="1296" max="1296" width="10.21875" style="2" customWidth="1"/>
    <col min="1297" max="1297" width="9.21875" style="2" customWidth="1"/>
    <col min="1298" max="1536" width="9.21875" style="2"/>
    <col min="1537" max="1537" width="4.21875" style="2" customWidth="1"/>
    <col min="1538" max="1538" width="2.5546875" style="2" customWidth="1"/>
    <col min="1539" max="1542" width="9.21875" style="2"/>
    <col min="1543" max="1543" width="4.5546875" style="2" customWidth="1"/>
    <col min="1544" max="1544" width="10.21875" style="2" customWidth="1"/>
    <col min="1545" max="1545" width="3.21875" style="2" customWidth="1"/>
    <col min="1546" max="1546" width="9.21875" style="2"/>
    <col min="1547" max="1547" width="6.21875" style="2" customWidth="1"/>
    <col min="1548" max="1548" width="3.77734375" style="2" customWidth="1"/>
    <col min="1549" max="1549" width="10.77734375" style="2" customWidth="1"/>
    <col min="1550" max="1550" width="4.21875" style="2" customWidth="1"/>
    <col min="1551" max="1551" width="12.21875" style="2" customWidth="1"/>
    <col min="1552" max="1552" width="10.21875" style="2" customWidth="1"/>
    <col min="1553" max="1553" width="9.21875" style="2" customWidth="1"/>
    <col min="1554" max="1792" width="9.21875" style="2"/>
    <col min="1793" max="1793" width="4.21875" style="2" customWidth="1"/>
    <col min="1794" max="1794" width="2.5546875" style="2" customWidth="1"/>
    <col min="1795" max="1798" width="9.21875" style="2"/>
    <col min="1799" max="1799" width="4.5546875" style="2" customWidth="1"/>
    <col min="1800" max="1800" width="10.21875" style="2" customWidth="1"/>
    <col min="1801" max="1801" width="3.21875" style="2" customWidth="1"/>
    <col min="1802" max="1802" width="9.21875" style="2"/>
    <col min="1803" max="1803" width="6.21875" style="2" customWidth="1"/>
    <col min="1804" max="1804" width="3.77734375" style="2" customWidth="1"/>
    <col min="1805" max="1805" width="10.77734375" style="2" customWidth="1"/>
    <col min="1806" max="1806" width="4.21875" style="2" customWidth="1"/>
    <col min="1807" max="1807" width="12.21875" style="2" customWidth="1"/>
    <col min="1808" max="1808" width="10.21875" style="2" customWidth="1"/>
    <col min="1809" max="1809" width="9.21875" style="2" customWidth="1"/>
    <col min="1810" max="2048" width="9.21875" style="2"/>
    <col min="2049" max="2049" width="4.21875" style="2" customWidth="1"/>
    <col min="2050" max="2050" width="2.5546875" style="2" customWidth="1"/>
    <col min="2051" max="2054" width="9.21875" style="2"/>
    <col min="2055" max="2055" width="4.5546875" style="2" customWidth="1"/>
    <col min="2056" max="2056" width="10.21875" style="2" customWidth="1"/>
    <col min="2057" max="2057" width="3.21875" style="2" customWidth="1"/>
    <col min="2058" max="2058" width="9.21875" style="2"/>
    <col min="2059" max="2059" width="6.21875" style="2" customWidth="1"/>
    <col min="2060" max="2060" width="3.77734375" style="2" customWidth="1"/>
    <col min="2061" max="2061" width="10.77734375" style="2" customWidth="1"/>
    <col min="2062" max="2062" width="4.21875" style="2" customWidth="1"/>
    <col min="2063" max="2063" width="12.21875" style="2" customWidth="1"/>
    <col min="2064" max="2064" width="10.21875" style="2" customWidth="1"/>
    <col min="2065" max="2065" width="9.21875" style="2" customWidth="1"/>
    <col min="2066" max="2304" width="9.21875" style="2"/>
    <col min="2305" max="2305" width="4.21875" style="2" customWidth="1"/>
    <col min="2306" max="2306" width="2.5546875" style="2" customWidth="1"/>
    <col min="2307" max="2310" width="9.21875" style="2"/>
    <col min="2311" max="2311" width="4.5546875" style="2" customWidth="1"/>
    <col min="2312" max="2312" width="10.21875" style="2" customWidth="1"/>
    <col min="2313" max="2313" width="3.21875" style="2" customWidth="1"/>
    <col min="2314" max="2314" width="9.21875" style="2"/>
    <col min="2315" max="2315" width="6.21875" style="2" customWidth="1"/>
    <col min="2316" max="2316" width="3.77734375" style="2" customWidth="1"/>
    <col min="2317" max="2317" width="10.77734375" style="2" customWidth="1"/>
    <col min="2318" max="2318" width="4.21875" style="2" customWidth="1"/>
    <col min="2319" max="2319" width="12.21875" style="2" customWidth="1"/>
    <col min="2320" max="2320" width="10.21875" style="2" customWidth="1"/>
    <col min="2321" max="2321" width="9.21875" style="2" customWidth="1"/>
    <col min="2322" max="2560" width="9.21875" style="2"/>
    <col min="2561" max="2561" width="4.21875" style="2" customWidth="1"/>
    <col min="2562" max="2562" width="2.5546875" style="2" customWidth="1"/>
    <col min="2563" max="2566" width="9.21875" style="2"/>
    <col min="2567" max="2567" width="4.5546875" style="2" customWidth="1"/>
    <col min="2568" max="2568" width="10.21875" style="2" customWidth="1"/>
    <col min="2569" max="2569" width="3.21875" style="2" customWidth="1"/>
    <col min="2570" max="2570" width="9.21875" style="2"/>
    <col min="2571" max="2571" width="6.21875" style="2" customWidth="1"/>
    <col min="2572" max="2572" width="3.77734375" style="2" customWidth="1"/>
    <col min="2573" max="2573" width="10.77734375" style="2" customWidth="1"/>
    <col min="2574" max="2574" width="4.21875" style="2" customWidth="1"/>
    <col min="2575" max="2575" width="12.21875" style="2" customWidth="1"/>
    <col min="2576" max="2576" width="10.21875" style="2" customWidth="1"/>
    <col min="2577" max="2577" width="9.21875" style="2" customWidth="1"/>
    <col min="2578" max="2816" width="9.21875" style="2"/>
    <col min="2817" max="2817" width="4.21875" style="2" customWidth="1"/>
    <col min="2818" max="2818" width="2.5546875" style="2" customWidth="1"/>
    <col min="2819" max="2822" width="9.21875" style="2"/>
    <col min="2823" max="2823" width="4.5546875" style="2" customWidth="1"/>
    <col min="2824" max="2824" width="10.21875" style="2" customWidth="1"/>
    <col min="2825" max="2825" width="3.21875" style="2" customWidth="1"/>
    <col min="2826" max="2826" width="9.21875" style="2"/>
    <col min="2827" max="2827" width="6.21875" style="2" customWidth="1"/>
    <col min="2828" max="2828" width="3.77734375" style="2" customWidth="1"/>
    <col min="2829" max="2829" width="10.77734375" style="2" customWidth="1"/>
    <col min="2830" max="2830" width="4.21875" style="2" customWidth="1"/>
    <col min="2831" max="2831" width="12.21875" style="2" customWidth="1"/>
    <col min="2832" max="2832" width="10.21875" style="2" customWidth="1"/>
    <col min="2833" max="2833" width="9.21875" style="2" customWidth="1"/>
    <col min="2834" max="3072" width="9.21875" style="2"/>
    <col min="3073" max="3073" width="4.21875" style="2" customWidth="1"/>
    <col min="3074" max="3074" width="2.5546875" style="2" customWidth="1"/>
    <col min="3075" max="3078" width="9.21875" style="2"/>
    <col min="3079" max="3079" width="4.5546875" style="2" customWidth="1"/>
    <col min="3080" max="3080" width="10.21875" style="2" customWidth="1"/>
    <col min="3081" max="3081" width="3.21875" style="2" customWidth="1"/>
    <col min="3082" max="3082" width="9.21875" style="2"/>
    <col min="3083" max="3083" width="6.21875" style="2" customWidth="1"/>
    <col min="3084" max="3084" width="3.77734375" style="2" customWidth="1"/>
    <col min="3085" max="3085" width="10.77734375" style="2" customWidth="1"/>
    <col min="3086" max="3086" width="4.21875" style="2" customWidth="1"/>
    <col min="3087" max="3087" width="12.21875" style="2" customWidth="1"/>
    <col min="3088" max="3088" width="10.21875" style="2" customWidth="1"/>
    <col min="3089" max="3089" width="9.21875" style="2" customWidth="1"/>
    <col min="3090" max="3328" width="9.21875" style="2"/>
    <col min="3329" max="3329" width="4.21875" style="2" customWidth="1"/>
    <col min="3330" max="3330" width="2.5546875" style="2" customWidth="1"/>
    <col min="3331" max="3334" width="9.21875" style="2"/>
    <col min="3335" max="3335" width="4.5546875" style="2" customWidth="1"/>
    <col min="3336" max="3336" width="10.21875" style="2" customWidth="1"/>
    <col min="3337" max="3337" width="3.21875" style="2" customWidth="1"/>
    <col min="3338" max="3338" width="9.21875" style="2"/>
    <col min="3339" max="3339" width="6.21875" style="2" customWidth="1"/>
    <col min="3340" max="3340" width="3.77734375" style="2" customWidth="1"/>
    <col min="3341" max="3341" width="10.77734375" style="2" customWidth="1"/>
    <col min="3342" max="3342" width="4.21875" style="2" customWidth="1"/>
    <col min="3343" max="3343" width="12.21875" style="2" customWidth="1"/>
    <col min="3344" max="3344" width="10.21875" style="2" customWidth="1"/>
    <col min="3345" max="3345" width="9.21875" style="2" customWidth="1"/>
    <col min="3346" max="3584" width="9.21875" style="2"/>
    <col min="3585" max="3585" width="4.21875" style="2" customWidth="1"/>
    <col min="3586" max="3586" width="2.5546875" style="2" customWidth="1"/>
    <col min="3587" max="3590" width="9.21875" style="2"/>
    <col min="3591" max="3591" width="4.5546875" style="2" customWidth="1"/>
    <col min="3592" max="3592" width="10.21875" style="2" customWidth="1"/>
    <col min="3593" max="3593" width="3.21875" style="2" customWidth="1"/>
    <col min="3594" max="3594" width="9.21875" style="2"/>
    <col min="3595" max="3595" width="6.21875" style="2" customWidth="1"/>
    <col min="3596" max="3596" width="3.77734375" style="2" customWidth="1"/>
    <col min="3597" max="3597" width="10.77734375" style="2" customWidth="1"/>
    <col min="3598" max="3598" width="4.21875" style="2" customWidth="1"/>
    <col min="3599" max="3599" width="12.21875" style="2" customWidth="1"/>
    <col min="3600" max="3600" width="10.21875" style="2" customWidth="1"/>
    <col min="3601" max="3601" width="9.21875" style="2" customWidth="1"/>
    <col min="3602" max="3840" width="9.21875" style="2"/>
    <col min="3841" max="3841" width="4.21875" style="2" customWidth="1"/>
    <col min="3842" max="3842" width="2.5546875" style="2" customWidth="1"/>
    <col min="3843" max="3846" width="9.21875" style="2"/>
    <col min="3847" max="3847" width="4.5546875" style="2" customWidth="1"/>
    <col min="3848" max="3848" width="10.21875" style="2" customWidth="1"/>
    <col min="3849" max="3849" width="3.21875" style="2" customWidth="1"/>
    <col min="3850" max="3850" width="9.21875" style="2"/>
    <col min="3851" max="3851" width="6.21875" style="2" customWidth="1"/>
    <col min="3852" max="3852" width="3.77734375" style="2" customWidth="1"/>
    <col min="3853" max="3853" width="10.77734375" style="2" customWidth="1"/>
    <col min="3854" max="3854" width="4.21875" style="2" customWidth="1"/>
    <col min="3855" max="3855" width="12.21875" style="2" customWidth="1"/>
    <col min="3856" max="3856" width="10.21875" style="2" customWidth="1"/>
    <col min="3857" max="3857" width="9.21875" style="2" customWidth="1"/>
    <col min="3858" max="4096" width="9.21875" style="2"/>
    <col min="4097" max="4097" width="4.21875" style="2" customWidth="1"/>
    <col min="4098" max="4098" width="2.5546875" style="2" customWidth="1"/>
    <col min="4099" max="4102" width="9.21875" style="2"/>
    <col min="4103" max="4103" width="4.5546875" style="2" customWidth="1"/>
    <col min="4104" max="4104" width="10.21875" style="2" customWidth="1"/>
    <col min="4105" max="4105" width="3.21875" style="2" customWidth="1"/>
    <col min="4106" max="4106" width="9.21875" style="2"/>
    <col min="4107" max="4107" width="6.21875" style="2" customWidth="1"/>
    <col min="4108" max="4108" width="3.77734375" style="2" customWidth="1"/>
    <col min="4109" max="4109" width="10.77734375" style="2" customWidth="1"/>
    <col min="4110" max="4110" width="4.21875" style="2" customWidth="1"/>
    <col min="4111" max="4111" width="12.21875" style="2" customWidth="1"/>
    <col min="4112" max="4112" width="10.21875" style="2" customWidth="1"/>
    <col min="4113" max="4113" width="9.21875" style="2" customWidth="1"/>
    <col min="4114" max="4352" width="9.21875" style="2"/>
    <col min="4353" max="4353" width="4.21875" style="2" customWidth="1"/>
    <col min="4354" max="4354" width="2.5546875" style="2" customWidth="1"/>
    <col min="4355" max="4358" width="9.21875" style="2"/>
    <col min="4359" max="4359" width="4.5546875" style="2" customWidth="1"/>
    <col min="4360" max="4360" width="10.21875" style="2" customWidth="1"/>
    <col min="4361" max="4361" width="3.21875" style="2" customWidth="1"/>
    <col min="4362" max="4362" width="9.21875" style="2"/>
    <col min="4363" max="4363" width="6.21875" style="2" customWidth="1"/>
    <col min="4364" max="4364" width="3.77734375" style="2" customWidth="1"/>
    <col min="4365" max="4365" width="10.77734375" style="2" customWidth="1"/>
    <col min="4366" max="4366" width="4.21875" style="2" customWidth="1"/>
    <col min="4367" max="4367" width="12.21875" style="2" customWidth="1"/>
    <col min="4368" max="4368" width="10.21875" style="2" customWidth="1"/>
    <col min="4369" max="4369" width="9.21875" style="2" customWidth="1"/>
    <col min="4370" max="4608" width="9.21875" style="2"/>
    <col min="4609" max="4609" width="4.21875" style="2" customWidth="1"/>
    <col min="4610" max="4610" width="2.5546875" style="2" customWidth="1"/>
    <col min="4611" max="4614" width="9.21875" style="2"/>
    <col min="4615" max="4615" width="4.5546875" style="2" customWidth="1"/>
    <col min="4616" max="4616" width="10.21875" style="2" customWidth="1"/>
    <col min="4617" max="4617" width="3.21875" style="2" customWidth="1"/>
    <col min="4618" max="4618" width="9.21875" style="2"/>
    <col min="4619" max="4619" width="6.21875" style="2" customWidth="1"/>
    <col min="4620" max="4620" width="3.77734375" style="2" customWidth="1"/>
    <col min="4621" max="4621" width="10.77734375" style="2" customWidth="1"/>
    <col min="4622" max="4622" width="4.21875" style="2" customWidth="1"/>
    <col min="4623" max="4623" width="12.21875" style="2" customWidth="1"/>
    <col min="4624" max="4624" width="10.21875" style="2" customWidth="1"/>
    <col min="4625" max="4625" width="9.21875" style="2" customWidth="1"/>
    <col min="4626" max="4864" width="9.21875" style="2"/>
    <col min="4865" max="4865" width="4.21875" style="2" customWidth="1"/>
    <col min="4866" max="4866" width="2.5546875" style="2" customWidth="1"/>
    <col min="4867" max="4870" width="9.21875" style="2"/>
    <col min="4871" max="4871" width="4.5546875" style="2" customWidth="1"/>
    <col min="4872" max="4872" width="10.21875" style="2" customWidth="1"/>
    <col min="4873" max="4873" width="3.21875" style="2" customWidth="1"/>
    <col min="4874" max="4874" width="9.21875" style="2"/>
    <col min="4875" max="4875" width="6.21875" style="2" customWidth="1"/>
    <col min="4876" max="4876" width="3.77734375" style="2" customWidth="1"/>
    <col min="4877" max="4877" width="10.77734375" style="2" customWidth="1"/>
    <col min="4878" max="4878" width="4.21875" style="2" customWidth="1"/>
    <col min="4879" max="4879" width="12.21875" style="2" customWidth="1"/>
    <col min="4880" max="4880" width="10.21875" style="2" customWidth="1"/>
    <col min="4881" max="4881" width="9.21875" style="2" customWidth="1"/>
    <col min="4882" max="5120" width="9.21875" style="2"/>
    <col min="5121" max="5121" width="4.21875" style="2" customWidth="1"/>
    <col min="5122" max="5122" width="2.5546875" style="2" customWidth="1"/>
    <col min="5123" max="5126" width="9.21875" style="2"/>
    <col min="5127" max="5127" width="4.5546875" style="2" customWidth="1"/>
    <col min="5128" max="5128" width="10.21875" style="2" customWidth="1"/>
    <col min="5129" max="5129" width="3.21875" style="2" customWidth="1"/>
    <col min="5130" max="5130" width="9.21875" style="2"/>
    <col min="5131" max="5131" width="6.21875" style="2" customWidth="1"/>
    <col min="5132" max="5132" width="3.77734375" style="2" customWidth="1"/>
    <col min="5133" max="5133" width="10.77734375" style="2" customWidth="1"/>
    <col min="5134" max="5134" width="4.21875" style="2" customWidth="1"/>
    <col min="5135" max="5135" width="12.21875" style="2" customWidth="1"/>
    <col min="5136" max="5136" width="10.21875" style="2" customWidth="1"/>
    <col min="5137" max="5137" width="9.21875" style="2" customWidth="1"/>
    <col min="5138" max="5376" width="9.21875" style="2"/>
    <col min="5377" max="5377" width="4.21875" style="2" customWidth="1"/>
    <col min="5378" max="5378" width="2.5546875" style="2" customWidth="1"/>
    <col min="5379" max="5382" width="9.21875" style="2"/>
    <col min="5383" max="5383" width="4.5546875" style="2" customWidth="1"/>
    <col min="5384" max="5384" width="10.21875" style="2" customWidth="1"/>
    <col min="5385" max="5385" width="3.21875" style="2" customWidth="1"/>
    <col min="5386" max="5386" width="9.21875" style="2"/>
    <col min="5387" max="5387" width="6.21875" style="2" customWidth="1"/>
    <col min="5388" max="5388" width="3.77734375" style="2" customWidth="1"/>
    <col min="5389" max="5389" width="10.77734375" style="2" customWidth="1"/>
    <col min="5390" max="5390" width="4.21875" style="2" customWidth="1"/>
    <col min="5391" max="5391" width="12.21875" style="2" customWidth="1"/>
    <col min="5392" max="5392" width="10.21875" style="2" customWidth="1"/>
    <col min="5393" max="5393" width="9.21875" style="2" customWidth="1"/>
    <col min="5394" max="5632" width="9.21875" style="2"/>
    <col min="5633" max="5633" width="4.21875" style="2" customWidth="1"/>
    <col min="5634" max="5634" width="2.5546875" style="2" customWidth="1"/>
    <col min="5635" max="5638" width="9.21875" style="2"/>
    <col min="5639" max="5639" width="4.5546875" style="2" customWidth="1"/>
    <col min="5640" max="5640" width="10.21875" style="2" customWidth="1"/>
    <col min="5641" max="5641" width="3.21875" style="2" customWidth="1"/>
    <col min="5642" max="5642" width="9.21875" style="2"/>
    <col min="5643" max="5643" width="6.21875" style="2" customWidth="1"/>
    <col min="5644" max="5644" width="3.77734375" style="2" customWidth="1"/>
    <col min="5645" max="5645" width="10.77734375" style="2" customWidth="1"/>
    <col min="5646" max="5646" width="4.21875" style="2" customWidth="1"/>
    <col min="5647" max="5647" width="12.21875" style="2" customWidth="1"/>
    <col min="5648" max="5648" width="10.21875" style="2" customWidth="1"/>
    <col min="5649" max="5649" width="9.21875" style="2" customWidth="1"/>
    <col min="5650" max="5888" width="9.21875" style="2"/>
    <col min="5889" max="5889" width="4.21875" style="2" customWidth="1"/>
    <col min="5890" max="5890" width="2.5546875" style="2" customWidth="1"/>
    <col min="5891" max="5894" width="9.21875" style="2"/>
    <col min="5895" max="5895" width="4.5546875" style="2" customWidth="1"/>
    <col min="5896" max="5896" width="10.21875" style="2" customWidth="1"/>
    <col min="5897" max="5897" width="3.21875" style="2" customWidth="1"/>
    <col min="5898" max="5898" width="9.21875" style="2"/>
    <col min="5899" max="5899" width="6.21875" style="2" customWidth="1"/>
    <col min="5900" max="5900" width="3.77734375" style="2" customWidth="1"/>
    <col min="5901" max="5901" width="10.77734375" style="2" customWidth="1"/>
    <col min="5902" max="5902" width="4.21875" style="2" customWidth="1"/>
    <col min="5903" max="5903" width="12.21875" style="2" customWidth="1"/>
    <col min="5904" max="5904" width="10.21875" style="2" customWidth="1"/>
    <col min="5905" max="5905" width="9.21875" style="2" customWidth="1"/>
    <col min="5906" max="6144" width="9.21875" style="2"/>
    <col min="6145" max="6145" width="4.21875" style="2" customWidth="1"/>
    <col min="6146" max="6146" width="2.5546875" style="2" customWidth="1"/>
    <col min="6147" max="6150" width="9.21875" style="2"/>
    <col min="6151" max="6151" width="4.5546875" style="2" customWidth="1"/>
    <col min="6152" max="6152" width="10.21875" style="2" customWidth="1"/>
    <col min="6153" max="6153" width="3.21875" style="2" customWidth="1"/>
    <col min="6154" max="6154" width="9.21875" style="2"/>
    <col min="6155" max="6155" width="6.21875" style="2" customWidth="1"/>
    <col min="6156" max="6156" width="3.77734375" style="2" customWidth="1"/>
    <col min="6157" max="6157" width="10.77734375" style="2" customWidth="1"/>
    <col min="6158" max="6158" width="4.21875" style="2" customWidth="1"/>
    <col min="6159" max="6159" width="12.21875" style="2" customWidth="1"/>
    <col min="6160" max="6160" width="10.21875" style="2" customWidth="1"/>
    <col min="6161" max="6161" width="9.21875" style="2" customWidth="1"/>
    <col min="6162" max="6400" width="9.21875" style="2"/>
    <col min="6401" max="6401" width="4.21875" style="2" customWidth="1"/>
    <col min="6402" max="6402" width="2.5546875" style="2" customWidth="1"/>
    <col min="6403" max="6406" width="9.21875" style="2"/>
    <col min="6407" max="6407" width="4.5546875" style="2" customWidth="1"/>
    <col min="6408" max="6408" width="10.21875" style="2" customWidth="1"/>
    <col min="6409" max="6409" width="3.21875" style="2" customWidth="1"/>
    <col min="6410" max="6410" width="9.21875" style="2"/>
    <col min="6411" max="6411" width="6.21875" style="2" customWidth="1"/>
    <col min="6412" max="6412" width="3.77734375" style="2" customWidth="1"/>
    <col min="6413" max="6413" width="10.77734375" style="2" customWidth="1"/>
    <col min="6414" max="6414" width="4.21875" style="2" customWidth="1"/>
    <col min="6415" max="6415" width="12.21875" style="2" customWidth="1"/>
    <col min="6416" max="6416" width="10.21875" style="2" customWidth="1"/>
    <col min="6417" max="6417" width="9.21875" style="2" customWidth="1"/>
    <col min="6418" max="6656" width="9.21875" style="2"/>
    <col min="6657" max="6657" width="4.21875" style="2" customWidth="1"/>
    <col min="6658" max="6658" width="2.5546875" style="2" customWidth="1"/>
    <col min="6659" max="6662" width="9.21875" style="2"/>
    <col min="6663" max="6663" width="4.5546875" style="2" customWidth="1"/>
    <col min="6664" max="6664" width="10.21875" style="2" customWidth="1"/>
    <col min="6665" max="6665" width="3.21875" style="2" customWidth="1"/>
    <col min="6666" max="6666" width="9.21875" style="2"/>
    <col min="6667" max="6667" width="6.21875" style="2" customWidth="1"/>
    <col min="6668" max="6668" width="3.77734375" style="2" customWidth="1"/>
    <col min="6669" max="6669" width="10.77734375" style="2" customWidth="1"/>
    <col min="6670" max="6670" width="4.21875" style="2" customWidth="1"/>
    <col min="6671" max="6671" width="12.21875" style="2" customWidth="1"/>
    <col min="6672" max="6672" width="10.21875" style="2" customWidth="1"/>
    <col min="6673" max="6673" width="9.21875" style="2" customWidth="1"/>
    <col min="6674" max="6912" width="9.21875" style="2"/>
    <col min="6913" max="6913" width="4.21875" style="2" customWidth="1"/>
    <col min="6914" max="6914" width="2.5546875" style="2" customWidth="1"/>
    <col min="6915" max="6918" width="9.21875" style="2"/>
    <col min="6919" max="6919" width="4.5546875" style="2" customWidth="1"/>
    <col min="6920" max="6920" width="10.21875" style="2" customWidth="1"/>
    <col min="6921" max="6921" width="3.21875" style="2" customWidth="1"/>
    <col min="6922" max="6922" width="9.21875" style="2"/>
    <col min="6923" max="6923" width="6.21875" style="2" customWidth="1"/>
    <col min="6924" max="6924" width="3.77734375" style="2" customWidth="1"/>
    <col min="6925" max="6925" width="10.77734375" style="2" customWidth="1"/>
    <col min="6926" max="6926" width="4.21875" style="2" customWidth="1"/>
    <col min="6927" max="6927" width="12.21875" style="2" customWidth="1"/>
    <col min="6928" max="6928" width="10.21875" style="2" customWidth="1"/>
    <col min="6929" max="6929" width="9.21875" style="2" customWidth="1"/>
    <col min="6930" max="7168" width="9.21875" style="2"/>
    <col min="7169" max="7169" width="4.21875" style="2" customWidth="1"/>
    <col min="7170" max="7170" width="2.5546875" style="2" customWidth="1"/>
    <col min="7171" max="7174" width="9.21875" style="2"/>
    <col min="7175" max="7175" width="4.5546875" style="2" customWidth="1"/>
    <col min="7176" max="7176" width="10.21875" style="2" customWidth="1"/>
    <col min="7177" max="7177" width="3.21875" style="2" customWidth="1"/>
    <col min="7178" max="7178" width="9.21875" style="2"/>
    <col min="7179" max="7179" width="6.21875" style="2" customWidth="1"/>
    <col min="7180" max="7180" width="3.77734375" style="2" customWidth="1"/>
    <col min="7181" max="7181" width="10.77734375" style="2" customWidth="1"/>
    <col min="7182" max="7182" width="4.21875" style="2" customWidth="1"/>
    <col min="7183" max="7183" width="12.21875" style="2" customWidth="1"/>
    <col min="7184" max="7184" width="10.21875" style="2" customWidth="1"/>
    <col min="7185" max="7185" width="9.21875" style="2" customWidth="1"/>
    <col min="7186" max="7424" width="9.21875" style="2"/>
    <col min="7425" max="7425" width="4.21875" style="2" customWidth="1"/>
    <col min="7426" max="7426" width="2.5546875" style="2" customWidth="1"/>
    <col min="7427" max="7430" width="9.21875" style="2"/>
    <col min="7431" max="7431" width="4.5546875" style="2" customWidth="1"/>
    <col min="7432" max="7432" width="10.21875" style="2" customWidth="1"/>
    <col min="7433" max="7433" width="3.21875" style="2" customWidth="1"/>
    <col min="7434" max="7434" width="9.21875" style="2"/>
    <col min="7435" max="7435" width="6.21875" style="2" customWidth="1"/>
    <col min="7436" max="7436" width="3.77734375" style="2" customWidth="1"/>
    <col min="7437" max="7437" width="10.77734375" style="2" customWidth="1"/>
    <col min="7438" max="7438" width="4.21875" style="2" customWidth="1"/>
    <col min="7439" max="7439" width="12.21875" style="2" customWidth="1"/>
    <col min="7440" max="7440" width="10.21875" style="2" customWidth="1"/>
    <col min="7441" max="7441" width="9.21875" style="2" customWidth="1"/>
    <col min="7442" max="7680" width="9.21875" style="2"/>
    <col min="7681" max="7681" width="4.21875" style="2" customWidth="1"/>
    <col min="7682" max="7682" width="2.5546875" style="2" customWidth="1"/>
    <col min="7683" max="7686" width="9.21875" style="2"/>
    <col min="7687" max="7687" width="4.5546875" style="2" customWidth="1"/>
    <col min="7688" max="7688" width="10.21875" style="2" customWidth="1"/>
    <col min="7689" max="7689" width="3.21875" style="2" customWidth="1"/>
    <col min="7690" max="7690" width="9.21875" style="2"/>
    <col min="7691" max="7691" width="6.21875" style="2" customWidth="1"/>
    <col min="7692" max="7692" width="3.77734375" style="2" customWidth="1"/>
    <col min="7693" max="7693" width="10.77734375" style="2" customWidth="1"/>
    <col min="7694" max="7694" width="4.21875" style="2" customWidth="1"/>
    <col min="7695" max="7695" width="12.21875" style="2" customWidth="1"/>
    <col min="7696" max="7696" width="10.21875" style="2" customWidth="1"/>
    <col min="7697" max="7697" width="9.21875" style="2" customWidth="1"/>
    <col min="7698" max="7936" width="9.21875" style="2"/>
    <col min="7937" max="7937" width="4.21875" style="2" customWidth="1"/>
    <col min="7938" max="7938" width="2.5546875" style="2" customWidth="1"/>
    <col min="7939" max="7942" width="9.21875" style="2"/>
    <col min="7943" max="7943" width="4.5546875" style="2" customWidth="1"/>
    <col min="7944" max="7944" width="10.21875" style="2" customWidth="1"/>
    <col min="7945" max="7945" width="3.21875" style="2" customWidth="1"/>
    <col min="7946" max="7946" width="9.21875" style="2"/>
    <col min="7947" max="7947" width="6.21875" style="2" customWidth="1"/>
    <col min="7948" max="7948" width="3.77734375" style="2" customWidth="1"/>
    <col min="7949" max="7949" width="10.77734375" style="2" customWidth="1"/>
    <col min="7950" max="7950" width="4.21875" style="2" customWidth="1"/>
    <col min="7951" max="7951" width="12.21875" style="2" customWidth="1"/>
    <col min="7952" max="7952" width="10.21875" style="2" customWidth="1"/>
    <col min="7953" max="7953" width="9.21875" style="2" customWidth="1"/>
    <col min="7954" max="8192" width="9.21875" style="2"/>
    <col min="8193" max="8193" width="4.21875" style="2" customWidth="1"/>
    <col min="8194" max="8194" width="2.5546875" style="2" customWidth="1"/>
    <col min="8195" max="8198" width="9.21875" style="2"/>
    <col min="8199" max="8199" width="4.5546875" style="2" customWidth="1"/>
    <col min="8200" max="8200" width="10.21875" style="2" customWidth="1"/>
    <col min="8201" max="8201" width="3.21875" style="2" customWidth="1"/>
    <col min="8202" max="8202" width="9.21875" style="2"/>
    <col min="8203" max="8203" width="6.21875" style="2" customWidth="1"/>
    <col min="8204" max="8204" width="3.77734375" style="2" customWidth="1"/>
    <col min="8205" max="8205" width="10.77734375" style="2" customWidth="1"/>
    <col min="8206" max="8206" width="4.21875" style="2" customWidth="1"/>
    <col min="8207" max="8207" width="12.21875" style="2" customWidth="1"/>
    <col min="8208" max="8208" width="10.21875" style="2" customWidth="1"/>
    <col min="8209" max="8209" width="9.21875" style="2" customWidth="1"/>
    <col min="8210" max="8448" width="9.21875" style="2"/>
    <col min="8449" max="8449" width="4.21875" style="2" customWidth="1"/>
    <col min="8450" max="8450" width="2.5546875" style="2" customWidth="1"/>
    <col min="8451" max="8454" width="9.21875" style="2"/>
    <col min="8455" max="8455" width="4.5546875" style="2" customWidth="1"/>
    <col min="8456" max="8456" width="10.21875" style="2" customWidth="1"/>
    <col min="8457" max="8457" width="3.21875" style="2" customWidth="1"/>
    <col min="8458" max="8458" width="9.21875" style="2"/>
    <col min="8459" max="8459" width="6.21875" style="2" customWidth="1"/>
    <col min="8460" max="8460" width="3.77734375" style="2" customWidth="1"/>
    <col min="8461" max="8461" width="10.77734375" style="2" customWidth="1"/>
    <col min="8462" max="8462" width="4.21875" style="2" customWidth="1"/>
    <col min="8463" max="8463" width="12.21875" style="2" customWidth="1"/>
    <col min="8464" max="8464" width="10.21875" style="2" customWidth="1"/>
    <col min="8465" max="8465" width="9.21875" style="2" customWidth="1"/>
    <col min="8466" max="8704" width="9.21875" style="2"/>
    <col min="8705" max="8705" width="4.21875" style="2" customWidth="1"/>
    <col min="8706" max="8706" width="2.5546875" style="2" customWidth="1"/>
    <col min="8707" max="8710" width="9.21875" style="2"/>
    <col min="8711" max="8711" width="4.5546875" style="2" customWidth="1"/>
    <col min="8712" max="8712" width="10.21875" style="2" customWidth="1"/>
    <col min="8713" max="8713" width="3.21875" style="2" customWidth="1"/>
    <col min="8714" max="8714" width="9.21875" style="2"/>
    <col min="8715" max="8715" width="6.21875" style="2" customWidth="1"/>
    <col min="8716" max="8716" width="3.77734375" style="2" customWidth="1"/>
    <col min="8717" max="8717" width="10.77734375" style="2" customWidth="1"/>
    <col min="8718" max="8718" width="4.21875" style="2" customWidth="1"/>
    <col min="8719" max="8719" width="12.21875" style="2" customWidth="1"/>
    <col min="8720" max="8720" width="10.21875" style="2" customWidth="1"/>
    <col min="8721" max="8721" width="9.21875" style="2" customWidth="1"/>
    <col min="8722" max="8960" width="9.21875" style="2"/>
    <col min="8961" max="8961" width="4.21875" style="2" customWidth="1"/>
    <col min="8962" max="8962" width="2.5546875" style="2" customWidth="1"/>
    <col min="8963" max="8966" width="9.21875" style="2"/>
    <col min="8967" max="8967" width="4.5546875" style="2" customWidth="1"/>
    <col min="8968" max="8968" width="10.21875" style="2" customWidth="1"/>
    <col min="8969" max="8969" width="3.21875" style="2" customWidth="1"/>
    <col min="8970" max="8970" width="9.21875" style="2"/>
    <col min="8971" max="8971" width="6.21875" style="2" customWidth="1"/>
    <col min="8972" max="8972" width="3.77734375" style="2" customWidth="1"/>
    <col min="8973" max="8973" width="10.77734375" style="2" customWidth="1"/>
    <col min="8974" max="8974" width="4.21875" style="2" customWidth="1"/>
    <col min="8975" max="8975" width="12.21875" style="2" customWidth="1"/>
    <col min="8976" max="8976" width="10.21875" style="2" customWidth="1"/>
    <col min="8977" max="8977" width="9.21875" style="2" customWidth="1"/>
    <col min="8978" max="9216" width="9.21875" style="2"/>
    <col min="9217" max="9217" width="4.21875" style="2" customWidth="1"/>
    <col min="9218" max="9218" width="2.5546875" style="2" customWidth="1"/>
    <col min="9219" max="9222" width="9.21875" style="2"/>
    <col min="9223" max="9223" width="4.5546875" style="2" customWidth="1"/>
    <col min="9224" max="9224" width="10.21875" style="2" customWidth="1"/>
    <col min="9225" max="9225" width="3.21875" style="2" customWidth="1"/>
    <col min="9226" max="9226" width="9.21875" style="2"/>
    <col min="9227" max="9227" width="6.21875" style="2" customWidth="1"/>
    <col min="9228" max="9228" width="3.77734375" style="2" customWidth="1"/>
    <col min="9229" max="9229" width="10.77734375" style="2" customWidth="1"/>
    <col min="9230" max="9230" width="4.21875" style="2" customWidth="1"/>
    <col min="9231" max="9231" width="12.21875" style="2" customWidth="1"/>
    <col min="9232" max="9232" width="10.21875" style="2" customWidth="1"/>
    <col min="9233" max="9233" width="9.21875" style="2" customWidth="1"/>
    <col min="9234" max="9472" width="9.21875" style="2"/>
    <col min="9473" max="9473" width="4.21875" style="2" customWidth="1"/>
    <col min="9474" max="9474" width="2.5546875" style="2" customWidth="1"/>
    <col min="9475" max="9478" width="9.21875" style="2"/>
    <col min="9479" max="9479" width="4.5546875" style="2" customWidth="1"/>
    <col min="9480" max="9480" width="10.21875" style="2" customWidth="1"/>
    <col min="9481" max="9481" width="3.21875" style="2" customWidth="1"/>
    <col min="9482" max="9482" width="9.21875" style="2"/>
    <col min="9483" max="9483" width="6.21875" style="2" customWidth="1"/>
    <col min="9484" max="9484" width="3.77734375" style="2" customWidth="1"/>
    <col min="9485" max="9485" width="10.77734375" style="2" customWidth="1"/>
    <col min="9486" max="9486" width="4.21875" style="2" customWidth="1"/>
    <col min="9487" max="9487" width="12.21875" style="2" customWidth="1"/>
    <col min="9488" max="9488" width="10.21875" style="2" customWidth="1"/>
    <col min="9489" max="9489" width="9.21875" style="2" customWidth="1"/>
    <col min="9490" max="9728" width="9.21875" style="2"/>
    <col min="9729" max="9729" width="4.21875" style="2" customWidth="1"/>
    <col min="9730" max="9730" width="2.5546875" style="2" customWidth="1"/>
    <col min="9731" max="9734" width="9.21875" style="2"/>
    <col min="9735" max="9735" width="4.5546875" style="2" customWidth="1"/>
    <col min="9736" max="9736" width="10.21875" style="2" customWidth="1"/>
    <col min="9737" max="9737" width="3.21875" style="2" customWidth="1"/>
    <col min="9738" max="9738" width="9.21875" style="2"/>
    <col min="9739" max="9739" width="6.21875" style="2" customWidth="1"/>
    <col min="9740" max="9740" width="3.77734375" style="2" customWidth="1"/>
    <col min="9741" max="9741" width="10.77734375" style="2" customWidth="1"/>
    <col min="9742" max="9742" width="4.21875" style="2" customWidth="1"/>
    <col min="9743" max="9743" width="12.21875" style="2" customWidth="1"/>
    <col min="9744" max="9744" width="10.21875" style="2" customWidth="1"/>
    <col min="9745" max="9745" width="9.21875" style="2" customWidth="1"/>
    <col min="9746" max="9984" width="9.21875" style="2"/>
    <col min="9985" max="9985" width="4.21875" style="2" customWidth="1"/>
    <col min="9986" max="9986" width="2.5546875" style="2" customWidth="1"/>
    <col min="9987" max="9990" width="9.21875" style="2"/>
    <col min="9991" max="9991" width="4.5546875" style="2" customWidth="1"/>
    <col min="9992" max="9992" width="10.21875" style="2" customWidth="1"/>
    <col min="9993" max="9993" width="3.21875" style="2" customWidth="1"/>
    <col min="9994" max="9994" width="9.21875" style="2"/>
    <col min="9995" max="9995" width="6.21875" style="2" customWidth="1"/>
    <col min="9996" max="9996" width="3.77734375" style="2" customWidth="1"/>
    <col min="9997" max="9997" width="10.77734375" style="2" customWidth="1"/>
    <col min="9998" max="9998" width="4.21875" style="2" customWidth="1"/>
    <col min="9999" max="9999" width="12.21875" style="2" customWidth="1"/>
    <col min="10000" max="10000" width="10.21875" style="2" customWidth="1"/>
    <col min="10001" max="10001" width="9.21875" style="2" customWidth="1"/>
    <col min="10002" max="10240" width="9.21875" style="2"/>
    <col min="10241" max="10241" width="4.21875" style="2" customWidth="1"/>
    <col min="10242" max="10242" width="2.5546875" style="2" customWidth="1"/>
    <col min="10243" max="10246" width="9.21875" style="2"/>
    <col min="10247" max="10247" width="4.5546875" style="2" customWidth="1"/>
    <col min="10248" max="10248" width="10.21875" style="2" customWidth="1"/>
    <col min="10249" max="10249" width="3.21875" style="2" customWidth="1"/>
    <col min="10250" max="10250" width="9.21875" style="2"/>
    <col min="10251" max="10251" width="6.21875" style="2" customWidth="1"/>
    <col min="10252" max="10252" width="3.77734375" style="2" customWidth="1"/>
    <col min="10253" max="10253" width="10.77734375" style="2" customWidth="1"/>
    <col min="10254" max="10254" width="4.21875" style="2" customWidth="1"/>
    <col min="10255" max="10255" width="12.21875" style="2" customWidth="1"/>
    <col min="10256" max="10256" width="10.21875" style="2" customWidth="1"/>
    <col min="10257" max="10257" width="9.21875" style="2" customWidth="1"/>
    <col min="10258" max="10496" width="9.21875" style="2"/>
    <col min="10497" max="10497" width="4.21875" style="2" customWidth="1"/>
    <col min="10498" max="10498" width="2.5546875" style="2" customWidth="1"/>
    <col min="10499" max="10502" width="9.21875" style="2"/>
    <col min="10503" max="10503" width="4.5546875" style="2" customWidth="1"/>
    <col min="10504" max="10504" width="10.21875" style="2" customWidth="1"/>
    <col min="10505" max="10505" width="3.21875" style="2" customWidth="1"/>
    <col min="10506" max="10506" width="9.21875" style="2"/>
    <col min="10507" max="10507" width="6.21875" style="2" customWidth="1"/>
    <col min="10508" max="10508" width="3.77734375" style="2" customWidth="1"/>
    <col min="10509" max="10509" width="10.77734375" style="2" customWidth="1"/>
    <col min="10510" max="10510" width="4.21875" style="2" customWidth="1"/>
    <col min="10511" max="10511" width="12.21875" style="2" customWidth="1"/>
    <col min="10512" max="10512" width="10.21875" style="2" customWidth="1"/>
    <col min="10513" max="10513" width="9.21875" style="2" customWidth="1"/>
    <col min="10514" max="10752" width="9.21875" style="2"/>
    <col min="10753" max="10753" width="4.21875" style="2" customWidth="1"/>
    <col min="10754" max="10754" width="2.5546875" style="2" customWidth="1"/>
    <col min="10755" max="10758" width="9.21875" style="2"/>
    <col min="10759" max="10759" width="4.5546875" style="2" customWidth="1"/>
    <col min="10760" max="10760" width="10.21875" style="2" customWidth="1"/>
    <col min="10761" max="10761" width="3.21875" style="2" customWidth="1"/>
    <col min="10762" max="10762" width="9.21875" style="2"/>
    <col min="10763" max="10763" width="6.21875" style="2" customWidth="1"/>
    <col min="10764" max="10764" width="3.77734375" style="2" customWidth="1"/>
    <col min="10765" max="10765" width="10.77734375" style="2" customWidth="1"/>
    <col min="10766" max="10766" width="4.21875" style="2" customWidth="1"/>
    <col min="10767" max="10767" width="12.21875" style="2" customWidth="1"/>
    <col min="10768" max="10768" width="10.21875" style="2" customWidth="1"/>
    <col min="10769" max="10769" width="9.21875" style="2" customWidth="1"/>
    <col min="10770" max="11008" width="9.21875" style="2"/>
    <col min="11009" max="11009" width="4.21875" style="2" customWidth="1"/>
    <col min="11010" max="11010" width="2.5546875" style="2" customWidth="1"/>
    <col min="11011" max="11014" width="9.21875" style="2"/>
    <col min="11015" max="11015" width="4.5546875" style="2" customWidth="1"/>
    <col min="11016" max="11016" width="10.21875" style="2" customWidth="1"/>
    <col min="11017" max="11017" width="3.21875" style="2" customWidth="1"/>
    <col min="11018" max="11018" width="9.21875" style="2"/>
    <col min="11019" max="11019" width="6.21875" style="2" customWidth="1"/>
    <col min="11020" max="11020" width="3.77734375" style="2" customWidth="1"/>
    <col min="11021" max="11021" width="10.77734375" style="2" customWidth="1"/>
    <col min="11022" max="11022" width="4.21875" style="2" customWidth="1"/>
    <col min="11023" max="11023" width="12.21875" style="2" customWidth="1"/>
    <col min="11024" max="11024" width="10.21875" style="2" customWidth="1"/>
    <col min="11025" max="11025" width="9.21875" style="2" customWidth="1"/>
    <col min="11026" max="11264" width="9.21875" style="2"/>
    <col min="11265" max="11265" width="4.21875" style="2" customWidth="1"/>
    <col min="11266" max="11266" width="2.5546875" style="2" customWidth="1"/>
    <col min="11267" max="11270" width="9.21875" style="2"/>
    <col min="11271" max="11271" width="4.5546875" style="2" customWidth="1"/>
    <col min="11272" max="11272" width="10.21875" style="2" customWidth="1"/>
    <col min="11273" max="11273" width="3.21875" style="2" customWidth="1"/>
    <col min="11274" max="11274" width="9.21875" style="2"/>
    <col min="11275" max="11275" width="6.21875" style="2" customWidth="1"/>
    <col min="11276" max="11276" width="3.77734375" style="2" customWidth="1"/>
    <col min="11277" max="11277" width="10.77734375" style="2" customWidth="1"/>
    <col min="11278" max="11278" width="4.21875" style="2" customWidth="1"/>
    <col min="11279" max="11279" width="12.21875" style="2" customWidth="1"/>
    <col min="11280" max="11280" width="10.21875" style="2" customWidth="1"/>
    <col min="11281" max="11281" width="9.21875" style="2" customWidth="1"/>
    <col min="11282" max="11520" width="9.21875" style="2"/>
    <col min="11521" max="11521" width="4.21875" style="2" customWidth="1"/>
    <col min="11522" max="11522" width="2.5546875" style="2" customWidth="1"/>
    <col min="11523" max="11526" width="9.21875" style="2"/>
    <col min="11527" max="11527" width="4.5546875" style="2" customWidth="1"/>
    <col min="11528" max="11528" width="10.21875" style="2" customWidth="1"/>
    <col min="11529" max="11529" width="3.21875" style="2" customWidth="1"/>
    <col min="11530" max="11530" width="9.21875" style="2"/>
    <col min="11531" max="11531" width="6.21875" style="2" customWidth="1"/>
    <col min="11532" max="11532" width="3.77734375" style="2" customWidth="1"/>
    <col min="11533" max="11533" width="10.77734375" style="2" customWidth="1"/>
    <col min="11534" max="11534" width="4.21875" style="2" customWidth="1"/>
    <col min="11535" max="11535" width="12.21875" style="2" customWidth="1"/>
    <col min="11536" max="11536" width="10.21875" style="2" customWidth="1"/>
    <col min="11537" max="11537" width="9.21875" style="2" customWidth="1"/>
    <col min="11538" max="11776" width="9.21875" style="2"/>
    <col min="11777" max="11777" width="4.21875" style="2" customWidth="1"/>
    <col min="11778" max="11778" width="2.5546875" style="2" customWidth="1"/>
    <col min="11779" max="11782" width="9.21875" style="2"/>
    <col min="11783" max="11783" width="4.5546875" style="2" customWidth="1"/>
    <col min="11784" max="11784" width="10.21875" style="2" customWidth="1"/>
    <col min="11785" max="11785" width="3.21875" style="2" customWidth="1"/>
    <col min="11786" max="11786" width="9.21875" style="2"/>
    <col min="11787" max="11787" width="6.21875" style="2" customWidth="1"/>
    <col min="11788" max="11788" width="3.77734375" style="2" customWidth="1"/>
    <col min="11789" max="11789" width="10.77734375" style="2" customWidth="1"/>
    <col min="11790" max="11790" width="4.21875" style="2" customWidth="1"/>
    <col min="11791" max="11791" width="12.21875" style="2" customWidth="1"/>
    <col min="11792" max="11792" width="10.21875" style="2" customWidth="1"/>
    <col min="11793" max="11793" width="9.21875" style="2" customWidth="1"/>
    <col min="11794" max="12032" width="9.21875" style="2"/>
    <col min="12033" max="12033" width="4.21875" style="2" customWidth="1"/>
    <col min="12034" max="12034" width="2.5546875" style="2" customWidth="1"/>
    <col min="12035" max="12038" width="9.21875" style="2"/>
    <col min="12039" max="12039" width="4.5546875" style="2" customWidth="1"/>
    <col min="12040" max="12040" width="10.21875" style="2" customWidth="1"/>
    <col min="12041" max="12041" width="3.21875" style="2" customWidth="1"/>
    <col min="12042" max="12042" width="9.21875" style="2"/>
    <col min="12043" max="12043" width="6.21875" style="2" customWidth="1"/>
    <col min="12044" max="12044" width="3.77734375" style="2" customWidth="1"/>
    <col min="12045" max="12045" width="10.77734375" style="2" customWidth="1"/>
    <col min="12046" max="12046" width="4.21875" style="2" customWidth="1"/>
    <col min="12047" max="12047" width="12.21875" style="2" customWidth="1"/>
    <col min="12048" max="12048" width="10.21875" style="2" customWidth="1"/>
    <col min="12049" max="12049" width="9.21875" style="2" customWidth="1"/>
    <col min="12050" max="12288" width="9.21875" style="2"/>
    <col min="12289" max="12289" width="4.21875" style="2" customWidth="1"/>
    <col min="12290" max="12290" width="2.5546875" style="2" customWidth="1"/>
    <col min="12291" max="12294" width="9.21875" style="2"/>
    <col min="12295" max="12295" width="4.5546875" style="2" customWidth="1"/>
    <col min="12296" max="12296" width="10.21875" style="2" customWidth="1"/>
    <col min="12297" max="12297" width="3.21875" style="2" customWidth="1"/>
    <col min="12298" max="12298" width="9.21875" style="2"/>
    <col min="12299" max="12299" width="6.21875" style="2" customWidth="1"/>
    <col min="12300" max="12300" width="3.77734375" style="2" customWidth="1"/>
    <col min="12301" max="12301" width="10.77734375" style="2" customWidth="1"/>
    <col min="12302" max="12302" width="4.21875" style="2" customWidth="1"/>
    <col min="12303" max="12303" width="12.21875" style="2" customWidth="1"/>
    <col min="12304" max="12304" width="10.21875" style="2" customWidth="1"/>
    <col min="12305" max="12305" width="9.21875" style="2" customWidth="1"/>
    <col min="12306" max="12544" width="9.21875" style="2"/>
    <col min="12545" max="12545" width="4.21875" style="2" customWidth="1"/>
    <col min="12546" max="12546" width="2.5546875" style="2" customWidth="1"/>
    <col min="12547" max="12550" width="9.21875" style="2"/>
    <col min="12551" max="12551" width="4.5546875" style="2" customWidth="1"/>
    <col min="12552" max="12552" width="10.21875" style="2" customWidth="1"/>
    <col min="12553" max="12553" width="3.21875" style="2" customWidth="1"/>
    <col min="12554" max="12554" width="9.21875" style="2"/>
    <col min="12555" max="12555" width="6.21875" style="2" customWidth="1"/>
    <col min="12556" max="12556" width="3.77734375" style="2" customWidth="1"/>
    <col min="12557" max="12557" width="10.77734375" style="2" customWidth="1"/>
    <col min="12558" max="12558" width="4.21875" style="2" customWidth="1"/>
    <col min="12559" max="12559" width="12.21875" style="2" customWidth="1"/>
    <col min="12560" max="12560" width="10.21875" style="2" customWidth="1"/>
    <col min="12561" max="12561" width="9.21875" style="2" customWidth="1"/>
    <col min="12562" max="12800" width="9.21875" style="2"/>
    <col min="12801" max="12801" width="4.21875" style="2" customWidth="1"/>
    <col min="12802" max="12802" width="2.5546875" style="2" customWidth="1"/>
    <col min="12803" max="12806" width="9.21875" style="2"/>
    <col min="12807" max="12807" width="4.5546875" style="2" customWidth="1"/>
    <col min="12808" max="12808" width="10.21875" style="2" customWidth="1"/>
    <col min="12809" max="12809" width="3.21875" style="2" customWidth="1"/>
    <col min="12810" max="12810" width="9.21875" style="2"/>
    <col min="12811" max="12811" width="6.21875" style="2" customWidth="1"/>
    <col min="12812" max="12812" width="3.77734375" style="2" customWidth="1"/>
    <col min="12813" max="12813" width="10.77734375" style="2" customWidth="1"/>
    <col min="12814" max="12814" width="4.21875" style="2" customWidth="1"/>
    <col min="12815" max="12815" width="12.21875" style="2" customWidth="1"/>
    <col min="12816" max="12816" width="10.21875" style="2" customWidth="1"/>
    <col min="12817" max="12817" width="9.21875" style="2" customWidth="1"/>
    <col min="12818" max="13056" width="9.21875" style="2"/>
    <col min="13057" max="13057" width="4.21875" style="2" customWidth="1"/>
    <col min="13058" max="13058" width="2.5546875" style="2" customWidth="1"/>
    <col min="13059" max="13062" width="9.21875" style="2"/>
    <col min="13063" max="13063" width="4.5546875" style="2" customWidth="1"/>
    <col min="13064" max="13064" width="10.21875" style="2" customWidth="1"/>
    <col min="13065" max="13065" width="3.21875" style="2" customWidth="1"/>
    <col min="13066" max="13066" width="9.21875" style="2"/>
    <col min="13067" max="13067" width="6.21875" style="2" customWidth="1"/>
    <col min="13068" max="13068" width="3.77734375" style="2" customWidth="1"/>
    <col min="13069" max="13069" width="10.77734375" style="2" customWidth="1"/>
    <col min="13070" max="13070" width="4.21875" style="2" customWidth="1"/>
    <col min="13071" max="13071" width="12.21875" style="2" customWidth="1"/>
    <col min="13072" max="13072" width="10.21875" style="2" customWidth="1"/>
    <col min="13073" max="13073" width="9.21875" style="2" customWidth="1"/>
    <col min="13074" max="13312" width="9.21875" style="2"/>
    <col min="13313" max="13313" width="4.21875" style="2" customWidth="1"/>
    <col min="13314" max="13314" width="2.5546875" style="2" customWidth="1"/>
    <col min="13315" max="13318" width="9.21875" style="2"/>
    <col min="13319" max="13319" width="4.5546875" style="2" customWidth="1"/>
    <col min="13320" max="13320" width="10.21875" style="2" customWidth="1"/>
    <col min="13321" max="13321" width="3.21875" style="2" customWidth="1"/>
    <col min="13322" max="13322" width="9.21875" style="2"/>
    <col min="13323" max="13323" width="6.21875" style="2" customWidth="1"/>
    <col min="13324" max="13324" width="3.77734375" style="2" customWidth="1"/>
    <col min="13325" max="13325" width="10.77734375" style="2" customWidth="1"/>
    <col min="13326" max="13326" width="4.21875" style="2" customWidth="1"/>
    <col min="13327" max="13327" width="12.21875" style="2" customWidth="1"/>
    <col min="13328" max="13328" width="10.21875" style="2" customWidth="1"/>
    <col min="13329" max="13329" width="9.21875" style="2" customWidth="1"/>
    <col min="13330" max="13568" width="9.21875" style="2"/>
    <col min="13569" max="13569" width="4.21875" style="2" customWidth="1"/>
    <col min="13570" max="13570" width="2.5546875" style="2" customWidth="1"/>
    <col min="13571" max="13574" width="9.21875" style="2"/>
    <col min="13575" max="13575" width="4.5546875" style="2" customWidth="1"/>
    <col min="13576" max="13576" width="10.21875" style="2" customWidth="1"/>
    <col min="13577" max="13577" width="3.21875" style="2" customWidth="1"/>
    <col min="13578" max="13578" width="9.21875" style="2"/>
    <col min="13579" max="13579" width="6.21875" style="2" customWidth="1"/>
    <col min="13580" max="13580" width="3.77734375" style="2" customWidth="1"/>
    <col min="13581" max="13581" width="10.77734375" style="2" customWidth="1"/>
    <col min="13582" max="13582" width="4.21875" style="2" customWidth="1"/>
    <col min="13583" max="13583" width="12.21875" style="2" customWidth="1"/>
    <col min="13584" max="13584" width="10.21875" style="2" customWidth="1"/>
    <col min="13585" max="13585" width="9.21875" style="2" customWidth="1"/>
    <col min="13586" max="13824" width="9.21875" style="2"/>
    <col min="13825" max="13825" width="4.21875" style="2" customWidth="1"/>
    <col min="13826" max="13826" width="2.5546875" style="2" customWidth="1"/>
    <col min="13827" max="13830" width="9.21875" style="2"/>
    <col min="13831" max="13831" width="4.5546875" style="2" customWidth="1"/>
    <col min="13832" max="13832" width="10.21875" style="2" customWidth="1"/>
    <col min="13833" max="13833" width="3.21875" style="2" customWidth="1"/>
    <col min="13834" max="13834" width="9.21875" style="2"/>
    <col min="13835" max="13835" width="6.21875" style="2" customWidth="1"/>
    <col min="13836" max="13836" width="3.77734375" style="2" customWidth="1"/>
    <col min="13837" max="13837" width="10.77734375" style="2" customWidth="1"/>
    <col min="13838" max="13838" width="4.21875" style="2" customWidth="1"/>
    <col min="13839" max="13839" width="12.21875" style="2" customWidth="1"/>
    <col min="13840" max="13840" width="10.21875" style="2" customWidth="1"/>
    <col min="13841" max="13841" width="9.21875" style="2" customWidth="1"/>
    <col min="13842" max="14080" width="9.21875" style="2"/>
    <col min="14081" max="14081" width="4.21875" style="2" customWidth="1"/>
    <col min="14082" max="14082" width="2.5546875" style="2" customWidth="1"/>
    <col min="14083" max="14086" width="9.21875" style="2"/>
    <col min="14087" max="14087" width="4.5546875" style="2" customWidth="1"/>
    <col min="14088" max="14088" width="10.21875" style="2" customWidth="1"/>
    <col min="14089" max="14089" width="3.21875" style="2" customWidth="1"/>
    <col min="14090" max="14090" width="9.21875" style="2"/>
    <col min="14091" max="14091" width="6.21875" style="2" customWidth="1"/>
    <col min="14092" max="14092" width="3.77734375" style="2" customWidth="1"/>
    <col min="14093" max="14093" width="10.77734375" style="2" customWidth="1"/>
    <col min="14094" max="14094" width="4.21875" style="2" customWidth="1"/>
    <col min="14095" max="14095" width="12.21875" style="2" customWidth="1"/>
    <col min="14096" max="14096" width="10.21875" style="2" customWidth="1"/>
    <col min="14097" max="14097" width="9.21875" style="2" customWidth="1"/>
    <col min="14098" max="14336" width="9.21875" style="2"/>
    <col min="14337" max="14337" width="4.21875" style="2" customWidth="1"/>
    <col min="14338" max="14338" width="2.5546875" style="2" customWidth="1"/>
    <col min="14339" max="14342" width="9.21875" style="2"/>
    <col min="14343" max="14343" width="4.5546875" style="2" customWidth="1"/>
    <col min="14344" max="14344" width="10.21875" style="2" customWidth="1"/>
    <col min="14345" max="14345" width="3.21875" style="2" customWidth="1"/>
    <col min="14346" max="14346" width="9.21875" style="2"/>
    <col min="14347" max="14347" width="6.21875" style="2" customWidth="1"/>
    <col min="14348" max="14348" width="3.77734375" style="2" customWidth="1"/>
    <col min="14349" max="14349" width="10.77734375" style="2" customWidth="1"/>
    <col min="14350" max="14350" width="4.21875" style="2" customWidth="1"/>
    <col min="14351" max="14351" width="12.21875" style="2" customWidth="1"/>
    <col min="14352" max="14352" width="10.21875" style="2" customWidth="1"/>
    <col min="14353" max="14353" width="9.21875" style="2" customWidth="1"/>
    <col min="14354" max="14592" width="9.21875" style="2"/>
    <col min="14593" max="14593" width="4.21875" style="2" customWidth="1"/>
    <col min="14594" max="14594" width="2.5546875" style="2" customWidth="1"/>
    <col min="14595" max="14598" width="9.21875" style="2"/>
    <col min="14599" max="14599" width="4.5546875" style="2" customWidth="1"/>
    <col min="14600" max="14600" width="10.21875" style="2" customWidth="1"/>
    <col min="14601" max="14601" width="3.21875" style="2" customWidth="1"/>
    <col min="14602" max="14602" width="9.21875" style="2"/>
    <col min="14603" max="14603" width="6.21875" style="2" customWidth="1"/>
    <col min="14604" max="14604" width="3.77734375" style="2" customWidth="1"/>
    <col min="14605" max="14605" width="10.77734375" style="2" customWidth="1"/>
    <col min="14606" max="14606" width="4.21875" style="2" customWidth="1"/>
    <col min="14607" max="14607" width="12.21875" style="2" customWidth="1"/>
    <col min="14608" max="14608" width="10.21875" style="2" customWidth="1"/>
    <col min="14609" max="14609" width="9.21875" style="2" customWidth="1"/>
    <col min="14610" max="14848" width="9.21875" style="2"/>
    <col min="14849" max="14849" width="4.21875" style="2" customWidth="1"/>
    <col min="14850" max="14850" width="2.5546875" style="2" customWidth="1"/>
    <col min="14851" max="14854" width="9.21875" style="2"/>
    <col min="14855" max="14855" width="4.5546875" style="2" customWidth="1"/>
    <col min="14856" max="14856" width="10.21875" style="2" customWidth="1"/>
    <col min="14857" max="14857" width="3.21875" style="2" customWidth="1"/>
    <col min="14858" max="14858" width="9.21875" style="2"/>
    <col min="14859" max="14859" width="6.21875" style="2" customWidth="1"/>
    <col min="14860" max="14860" width="3.77734375" style="2" customWidth="1"/>
    <col min="14861" max="14861" width="10.77734375" style="2" customWidth="1"/>
    <col min="14862" max="14862" width="4.21875" style="2" customWidth="1"/>
    <col min="14863" max="14863" width="12.21875" style="2" customWidth="1"/>
    <col min="14864" max="14864" width="10.21875" style="2" customWidth="1"/>
    <col min="14865" max="14865" width="9.21875" style="2" customWidth="1"/>
    <col min="14866" max="15104" width="9.21875" style="2"/>
    <col min="15105" max="15105" width="4.21875" style="2" customWidth="1"/>
    <col min="15106" max="15106" width="2.5546875" style="2" customWidth="1"/>
    <col min="15107" max="15110" width="9.21875" style="2"/>
    <col min="15111" max="15111" width="4.5546875" style="2" customWidth="1"/>
    <col min="15112" max="15112" width="10.21875" style="2" customWidth="1"/>
    <col min="15113" max="15113" width="3.21875" style="2" customWidth="1"/>
    <col min="15114" max="15114" width="9.21875" style="2"/>
    <col min="15115" max="15115" width="6.21875" style="2" customWidth="1"/>
    <col min="15116" max="15116" width="3.77734375" style="2" customWidth="1"/>
    <col min="15117" max="15117" width="10.77734375" style="2" customWidth="1"/>
    <col min="15118" max="15118" width="4.21875" style="2" customWidth="1"/>
    <col min="15119" max="15119" width="12.21875" style="2" customWidth="1"/>
    <col min="15120" max="15120" width="10.21875" style="2" customWidth="1"/>
    <col min="15121" max="15121" width="9.21875" style="2" customWidth="1"/>
    <col min="15122" max="15360" width="9.21875" style="2"/>
    <col min="15361" max="15361" width="4.21875" style="2" customWidth="1"/>
    <col min="15362" max="15362" width="2.5546875" style="2" customWidth="1"/>
    <col min="15363" max="15366" width="9.21875" style="2"/>
    <col min="15367" max="15367" width="4.5546875" style="2" customWidth="1"/>
    <col min="15368" max="15368" width="10.21875" style="2" customWidth="1"/>
    <col min="15369" max="15369" width="3.21875" style="2" customWidth="1"/>
    <col min="15370" max="15370" width="9.21875" style="2"/>
    <col min="15371" max="15371" width="6.21875" style="2" customWidth="1"/>
    <col min="15372" max="15372" width="3.77734375" style="2" customWidth="1"/>
    <col min="15373" max="15373" width="10.77734375" style="2" customWidth="1"/>
    <col min="15374" max="15374" width="4.21875" style="2" customWidth="1"/>
    <col min="15375" max="15375" width="12.21875" style="2" customWidth="1"/>
    <col min="15376" max="15376" width="10.21875" style="2" customWidth="1"/>
    <col min="15377" max="15377" width="9.21875" style="2" customWidth="1"/>
    <col min="15378" max="15616" width="9.21875" style="2"/>
    <col min="15617" max="15617" width="4.21875" style="2" customWidth="1"/>
    <col min="15618" max="15618" width="2.5546875" style="2" customWidth="1"/>
    <col min="15619" max="15622" width="9.21875" style="2"/>
    <col min="15623" max="15623" width="4.5546875" style="2" customWidth="1"/>
    <col min="15624" max="15624" width="10.21875" style="2" customWidth="1"/>
    <col min="15625" max="15625" width="3.21875" style="2" customWidth="1"/>
    <col min="15626" max="15626" width="9.21875" style="2"/>
    <col min="15627" max="15627" width="6.21875" style="2" customWidth="1"/>
    <col min="15628" max="15628" width="3.77734375" style="2" customWidth="1"/>
    <col min="15629" max="15629" width="10.77734375" style="2" customWidth="1"/>
    <col min="15630" max="15630" width="4.21875" style="2" customWidth="1"/>
    <col min="15631" max="15631" width="12.21875" style="2" customWidth="1"/>
    <col min="15632" max="15632" width="10.21875" style="2" customWidth="1"/>
    <col min="15633" max="15633" width="9.21875" style="2" customWidth="1"/>
    <col min="15634" max="15872" width="9.21875" style="2"/>
    <col min="15873" max="15873" width="4.21875" style="2" customWidth="1"/>
    <col min="15874" max="15874" width="2.5546875" style="2" customWidth="1"/>
    <col min="15875" max="15878" width="9.21875" style="2"/>
    <col min="15879" max="15879" width="4.5546875" style="2" customWidth="1"/>
    <col min="15880" max="15880" width="10.21875" style="2" customWidth="1"/>
    <col min="15881" max="15881" width="3.21875" style="2" customWidth="1"/>
    <col min="15882" max="15882" width="9.21875" style="2"/>
    <col min="15883" max="15883" width="6.21875" style="2" customWidth="1"/>
    <col min="15884" max="15884" width="3.77734375" style="2" customWidth="1"/>
    <col min="15885" max="15885" width="10.77734375" style="2" customWidth="1"/>
    <col min="15886" max="15886" width="4.21875" style="2" customWidth="1"/>
    <col min="15887" max="15887" width="12.21875" style="2" customWidth="1"/>
    <col min="15888" max="15888" width="10.21875" style="2" customWidth="1"/>
    <col min="15889" max="15889" width="9.21875" style="2" customWidth="1"/>
    <col min="15890" max="16128" width="9.21875" style="2"/>
    <col min="16129" max="16129" width="4.21875" style="2" customWidth="1"/>
    <col min="16130" max="16130" width="2.5546875" style="2" customWidth="1"/>
    <col min="16131" max="16134" width="9.21875" style="2"/>
    <col min="16135" max="16135" width="4.5546875" style="2" customWidth="1"/>
    <col min="16136" max="16136" width="10.21875" style="2" customWidth="1"/>
    <col min="16137" max="16137" width="3.21875" style="2" customWidth="1"/>
    <col min="16138" max="16138" width="9.21875" style="2"/>
    <col min="16139" max="16139" width="6.21875" style="2" customWidth="1"/>
    <col min="16140" max="16140" width="3.77734375" style="2" customWidth="1"/>
    <col min="16141" max="16141" width="10.77734375" style="2" customWidth="1"/>
    <col min="16142" max="16142" width="4.21875" style="2" customWidth="1"/>
    <col min="16143" max="16143" width="12.21875" style="2" customWidth="1"/>
    <col min="16144" max="16144" width="10.21875" style="2" customWidth="1"/>
    <col min="16145" max="16145" width="9.21875" style="2" customWidth="1"/>
    <col min="16146" max="16384" width="9.21875" style="2"/>
  </cols>
  <sheetData>
    <row r="1" spans="1:18" ht="14.25" customHeight="1">
      <c r="A1" s="1220" t="s">
        <v>20</v>
      </c>
      <c r="B1" s="1220"/>
      <c r="C1" s="1220"/>
      <c r="D1" s="1220"/>
      <c r="E1" s="1220"/>
      <c r="F1" s="1220"/>
      <c r="G1" s="1220"/>
      <c r="H1" s="1220"/>
      <c r="I1" s="1220"/>
      <c r="J1" s="1220"/>
      <c r="K1" s="1220"/>
      <c r="L1" s="1220"/>
      <c r="M1" s="1220"/>
      <c r="N1" s="1220"/>
      <c r="O1" s="1220"/>
      <c r="P1" s="49"/>
      <c r="Q1" s="50"/>
      <c r="R1" s="49"/>
    </row>
    <row r="2" spans="1:18" ht="15.6">
      <c r="A2" s="1220" t="s">
        <v>21</v>
      </c>
      <c r="B2" s="1220"/>
      <c r="C2" s="1220"/>
      <c r="D2" s="1220"/>
      <c r="E2" s="1220"/>
      <c r="F2" s="1220"/>
      <c r="G2" s="1220"/>
      <c r="H2" s="1220"/>
      <c r="I2" s="1220"/>
      <c r="J2" s="1220"/>
      <c r="K2" s="1220"/>
      <c r="L2" s="1220"/>
      <c r="M2" s="1220"/>
      <c r="N2" s="1220"/>
      <c r="O2" s="1220"/>
      <c r="P2" s="49"/>
      <c r="Q2" s="50"/>
      <c r="R2" s="49"/>
    </row>
    <row r="3" spans="1:18" ht="15.6">
      <c r="A3" s="1225" t="s">
        <v>41</v>
      </c>
      <c r="B3" s="1225"/>
      <c r="C3" s="1225"/>
      <c r="D3" s="1225"/>
      <c r="E3" s="1225"/>
      <c r="F3" s="1225"/>
      <c r="G3" s="1225"/>
      <c r="H3" s="1225"/>
      <c r="I3" s="1225"/>
      <c r="J3" s="1225"/>
      <c r="K3" s="1225"/>
      <c r="L3" s="1225"/>
      <c r="M3" s="1225"/>
      <c r="N3" s="1225"/>
      <c r="O3" s="1225"/>
    </row>
    <row r="4" spans="1:18" ht="39" customHeight="1">
      <c r="A4" s="33" t="s">
        <v>22</v>
      </c>
      <c r="F4" s="34" t="s">
        <v>23</v>
      </c>
      <c r="H4" s="35" t="s">
        <v>24</v>
      </c>
      <c r="I4" s="36"/>
      <c r="J4" s="1221" t="s">
        <v>25</v>
      </c>
      <c r="K4" s="1217"/>
      <c r="M4" s="3" t="s">
        <v>26</v>
      </c>
      <c r="O4" s="37" t="s">
        <v>27</v>
      </c>
    </row>
    <row r="5" spans="1:18" ht="6.75" customHeight="1"/>
    <row r="6" spans="1:18" ht="15">
      <c r="B6" s="5" t="s">
        <v>6</v>
      </c>
      <c r="F6" s="38">
        <f>IF('Input (4)'!$E$4=0,"0",'Input (4)'!$E$4)</f>
        <v>19</v>
      </c>
      <c r="J6" s="1222">
        <f>IF('Input (4)'!E4=0,"0",'Input (4)'!E4)</f>
        <v>19</v>
      </c>
      <c r="K6" s="1222"/>
      <c r="L6" s="40" t="s">
        <v>28</v>
      </c>
      <c r="M6" s="41">
        <f>IF('Input (4)'!E4=0,0,LOOKUP(J6,'criteria (4)'!$A$3:$A$10,'criteria (4)'!$B$3:$B$10))</f>
        <v>40</v>
      </c>
      <c r="N6" s="42" t="s">
        <v>29</v>
      </c>
      <c r="O6" s="38">
        <f>IF(Q6=0,0,IF(Q6&lt;LOOKUP(J6,'criteria (4)'!$A$3:$A$10,'criteria (4)'!$C$3:$C$10),LOOKUP(J6,'criteria (4)'!$A$3:$A$10,'criteria (4)'!$C$3:$C$10),IF(LOOKUP(J6,'criteria (4)'!$A$3:$A$10,'criteria (4)'!$C$3:$C$10)=0,0,Q6)))</f>
        <v>0.6</v>
      </c>
      <c r="P6" s="28" t="str">
        <f>IF('Input (4)'!E4=0," ",IF(O6=0,"ADD to 1-6",IF(O6=Q6," ","Minimum")))</f>
        <v>Minimum</v>
      </c>
      <c r="Q6" s="32">
        <f>ROUND(IF('Input (4)'!E4=0,0,IF(M6=0,0,(J6/M6))),2)</f>
        <v>0.48</v>
      </c>
    </row>
    <row r="7" spans="1:18" ht="6.75" customHeight="1">
      <c r="J7" s="43"/>
      <c r="K7" s="43"/>
    </row>
    <row r="8" spans="1:18">
      <c r="B8" s="5" t="s">
        <v>7</v>
      </c>
      <c r="J8" s="43"/>
      <c r="K8" s="43"/>
    </row>
    <row r="9" spans="1:18">
      <c r="B9" s="28" t="s">
        <v>30</v>
      </c>
      <c r="J9" s="43"/>
      <c r="K9" s="43"/>
    </row>
    <row r="10" spans="1:18" ht="16.5" customHeight="1">
      <c r="C10" s="12" t="s">
        <v>8</v>
      </c>
      <c r="F10" s="41" t="str">
        <f>IF(J10=0," ",IF($J$15&gt;300," ",'Input (4)'!E7))</f>
        <v xml:space="preserve"> </v>
      </c>
      <c r="G10" s="44" t="s">
        <v>31</v>
      </c>
      <c r="H10" s="38" t="str">
        <f>IF(J10=0," ",'C (4)'!H25)</f>
        <v xml:space="preserve"> </v>
      </c>
      <c r="I10" s="42" t="s">
        <v>29</v>
      </c>
      <c r="J10" s="1222">
        <f>IF('Input (4)'!E7=0,0,IF(SUM('Input (4)'!E7-'C (4)'!H25)+SUM('Input (4)'!E8-'C (4)'!H26)&gt;299.99,SUM('Input (4)'!E7-'C (4)'!H25),0))</f>
        <v>0</v>
      </c>
      <c r="K10" s="1222"/>
      <c r="L10" s="40" t="s">
        <v>28</v>
      </c>
      <c r="M10" s="41">
        <f>IF(SUM('Input (4)'!$E$7-'C (4)'!$H$25)+SUM('Input (4)'!$E$8-'C (4)'!$H$26)&gt;299.99,20,0)</f>
        <v>0</v>
      </c>
      <c r="N10" s="42" t="s">
        <v>29</v>
      </c>
      <c r="O10" s="41">
        <f>ROUND(IF(SUM('Input (4)'!$E$7-'C (4)'!$H$25)+SUM('Input (4)'!$E$8-'C (4)'!$H$26)&lt;299.99,0,IF(Q10+Q12&lt;15,0,(J10/M10))),2)</f>
        <v>0</v>
      </c>
      <c r="P10" s="2" t="str">
        <f>IF(O10=0," ",IF(O10=Q10," ","Minimum"))</f>
        <v xml:space="preserve"> </v>
      </c>
      <c r="Q10" s="32">
        <f>ROUND(IF(SUM('Input (4)'!$E$7-'C (4)'!$H$25)+SUM('Input (4)'!$E$8-'C (4)'!$H$26)&lt;299.99,0,(J10/M10)),2)</f>
        <v>0</v>
      </c>
    </row>
    <row r="11" spans="1:18" ht="10.5" customHeight="1">
      <c r="B11" s="12"/>
      <c r="J11" s="43"/>
      <c r="K11" s="43"/>
    </row>
    <row r="12" spans="1:18" ht="15">
      <c r="C12" s="12" t="s">
        <v>9</v>
      </c>
      <c r="F12" s="41" t="str">
        <f>IF(J12=0," ",IF($J$15&gt;300," ",'Input (4)'!E8))</f>
        <v xml:space="preserve"> </v>
      </c>
      <c r="G12" s="44" t="s">
        <v>31</v>
      </c>
      <c r="H12" s="38" t="str">
        <f>IF(J12=0," ",'C (4)'!H26)</f>
        <v xml:space="preserve"> </v>
      </c>
      <c r="I12" s="42" t="s">
        <v>29</v>
      </c>
      <c r="J12" s="1222">
        <f>IF('Input (4)'!E8=0,0,IF(SUM('Input (4)'!E7-'C (4)'!H25)+SUM('Input (4)'!E8-'C (4)'!H26)&gt;299.99,SUM('Input (4)'!E8-'C (4)'!H26),0))</f>
        <v>0</v>
      </c>
      <c r="K12" s="1222"/>
      <c r="L12" s="40" t="s">
        <v>28</v>
      </c>
      <c r="M12" s="41">
        <f>IF(SUM('Input (4)'!$E$7-'C (4)'!$H$25)+SUM('Input (4)'!$E$8-'C (4)'!$H$26)&gt;299.99,23,0)</f>
        <v>0</v>
      </c>
      <c r="N12" s="42" t="s">
        <v>29</v>
      </c>
      <c r="O12" s="41">
        <f>ROUND(IF(SUM('Input (4)'!$E$7-'C (4)'!$H$25)+SUM('Input (4)'!$E$8-'C (4)'!$H$26)&lt;299.99,0,IF(Q10+Q12&lt;15,0,($J$12/$M$12))),2)</f>
        <v>0</v>
      </c>
      <c r="P12" s="2" t="str">
        <f>IF(O12=0," ",IF(O12=Q12," ","Minimum"))</f>
        <v xml:space="preserve"> </v>
      </c>
      <c r="Q12" s="32">
        <f>ROUND(IF(SUM('Input (4)'!$E$7-'C (4)'!$H$25)+SUM('Input (4)'!$E$8-'C (4)'!$H$26)&lt;299.99,0,($J$12/$M$12)),2)</f>
        <v>0</v>
      </c>
    </row>
    <row r="13" spans="1:18">
      <c r="O13" s="36" t="str">
        <f>IF(P13="Minimum",15," ")</f>
        <v xml:space="preserve"> </v>
      </c>
      <c r="P13" s="2" t="str">
        <f>IF(Q10+Q12=0," ",IF(Q10+Q12&lt;15,"Minimum"," "))</f>
        <v xml:space="preserve"> </v>
      </c>
    </row>
    <row r="14" spans="1:18">
      <c r="B14" s="5" t="s">
        <v>7</v>
      </c>
    </row>
    <row r="15" spans="1:18">
      <c r="B15" s="28" t="s">
        <v>32</v>
      </c>
    </row>
    <row r="16" spans="1:18" ht="15">
      <c r="C16" s="12" t="s">
        <v>33</v>
      </c>
      <c r="F16" s="41">
        <f>IF(J16=0," ",IF(J16&lt;300,SUM('Input (4)'!E7+'Input (4)'!E8)," "))</f>
        <v>98.8</v>
      </c>
      <c r="G16" s="44" t="s">
        <v>31</v>
      </c>
      <c r="H16" s="38">
        <f>IF(J16=0," ",'C (4)'!H22)</f>
        <v>7.4399999999999995</v>
      </c>
      <c r="I16" s="42" t="s">
        <v>29</v>
      </c>
      <c r="J16" s="1222">
        <f>IF('Input (4)'!E9=0,0,IF(SUM('Input (4)'!E7-'C (4)'!H25)+SUM('Input (4)'!E8-'C (4)'!H26)&lt;300,IF(P6="ADD to 1-6",SUM('Input (4)'!E7-'C (4)'!H25)+SUM('Input (4)'!E8-'C (4)'!H26)+'Input (4)'!E4,SUM('Input (4)'!E7-'C (4)'!H25)+SUM('Input (4)'!E8-'C (4)'!H26)),0))</f>
        <v>91.359999999999985</v>
      </c>
      <c r="K16" s="1222"/>
      <c r="L16" s="40" t="s">
        <v>28</v>
      </c>
      <c r="M16" s="41">
        <f>IF(J16=0,0,LOOKUP(J16,'criteria (4)'!$M$3:$M$11,'criteria (4)'!$N$3:$N$11))</f>
        <v>16</v>
      </c>
      <c r="N16" s="42" t="s">
        <v>29</v>
      </c>
      <c r="O16" s="38">
        <f>IF(Q16=0,0,IF(Q16&lt;LOOKUP(J16,'criteria (4)'!$M$3:$M$10,'criteria (4)'!$O$3:$O$10),LOOKUP(J16,'criteria (4)'!$M$3:$M$10,'criteria (4)'!$O$3:$O$10),Q16))</f>
        <v>5.71</v>
      </c>
      <c r="P16" s="2" t="str">
        <f>IF(O16=0," ",IF(O16=Q16," ","Minimum"))</f>
        <v xml:space="preserve"> </v>
      </c>
      <c r="Q16" s="32">
        <f>ROUND(IF('Input (4)'!E9=0,0,IF(SUM('Input (4)'!$E$7-'C (4)'!$H$25)+SUM('Input (4)'!$E$8-'C (4)'!$H$26)&gt;299.99,0,(J16/M16))),2)</f>
        <v>5.71</v>
      </c>
    </row>
    <row r="17" spans="1:17" ht="6" customHeight="1">
      <c r="J17" s="43"/>
      <c r="K17" s="43"/>
    </row>
    <row r="18" spans="1:17" ht="15">
      <c r="B18" s="5" t="s">
        <v>10</v>
      </c>
      <c r="F18" s="38">
        <f>IF('Input (4)'!$E$10=0,0,'Input (4)'!$E$10)</f>
        <v>123.5</v>
      </c>
      <c r="G18" s="44" t="s">
        <v>31</v>
      </c>
      <c r="H18" s="51"/>
      <c r="I18" s="42" t="s">
        <v>29</v>
      </c>
      <c r="J18" s="1222">
        <f>IF('Input (4)'!$E$10=0,0,'Input (4)'!$E$10)</f>
        <v>123.5</v>
      </c>
      <c r="K18" s="1222"/>
      <c r="L18" s="40" t="s">
        <v>28</v>
      </c>
      <c r="M18" s="41">
        <f>IF('Input (4)'!C10=0,0,IF(J18&gt;99.99,LOOKUP(J18,'criteria (4)'!Q3:Q10,'criteria (4)'!R3:R10),12))</f>
        <v>12</v>
      </c>
      <c r="N18" s="42" t="s">
        <v>29</v>
      </c>
      <c r="O18" s="41">
        <f>ROUND(IF(J18=0,0,IF(J18&lt;99.99,IF(M18=0,8,(J18/M18)),IF(Q18&lt;LOOKUP(J18,'criteria (4)'!$Q$3:$Q$10,'criteria (4)'!$S$3:$S$10),LOOKUP(J18,'criteria (4)'!$Q$3:$Q$10,'criteria (4)'!$S$3:$S$10),Q18))),2)</f>
        <v>10.29</v>
      </c>
      <c r="P18" s="2" t="str">
        <f>IF(O18=0," ",IF(O18=Q18," ","Minimum"))</f>
        <v xml:space="preserve"> </v>
      </c>
      <c r="Q18" s="32">
        <f>ROUND(IF(M18=0,0,(J18/M18)),2)</f>
        <v>10.29</v>
      </c>
    </row>
    <row r="19" spans="1:17">
      <c r="B19" s="5"/>
      <c r="J19" s="39"/>
      <c r="K19" s="39"/>
      <c r="M19" s="36"/>
      <c r="N19" s="42"/>
      <c r="O19" s="36"/>
    </row>
    <row r="20" spans="1:17" ht="15">
      <c r="A20" s="45" t="s">
        <v>34</v>
      </c>
      <c r="J20" s="43"/>
      <c r="K20" s="43"/>
    </row>
    <row r="21" spans="1:17" ht="3.75" customHeight="1">
      <c r="J21" s="43"/>
      <c r="K21" s="43"/>
    </row>
    <row r="22" spans="1:17">
      <c r="B22" s="2" t="s">
        <v>35</v>
      </c>
      <c r="J22" s="1222" t="str">
        <f>IF('C (4)'!H55=0," ",'C (4)'!H55)</f>
        <v xml:space="preserve"> </v>
      </c>
      <c r="K22" s="1222"/>
    </row>
    <row r="23" spans="1:17" ht="7.5" customHeight="1">
      <c r="J23" s="43"/>
      <c r="K23" s="43"/>
    </row>
    <row r="24" spans="1:17">
      <c r="B24" s="2" t="s">
        <v>36</v>
      </c>
      <c r="J24" s="1222">
        <f>IF('C (4)'!H22=0," ",'C (4)'!H22)</f>
        <v>7.4399999999999995</v>
      </c>
      <c r="K24" s="1222"/>
    </row>
    <row r="25" spans="1:17" ht="7.5" customHeight="1">
      <c r="J25" s="43"/>
      <c r="K25" s="43"/>
    </row>
    <row r="26" spans="1:17">
      <c r="B26" s="2" t="s">
        <v>37</v>
      </c>
      <c r="J26" s="1222">
        <f>0</f>
        <v>0</v>
      </c>
      <c r="K26" s="1222"/>
    </row>
    <row r="27" spans="1:17" ht="7.5" customHeight="1">
      <c r="J27" s="43"/>
      <c r="K27" s="43"/>
    </row>
    <row r="28" spans="1:17" ht="6" customHeight="1">
      <c r="J28" s="39"/>
      <c r="K28" s="39"/>
    </row>
    <row r="29" spans="1:17" ht="15.6" thickBot="1">
      <c r="B29" s="46" t="s">
        <v>38</v>
      </c>
      <c r="J29" s="1219">
        <f>SUM(J22:K27)</f>
        <v>7.4399999999999995</v>
      </c>
      <c r="K29" s="1219"/>
      <c r="L29" s="40" t="s">
        <v>28</v>
      </c>
      <c r="M29" s="41">
        <f>IF(SUM('Input (4)'!C4:C10)=0,0,IF(J29&gt;=14,LOOKUP(J29,'criteria (4)'!$U$3:$U$10,'criteria (4)'!$V$3:$V$10),0))</f>
        <v>0</v>
      </c>
      <c r="N29" s="42" t="s">
        <v>29</v>
      </c>
      <c r="O29" s="41">
        <f>IF(J29=0,0,IF(Q29&lt;LOOKUP(J29,'criteria (4)'!$U$3:$U$10,'criteria (4)'!$W$3:$W$10),LOOKUP(J29,'criteria (4)'!$U$3:$U$10,'criteria (4)'!$W$3:$W$10),Q29))</f>
        <v>0.5</v>
      </c>
      <c r="P29" s="2" t="str">
        <f>IF(O29=0," ",IF(O29=Q29," ","Minimum"))</f>
        <v>Minimum</v>
      </c>
      <c r="Q29" s="32">
        <f>ROUND(IF(SUM('Input (4)'!C4:C10)=0,0,IF(M29=0,0,(J29/M29))),2)</f>
        <v>0</v>
      </c>
    </row>
    <row r="30" spans="1:17" ht="11.25" customHeight="1" thickTop="1">
      <c r="B30" s="46"/>
      <c r="J30" s="39"/>
      <c r="K30" s="39"/>
      <c r="L30" s="40"/>
      <c r="M30" s="36"/>
      <c r="N30" s="42"/>
      <c r="O30" s="36"/>
    </row>
    <row r="31" spans="1:17" ht="19.5" customHeight="1">
      <c r="A31" s="48" t="s">
        <v>39</v>
      </c>
    </row>
    <row r="32" spans="1:17" ht="15">
      <c r="B32" s="1223" t="str">
        <f>IF('Input (4)'!E14=0," ","Alternative Secondary High School")</f>
        <v xml:space="preserve"> </v>
      </c>
      <c r="C32" s="1223"/>
      <c r="D32" s="1223"/>
      <c r="E32" s="1223"/>
      <c r="F32" s="1223"/>
      <c r="G32" s="1223"/>
      <c r="H32" s="1223"/>
      <c r="J32" s="1222">
        <f>'Input (4)'!E14</f>
        <v>0</v>
      </c>
      <c r="K32" s="1222"/>
      <c r="L32" s="40" t="s">
        <v>28</v>
      </c>
      <c r="M32" s="41">
        <f>IF(J32=0,0,IF(Q32&lt;1,M18,12))</f>
        <v>0</v>
      </c>
      <c r="N32" s="42" t="s">
        <v>29</v>
      </c>
      <c r="O32" s="38">
        <f>ROUND(IF(J32=0,0,J32/M32),2)</f>
        <v>0</v>
      </c>
      <c r="P32" s="45"/>
      <c r="Q32" s="32">
        <f>ROUND(IF(J32=0,0,J32/12),2)</f>
        <v>0</v>
      </c>
    </row>
    <row r="33" spans="1:17" ht="11.25" customHeight="1">
      <c r="J33" s="43"/>
      <c r="K33" s="43"/>
      <c r="O33" s="43"/>
    </row>
    <row r="34" spans="1:17" ht="11.25" customHeight="1">
      <c r="B34" s="1223" t="str">
        <f>IF('Input (4)'!E15=0," ","Summer Alternative Secondary High School")</f>
        <v xml:space="preserve"> </v>
      </c>
      <c r="C34" s="1223"/>
      <c r="D34" s="1223"/>
      <c r="E34" s="1223"/>
      <c r="F34" s="1223"/>
      <c r="G34" s="1223"/>
      <c r="J34" s="1222">
        <f>'Input (4)'!E15</f>
        <v>0</v>
      </c>
      <c r="K34" s="1222"/>
      <c r="L34" s="40" t="s">
        <v>28</v>
      </c>
      <c r="M34" s="41">
        <f>IF(J34=0,0,40)</f>
        <v>0</v>
      </c>
      <c r="N34" s="42" t="s">
        <v>29</v>
      </c>
      <c r="O34" s="38">
        <f>ROUND(IF(J34=0,0,J34/M34),2)</f>
        <v>0</v>
      </c>
      <c r="P34" s="45"/>
      <c r="Q34" s="32">
        <f>ROUND(IF(J34=0,0,J34/12),2)</f>
        <v>0</v>
      </c>
    </row>
    <row r="35" spans="1:17" ht="13.5" customHeight="1">
      <c r="J35" s="36"/>
      <c r="K35" s="36"/>
      <c r="L35" s="40"/>
      <c r="M35" s="36"/>
      <c r="N35" s="42"/>
      <c r="O35" s="36"/>
      <c r="P35" s="46"/>
    </row>
    <row r="36" spans="1:17" ht="18.75" customHeight="1" thickBot="1">
      <c r="A36" s="45"/>
      <c r="B36" s="12" t="s">
        <v>40</v>
      </c>
      <c r="C36" s="46"/>
      <c r="D36" s="46"/>
      <c r="E36" s="46"/>
      <c r="F36" s="46"/>
      <c r="G36" s="46"/>
      <c r="H36" s="46"/>
      <c r="I36" s="46"/>
      <c r="J36" s="46"/>
      <c r="K36" s="46"/>
      <c r="M36" s="36" t="s">
        <v>29</v>
      </c>
      <c r="N36" s="1224">
        <f>ROUND(IF(SUM(O6:O34)=0,0,SUM(O6:O34)),2)</f>
        <v>17.100000000000001</v>
      </c>
      <c r="O36" s="1224"/>
    </row>
    <row r="37" spans="1:17" ht="13.8" thickTop="1">
      <c r="M37" s="1218" t="str">
        <f>IF(N36=0," ",IF(N36&lt;'Current Year (4)'!N36,"Do Not Use","You May Use this Calculation"))</f>
        <v>You May Use this Calculation</v>
      </c>
      <c r="N37" s="1218"/>
      <c r="O37" s="1218"/>
      <c r="P37" s="1218"/>
    </row>
  </sheetData>
  <sheetProtection password="CC16" sheet="1" objects="1" scenarios="1"/>
  <mergeCells count="19">
    <mergeCell ref="M37:P37"/>
    <mergeCell ref="J29:K29"/>
    <mergeCell ref="B32:H32"/>
    <mergeCell ref="J32:K32"/>
    <mergeCell ref="B34:G34"/>
    <mergeCell ref="J34:K34"/>
    <mergeCell ref="N36:O36"/>
    <mergeCell ref="J26:K26"/>
    <mergeCell ref="A1:O1"/>
    <mergeCell ref="A2:O2"/>
    <mergeCell ref="A3:O3"/>
    <mergeCell ref="J4:K4"/>
    <mergeCell ref="J6:K6"/>
    <mergeCell ref="J10:K10"/>
    <mergeCell ref="J12:K12"/>
    <mergeCell ref="J16:K16"/>
    <mergeCell ref="J18:K18"/>
    <mergeCell ref="J22:K22"/>
    <mergeCell ref="J24:K24"/>
  </mergeCells>
  <conditionalFormatting sqref="M37:P37">
    <cfRule type="cellIs" dxfId="31" priority="1" stopIfTrue="1" operator="equal">
      <formula>"Do Not Use"</formula>
    </cfRule>
    <cfRule type="cellIs" dxfId="30" priority="2" stopIfTrue="1" operator="equal">
      <formula>"You May Use this Calculation"</formula>
    </cfRule>
  </conditionalFormatting>
  <pageMargins left="0.5" right="0.5" top="0.5" bottom="0.5" header="0.25" footer="0.25"/>
  <pageSetup scale="82" orientation="portrait" r:id="rId1"/>
  <headerFooter alignWithMargins="0">
    <oddFooter>&amp;L&amp;F</oddFooter>
  </headerFooter>
  <colBreaks count="1" manualBreakCount="1">
    <brk id="16"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0"/>
  <dimension ref="A1:R37"/>
  <sheetViews>
    <sheetView showGridLines="0" zoomScale="90" zoomScaleNormal="100" workbookViewId="0">
      <selection activeCell="C4" sqref="C4"/>
    </sheetView>
  </sheetViews>
  <sheetFormatPr defaultRowHeight="13.2"/>
  <cols>
    <col min="1" max="1" width="4.21875" style="30" customWidth="1"/>
    <col min="2" max="2" width="2.5546875" style="2" customWidth="1"/>
    <col min="3" max="4" width="9.21875" style="2"/>
    <col min="5" max="5" width="7.21875" style="2" customWidth="1"/>
    <col min="6" max="6" width="8.21875" style="2" customWidth="1"/>
    <col min="7" max="8" width="10.21875" style="2" customWidth="1"/>
    <col min="9" max="9" width="3.77734375" style="2" customWidth="1"/>
    <col min="10" max="10" width="9.21875" style="2"/>
    <col min="11" max="11" width="6.21875" style="2" customWidth="1"/>
    <col min="12" max="12" width="5.5546875" style="2" customWidth="1"/>
    <col min="13" max="13" width="10.77734375" style="2" customWidth="1"/>
    <col min="14" max="14" width="8.21875" style="2" customWidth="1"/>
    <col min="15" max="15" width="12.21875" style="2" customWidth="1"/>
    <col min="16" max="16" width="10.21875" style="2" customWidth="1"/>
    <col min="17" max="17" width="9.21875" style="32" customWidth="1"/>
    <col min="18" max="256" width="9.21875" style="2"/>
    <col min="257" max="257" width="4.21875" style="2" customWidth="1"/>
    <col min="258" max="258" width="2.5546875" style="2" customWidth="1"/>
    <col min="259" max="260" width="9.21875" style="2"/>
    <col min="261" max="261" width="7.21875" style="2" customWidth="1"/>
    <col min="262" max="262" width="8.21875" style="2" customWidth="1"/>
    <col min="263" max="264" width="10.21875" style="2" customWidth="1"/>
    <col min="265" max="265" width="3.77734375" style="2" customWidth="1"/>
    <col min="266" max="266" width="9.21875" style="2"/>
    <col min="267" max="267" width="6.21875" style="2" customWidth="1"/>
    <col min="268" max="268" width="5.5546875" style="2" customWidth="1"/>
    <col min="269" max="269" width="10.77734375" style="2" customWidth="1"/>
    <col min="270" max="270" width="8.21875" style="2" customWidth="1"/>
    <col min="271" max="271" width="12.21875" style="2" customWidth="1"/>
    <col min="272" max="272" width="10.21875" style="2" customWidth="1"/>
    <col min="273" max="273" width="9.21875" style="2" customWidth="1"/>
    <col min="274" max="512" width="9.21875" style="2"/>
    <col min="513" max="513" width="4.21875" style="2" customWidth="1"/>
    <col min="514" max="514" width="2.5546875" style="2" customWidth="1"/>
    <col min="515" max="516" width="9.21875" style="2"/>
    <col min="517" max="517" width="7.21875" style="2" customWidth="1"/>
    <col min="518" max="518" width="8.21875" style="2" customWidth="1"/>
    <col min="519" max="520" width="10.21875" style="2" customWidth="1"/>
    <col min="521" max="521" width="3.77734375" style="2" customWidth="1"/>
    <col min="522" max="522" width="9.21875" style="2"/>
    <col min="523" max="523" width="6.21875" style="2" customWidth="1"/>
    <col min="524" max="524" width="5.5546875" style="2" customWidth="1"/>
    <col min="525" max="525" width="10.77734375" style="2" customWidth="1"/>
    <col min="526" max="526" width="8.21875" style="2" customWidth="1"/>
    <col min="527" max="527" width="12.21875" style="2" customWidth="1"/>
    <col min="528" max="528" width="10.21875" style="2" customWidth="1"/>
    <col min="529" max="529" width="9.21875" style="2" customWidth="1"/>
    <col min="530" max="768" width="9.21875" style="2"/>
    <col min="769" max="769" width="4.21875" style="2" customWidth="1"/>
    <col min="770" max="770" width="2.5546875" style="2" customWidth="1"/>
    <col min="771" max="772" width="9.21875" style="2"/>
    <col min="773" max="773" width="7.21875" style="2" customWidth="1"/>
    <col min="774" max="774" width="8.21875" style="2" customWidth="1"/>
    <col min="775" max="776" width="10.21875" style="2" customWidth="1"/>
    <col min="777" max="777" width="3.77734375" style="2" customWidth="1"/>
    <col min="778" max="778" width="9.21875" style="2"/>
    <col min="779" max="779" width="6.21875" style="2" customWidth="1"/>
    <col min="780" max="780" width="5.5546875" style="2" customWidth="1"/>
    <col min="781" max="781" width="10.77734375" style="2" customWidth="1"/>
    <col min="782" max="782" width="8.21875" style="2" customWidth="1"/>
    <col min="783" max="783" width="12.21875" style="2" customWidth="1"/>
    <col min="784" max="784" width="10.21875" style="2" customWidth="1"/>
    <col min="785" max="785" width="9.21875" style="2" customWidth="1"/>
    <col min="786" max="1024" width="9.21875" style="2"/>
    <col min="1025" max="1025" width="4.21875" style="2" customWidth="1"/>
    <col min="1026" max="1026" width="2.5546875" style="2" customWidth="1"/>
    <col min="1027" max="1028" width="9.21875" style="2"/>
    <col min="1029" max="1029" width="7.21875" style="2" customWidth="1"/>
    <col min="1030" max="1030" width="8.21875" style="2" customWidth="1"/>
    <col min="1031" max="1032" width="10.21875" style="2" customWidth="1"/>
    <col min="1033" max="1033" width="3.77734375" style="2" customWidth="1"/>
    <col min="1034" max="1034" width="9.21875" style="2"/>
    <col min="1035" max="1035" width="6.21875" style="2" customWidth="1"/>
    <col min="1036" max="1036" width="5.5546875" style="2" customWidth="1"/>
    <col min="1037" max="1037" width="10.77734375" style="2" customWidth="1"/>
    <col min="1038" max="1038" width="8.21875" style="2" customWidth="1"/>
    <col min="1039" max="1039" width="12.21875" style="2" customWidth="1"/>
    <col min="1040" max="1040" width="10.21875" style="2" customWidth="1"/>
    <col min="1041" max="1041" width="9.21875" style="2" customWidth="1"/>
    <col min="1042" max="1280" width="9.21875" style="2"/>
    <col min="1281" max="1281" width="4.21875" style="2" customWidth="1"/>
    <col min="1282" max="1282" width="2.5546875" style="2" customWidth="1"/>
    <col min="1283" max="1284" width="9.21875" style="2"/>
    <col min="1285" max="1285" width="7.21875" style="2" customWidth="1"/>
    <col min="1286" max="1286" width="8.21875" style="2" customWidth="1"/>
    <col min="1287" max="1288" width="10.21875" style="2" customWidth="1"/>
    <col min="1289" max="1289" width="3.77734375" style="2" customWidth="1"/>
    <col min="1290" max="1290" width="9.21875" style="2"/>
    <col min="1291" max="1291" width="6.21875" style="2" customWidth="1"/>
    <col min="1292" max="1292" width="5.5546875" style="2" customWidth="1"/>
    <col min="1293" max="1293" width="10.77734375" style="2" customWidth="1"/>
    <col min="1294" max="1294" width="8.21875" style="2" customWidth="1"/>
    <col min="1295" max="1295" width="12.21875" style="2" customWidth="1"/>
    <col min="1296" max="1296" width="10.21875" style="2" customWidth="1"/>
    <col min="1297" max="1297" width="9.21875" style="2" customWidth="1"/>
    <col min="1298" max="1536" width="9.21875" style="2"/>
    <col min="1537" max="1537" width="4.21875" style="2" customWidth="1"/>
    <col min="1538" max="1538" width="2.5546875" style="2" customWidth="1"/>
    <col min="1539" max="1540" width="9.21875" style="2"/>
    <col min="1541" max="1541" width="7.21875" style="2" customWidth="1"/>
    <col min="1542" max="1542" width="8.21875" style="2" customWidth="1"/>
    <col min="1543" max="1544" width="10.21875" style="2" customWidth="1"/>
    <col min="1545" max="1545" width="3.77734375" style="2" customWidth="1"/>
    <col min="1546" max="1546" width="9.21875" style="2"/>
    <col min="1547" max="1547" width="6.21875" style="2" customWidth="1"/>
    <col min="1548" max="1548" width="5.5546875" style="2" customWidth="1"/>
    <col min="1549" max="1549" width="10.77734375" style="2" customWidth="1"/>
    <col min="1550" max="1550" width="8.21875" style="2" customWidth="1"/>
    <col min="1551" max="1551" width="12.21875" style="2" customWidth="1"/>
    <col min="1552" max="1552" width="10.21875" style="2" customWidth="1"/>
    <col min="1553" max="1553" width="9.21875" style="2" customWidth="1"/>
    <col min="1554" max="1792" width="9.21875" style="2"/>
    <col min="1793" max="1793" width="4.21875" style="2" customWidth="1"/>
    <col min="1794" max="1794" width="2.5546875" style="2" customWidth="1"/>
    <col min="1795" max="1796" width="9.21875" style="2"/>
    <col min="1797" max="1797" width="7.21875" style="2" customWidth="1"/>
    <col min="1798" max="1798" width="8.21875" style="2" customWidth="1"/>
    <col min="1799" max="1800" width="10.21875" style="2" customWidth="1"/>
    <col min="1801" max="1801" width="3.77734375" style="2" customWidth="1"/>
    <col min="1802" max="1802" width="9.21875" style="2"/>
    <col min="1803" max="1803" width="6.21875" style="2" customWidth="1"/>
    <col min="1804" max="1804" width="5.5546875" style="2" customWidth="1"/>
    <col min="1805" max="1805" width="10.77734375" style="2" customWidth="1"/>
    <col min="1806" max="1806" width="8.21875" style="2" customWidth="1"/>
    <col min="1807" max="1807" width="12.21875" style="2" customWidth="1"/>
    <col min="1808" max="1808" width="10.21875" style="2" customWidth="1"/>
    <col min="1809" max="1809" width="9.21875" style="2" customWidth="1"/>
    <col min="1810" max="2048" width="9.21875" style="2"/>
    <col min="2049" max="2049" width="4.21875" style="2" customWidth="1"/>
    <col min="2050" max="2050" width="2.5546875" style="2" customWidth="1"/>
    <col min="2051" max="2052" width="9.21875" style="2"/>
    <col min="2053" max="2053" width="7.21875" style="2" customWidth="1"/>
    <col min="2054" max="2054" width="8.21875" style="2" customWidth="1"/>
    <col min="2055" max="2056" width="10.21875" style="2" customWidth="1"/>
    <col min="2057" max="2057" width="3.77734375" style="2" customWidth="1"/>
    <col min="2058" max="2058" width="9.21875" style="2"/>
    <col min="2059" max="2059" width="6.21875" style="2" customWidth="1"/>
    <col min="2060" max="2060" width="5.5546875" style="2" customWidth="1"/>
    <col min="2061" max="2061" width="10.77734375" style="2" customWidth="1"/>
    <col min="2062" max="2062" width="8.21875" style="2" customWidth="1"/>
    <col min="2063" max="2063" width="12.21875" style="2" customWidth="1"/>
    <col min="2064" max="2064" width="10.21875" style="2" customWidth="1"/>
    <col min="2065" max="2065" width="9.21875" style="2" customWidth="1"/>
    <col min="2066" max="2304" width="9.21875" style="2"/>
    <col min="2305" max="2305" width="4.21875" style="2" customWidth="1"/>
    <col min="2306" max="2306" width="2.5546875" style="2" customWidth="1"/>
    <col min="2307" max="2308" width="9.21875" style="2"/>
    <col min="2309" max="2309" width="7.21875" style="2" customWidth="1"/>
    <col min="2310" max="2310" width="8.21875" style="2" customWidth="1"/>
    <col min="2311" max="2312" width="10.21875" style="2" customWidth="1"/>
    <col min="2313" max="2313" width="3.77734375" style="2" customWidth="1"/>
    <col min="2314" max="2314" width="9.21875" style="2"/>
    <col min="2315" max="2315" width="6.21875" style="2" customWidth="1"/>
    <col min="2316" max="2316" width="5.5546875" style="2" customWidth="1"/>
    <col min="2317" max="2317" width="10.77734375" style="2" customWidth="1"/>
    <col min="2318" max="2318" width="8.21875" style="2" customWidth="1"/>
    <col min="2319" max="2319" width="12.21875" style="2" customWidth="1"/>
    <col min="2320" max="2320" width="10.21875" style="2" customWidth="1"/>
    <col min="2321" max="2321" width="9.21875" style="2" customWidth="1"/>
    <col min="2322" max="2560" width="9.21875" style="2"/>
    <col min="2561" max="2561" width="4.21875" style="2" customWidth="1"/>
    <col min="2562" max="2562" width="2.5546875" style="2" customWidth="1"/>
    <col min="2563" max="2564" width="9.21875" style="2"/>
    <col min="2565" max="2565" width="7.21875" style="2" customWidth="1"/>
    <col min="2566" max="2566" width="8.21875" style="2" customWidth="1"/>
    <col min="2567" max="2568" width="10.21875" style="2" customWidth="1"/>
    <col min="2569" max="2569" width="3.77734375" style="2" customWidth="1"/>
    <col min="2570" max="2570" width="9.21875" style="2"/>
    <col min="2571" max="2571" width="6.21875" style="2" customWidth="1"/>
    <col min="2572" max="2572" width="5.5546875" style="2" customWidth="1"/>
    <col min="2573" max="2573" width="10.77734375" style="2" customWidth="1"/>
    <col min="2574" max="2574" width="8.21875" style="2" customWidth="1"/>
    <col min="2575" max="2575" width="12.21875" style="2" customWidth="1"/>
    <col min="2576" max="2576" width="10.21875" style="2" customWidth="1"/>
    <col min="2577" max="2577" width="9.21875" style="2" customWidth="1"/>
    <col min="2578" max="2816" width="9.21875" style="2"/>
    <col min="2817" max="2817" width="4.21875" style="2" customWidth="1"/>
    <col min="2818" max="2818" width="2.5546875" style="2" customWidth="1"/>
    <col min="2819" max="2820" width="9.21875" style="2"/>
    <col min="2821" max="2821" width="7.21875" style="2" customWidth="1"/>
    <col min="2822" max="2822" width="8.21875" style="2" customWidth="1"/>
    <col min="2823" max="2824" width="10.21875" style="2" customWidth="1"/>
    <col min="2825" max="2825" width="3.77734375" style="2" customWidth="1"/>
    <col min="2826" max="2826" width="9.21875" style="2"/>
    <col min="2827" max="2827" width="6.21875" style="2" customWidth="1"/>
    <col min="2828" max="2828" width="5.5546875" style="2" customWidth="1"/>
    <col min="2829" max="2829" width="10.77734375" style="2" customWidth="1"/>
    <col min="2830" max="2830" width="8.21875" style="2" customWidth="1"/>
    <col min="2831" max="2831" width="12.21875" style="2" customWidth="1"/>
    <col min="2832" max="2832" width="10.21875" style="2" customWidth="1"/>
    <col min="2833" max="2833" width="9.21875" style="2" customWidth="1"/>
    <col min="2834" max="3072" width="9.21875" style="2"/>
    <col min="3073" max="3073" width="4.21875" style="2" customWidth="1"/>
    <col min="3074" max="3074" width="2.5546875" style="2" customWidth="1"/>
    <col min="3075" max="3076" width="9.21875" style="2"/>
    <col min="3077" max="3077" width="7.21875" style="2" customWidth="1"/>
    <col min="3078" max="3078" width="8.21875" style="2" customWidth="1"/>
    <col min="3079" max="3080" width="10.21875" style="2" customWidth="1"/>
    <col min="3081" max="3081" width="3.77734375" style="2" customWidth="1"/>
    <col min="3082" max="3082" width="9.21875" style="2"/>
    <col min="3083" max="3083" width="6.21875" style="2" customWidth="1"/>
    <col min="3084" max="3084" width="5.5546875" style="2" customWidth="1"/>
    <col min="3085" max="3085" width="10.77734375" style="2" customWidth="1"/>
    <col min="3086" max="3086" width="8.21875" style="2" customWidth="1"/>
    <col min="3087" max="3087" width="12.21875" style="2" customWidth="1"/>
    <col min="3088" max="3088" width="10.21875" style="2" customWidth="1"/>
    <col min="3089" max="3089" width="9.21875" style="2" customWidth="1"/>
    <col min="3090" max="3328" width="9.21875" style="2"/>
    <col min="3329" max="3329" width="4.21875" style="2" customWidth="1"/>
    <col min="3330" max="3330" width="2.5546875" style="2" customWidth="1"/>
    <col min="3331" max="3332" width="9.21875" style="2"/>
    <col min="3333" max="3333" width="7.21875" style="2" customWidth="1"/>
    <col min="3334" max="3334" width="8.21875" style="2" customWidth="1"/>
    <col min="3335" max="3336" width="10.21875" style="2" customWidth="1"/>
    <col min="3337" max="3337" width="3.77734375" style="2" customWidth="1"/>
    <col min="3338" max="3338" width="9.21875" style="2"/>
    <col min="3339" max="3339" width="6.21875" style="2" customWidth="1"/>
    <col min="3340" max="3340" width="5.5546875" style="2" customWidth="1"/>
    <col min="3341" max="3341" width="10.77734375" style="2" customWidth="1"/>
    <col min="3342" max="3342" width="8.21875" style="2" customWidth="1"/>
    <col min="3343" max="3343" width="12.21875" style="2" customWidth="1"/>
    <col min="3344" max="3344" width="10.21875" style="2" customWidth="1"/>
    <col min="3345" max="3345" width="9.21875" style="2" customWidth="1"/>
    <col min="3346" max="3584" width="9.21875" style="2"/>
    <col min="3585" max="3585" width="4.21875" style="2" customWidth="1"/>
    <col min="3586" max="3586" width="2.5546875" style="2" customWidth="1"/>
    <col min="3587" max="3588" width="9.21875" style="2"/>
    <col min="3589" max="3589" width="7.21875" style="2" customWidth="1"/>
    <col min="3590" max="3590" width="8.21875" style="2" customWidth="1"/>
    <col min="3591" max="3592" width="10.21875" style="2" customWidth="1"/>
    <col min="3593" max="3593" width="3.77734375" style="2" customWidth="1"/>
    <col min="3594" max="3594" width="9.21875" style="2"/>
    <col min="3595" max="3595" width="6.21875" style="2" customWidth="1"/>
    <col min="3596" max="3596" width="5.5546875" style="2" customWidth="1"/>
    <col min="3597" max="3597" width="10.77734375" style="2" customWidth="1"/>
    <col min="3598" max="3598" width="8.21875" style="2" customWidth="1"/>
    <col min="3599" max="3599" width="12.21875" style="2" customWidth="1"/>
    <col min="3600" max="3600" width="10.21875" style="2" customWidth="1"/>
    <col min="3601" max="3601" width="9.21875" style="2" customWidth="1"/>
    <col min="3602" max="3840" width="9.21875" style="2"/>
    <col min="3841" max="3841" width="4.21875" style="2" customWidth="1"/>
    <col min="3842" max="3842" width="2.5546875" style="2" customWidth="1"/>
    <col min="3843" max="3844" width="9.21875" style="2"/>
    <col min="3845" max="3845" width="7.21875" style="2" customWidth="1"/>
    <col min="3846" max="3846" width="8.21875" style="2" customWidth="1"/>
    <col min="3847" max="3848" width="10.21875" style="2" customWidth="1"/>
    <col min="3849" max="3849" width="3.77734375" style="2" customWidth="1"/>
    <col min="3850" max="3850" width="9.21875" style="2"/>
    <col min="3851" max="3851" width="6.21875" style="2" customWidth="1"/>
    <col min="3852" max="3852" width="5.5546875" style="2" customWidth="1"/>
    <col min="3853" max="3853" width="10.77734375" style="2" customWidth="1"/>
    <col min="3854" max="3854" width="8.21875" style="2" customWidth="1"/>
    <col min="3855" max="3855" width="12.21875" style="2" customWidth="1"/>
    <col min="3856" max="3856" width="10.21875" style="2" customWidth="1"/>
    <col min="3857" max="3857" width="9.21875" style="2" customWidth="1"/>
    <col min="3858" max="4096" width="9.21875" style="2"/>
    <col min="4097" max="4097" width="4.21875" style="2" customWidth="1"/>
    <col min="4098" max="4098" width="2.5546875" style="2" customWidth="1"/>
    <col min="4099" max="4100" width="9.21875" style="2"/>
    <col min="4101" max="4101" width="7.21875" style="2" customWidth="1"/>
    <col min="4102" max="4102" width="8.21875" style="2" customWidth="1"/>
    <col min="4103" max="4104" width="10.21875" style="2" customWidth="1"/>
    <col min="4105" max="4105" width="3.77734375" style="2" customWidth="1"/>
    <col min="4106" max="4106" width="9.21875" style="2"/>
    <col min="4107" max="4107" width="6.21875" style="2" customWidth="1"/>
    <col min="4108" max="4108" width="5.5546875" style="2" customWidth="1"/>
    <col min="4109" max="4109" width="10.77734375" style="2" customWidth="1"/>
    <col min="4110" max="4110" width="8.21875" style="2" customWidth="1"/>
    <col min="4111" max="4111" width="12.21875" style="2" customWidth="1"/>
    <col min="4112" max="4112" width="10.21875" style="2" customWidth="1"/>
    <col min="4113" max="4113" width="9.21875" style="2" customWidth="1"/>
    <col min="4114" max="4352" width="9.21875" style="2"/>
    <col min="4353" max="4353" width="4.21875" style="2" customWidth="1"/>
    <col min="4354" max="4354" width="2.5546875" style="2" customWidth="1"/>
    <col min="4355" max="4356" width="9.21875" style="2"/>
    <col min="4357" max="4357" width="7.21875" style="2" customWidth="1"/>
    <col min="4358" max="4358" width="8.21875" style="2" customWidth="1"/>
    <col min="4359" max="4360" width="10.21875" style="2" customWidth="1"/>
    <col min="4361" max="4361" width="3.77734375" style="2" customWidth="1"/>
    <col min="4362" max="4362" width="9.21875" style="2"/>
    <col min="4363" max="4363" width="6.21875" style="2" customWidth="1"/>
    <col min="4364" max="4364" width="5.5546875" style="2" customWidth="1"/>
    <col min="4365" max="4365" width="10.77734375" style="2" customWidth="1"/>
    <col min="4366" max="4366" width="8.21875" style="2" customWidth="1"/>
    <col min="4367" max="4367" width="12.21875" style="2" customWidth="1"/>
    <col min="4368" max="4368" width="10.21875" style="2" customWidth="1"/>
    <col min="4369" max="4369" width="9.21875" style="2" customWidth="1"/>
    <col min="4370" max="4608" width="9.21875" style="2"/>
    <col min="4609" max="4609" width="4.21875" style="2" customWidth="1"/>
    <col min="4610" max="4610" width="2.5546875" style="2" customWidth="1"/>
    <col min="4611" max="4612" width="9.21875" style="2"/>
    <col min="4613" max="4613" width="7.21875" style="2" customWidth="1"/>
    <col min="4614" max="4614" width="8.21875" style="2" customWidth="1"/>
    <col min="4615" max="4616" width="10.21875" style="2" customWidth="1"/>
    <col min="4617" max="4617" width="3.77734375" style="2" customWidth="1"/>
    <col min="4618" max="4618" width="9.21875" style="2"/>
    <col min="4619" max="4619" width="6.21875" style="2" customWidth="1"/>
    <col min="4620" max="4620" width="5.5546875" style="2" customWidth="1"/>
    <col min="4621" max="4621" width="10.77734375" style="2" customWidth="1"/>
    <col min="4622" max="4622" width="8.21875" style="2" customWidth="1"/>
    <col min="4623" max="4623" width="12.21875" style="2" customWidth="1"/>
    <col min="4624" max="4624" width="10.21875" style="2" customWidth="1"/>
    <col min="4625" max="4625" width="9.21875" style="2" customWidth="1"/>
    <col min="4626" max="4864" width="9.21875" style="2"/>
    <col min="4865" max="4865" width="4.21875" style="2" customWidth="1"/>
    <col min="4866" max="4866" width="2.5546875" style="2" customWidth="1"/>
    <col min="4867" max="4868" width="9.21875" style="2"/>
    <col min="4869" max="4869" width="7.21875" style="2" customWidth="1"/>
    <col min="4870" max="4870" width="8.21875" style="2" customWidth="1"/>
    <col min="4871" max="4872" width="10.21875" style="2" customWidth="1"/>
    <col min="4873" max="4873" width="3.77734375" style="2" customWidth="1"/>
    <col min="4874" max="4874" width="9.21875" style="2"/>
    <col min="4875" max="4875" width="6.21875" style="2" customWidth="1"/>
    <col min="4876" max="4876" width="5.5546875" style="2" customWidth="1"/>
    <col min="4877" max="4877" width="10.77734375" style="2" customWidth="1"/>
    <col min="4878" max="4878" width="8.21875" style="2" customWidth="1"/>
    <col min="4879" max="4879" width="12.21875" style="2" customWidth="1"/>
    <col min="4880" max="4880" width="10.21875" style="2" customWidth="1"/>
    <col min="4881" max="4881" width="9.21875" style="2" customWidth="1"/>
    <col min="4882" max="5120" width="9.21875" style="2"/>
    <col min="5121" max="5121" width="4.21875" style="2" customWidth="1"/>
    <col min="5122" max="5122" width="2.5546875" style="2" customWidth="1"/>
    <col min="5123" max="5124" width="9.21875" style="2"/>
    <col min="5125" max="5125" width="7.21875" style="2" customWidth="1"/>
    <col min="5126" max="5126" width="8.21875" style="2" customWidth="1"/>
    <col min="5127" max="5128" width="10.21875" style="2" customWidth="1"/>
    <col min="5129" max="5129" width="3.77734375" style="2" customWidth="1"/>
    <col min="5130" max="5130" width="9.21875" style="2"/>
    <col min="5131" max="5131" width="6.21875" style="2" customWidth="1"/>
    <col min="5132" max="5132" width="5.5546875" style="2" customWidth="1"/>
    <col min="5133" max="5133" width="10.77734375" style="2" customWidth="1"/>
    <col min="5134" max="5134" width="8.21875" style="2" customWidth="1"/>
    <col min="5135" max="5135" width="12.21875" style="2" customWidth="1"/>
    <col min="5136" max="5136" width="10.21875" style="2" customWidth="1"/>
    <col min="5137" max="5137" width="9.21875" style="2" customWidth="1"/>
    <col min="5138" max="5376" width="9.21875" style="2"/>
    <col min="5377" max="5377" width="4.21875" style="2" customWidth="1"/>
    <col min="5378" max="5378" width="2.5546875" style="2" customWidth="1"/>
    <col min="5379" max="5380" width="9.21875" style="2"/>
    <col min="5381" max="5381" width="7.21875" style="2" customWidth="1"/>
    <col min="5382" max="5382" width="8.21875" style="2" customWidth="1"/>
    <col min="5383" max="5384" width="10.21875" style="2" customWidth="1"/>
    <col min="5385" max="5385" width="3.77734375" style="2" customWidth="1"/>
    <col min="5386" max="5386" width="9.21875" style="2"/>
    <col min="5387" max="5387" width="6.21875" style="2" customWidth="1"/>
    <col min="5388" max="5388" width="5.5546875" style="2" customWidth="1"/>
    <col min="5389" max="5389" width="10.77734375" style="2" customWidth="1"/>
    <col min="5390" max="5390" width="8.21875" style="2" customWidth="1"/>
    <col min="5391" max="5391" width="12.21875" style="2" customWidth="1"/>
    <col min="5392" max="5392" width="10.21875" style="2" customWidth="1"/>
    <col min="5393" max="5393" width="9.21875" style="2" customWidth="1"/>
    <col min="5394" max="5632" width="9.21875" style="2"/>
    <col min="5633" max="5633" width="4.21875" style="2" customWidth="1"/>
    <col min="5634" max="5634" width="2.5546875" style="2" customWidth="1"/>
    <col min="5635" max="5636" width="9.21875" style="2"/>
    <col min="5637" max="5637" width="7.21875" style="2" customWidth="1"/>
    <col min="5638" max="5638" width="8.21875" style="2" customWidth="1"/>
    <col min="5639" max="5640" width="10.21875" style="2" customWidth="1"/>
    <col min="5641" max="5641" width="3.77734375" style="2" customWidth="1"/>
    <col min="5642" max="5642" width="9.21875" style="2"/>
    <col min="5643" max="5643" width="6.21875" style="2" customWidth="1"/>
    <col min="5644" max="5644" width="5.5546875" style="2" customWidth="1"/>
    <col min="5645" max="5645" width="10.77734375" style="2" customWidth="1"/>
    <col min="5646" max="5646" width="8.21875" style="2" customWidth="1"/>
    <col min="5647" max="5647" width="12.21875" style="2" customWidth="1"/>
    <col min="5648" max="5648" width="10.21875" style="2" customWidth="1"/>
    <col min="5649" max="5649" width="9.21875" style="2" customWidth="1"/>
    <col min="5650" max="5888" width="9.21875" style="2"/>
    <col min="5889" max="5889" width="4.21875" style="2" customWidth="1"/>
    <col min="5890" max="5890" width="2.5546875" style="2" customWidth="1"/>
    <col min="5891" max="5892" width="9.21875" style="2"/>
    <col min="5893" max="5893" width="7.21875" style="2" customWidth="1"/>
    <col min="5894" max="5894" width="8.21875" style="2" customWidth="1"/>
    <col min="5895" max="5896" width="10.21875" style="2" customWidth="1"/>
    <col min="5897" max="5897" width="3.77734375" style="2" customWidth="1"/>
    <col min="5898" max="5898" width="9.21875" style="2"/>
    <col min="5899" max="5899" width="6.21875" style="2" customWidth="1"/>
    <col min="5900" max="5900" width="5.5546875" style="2" customWidth="1"/>
    <col min="5901" max="5901" width="10.77734375" style="2" customWidth="1"/>
    <col min="5902" max="5902" width="8.21875" style="2" customWidth="1"/>
    <col min="5903" max="5903" width="12.21875" style="2" customWidth="1"/>
    <col min="5904" max="5904" width="10.21875" style="2" customWidth="1"/>
    <col min="5905" max="5905" width="9.21875" style="2" customWidth="1"/>
    <col min="5906" max="6144" width="9.21875" style="2"/>
    <col min="6145" max="6145" width="4.21875" style="2" customWidth="1"/>
    <col min="6146" max="6146" width="2.5546875" style="2" customWidth="1"/>
    <col min="6147" max="6148" width="9.21875" style="2"/>
    <col min="6149" max="6149" width="7.21875" style="2" customWidth="1"/>
    <col min="6150" max="6150" width="8.21875" style="2" customWidth="1"/>
    <col min="6151" max="6152" width="10.21875" style="2" customWidth="1"/>
    <col min="6153" max="6153" width="3.77734375" style="2" customWidth="1"/>
    <col min="6154" max="6154" width="9.21875" style="2"/>
    <col min="6155" max="6155" width="6.21875" style="2" customWidth="1"/>
    <col min="6156" max="6156" width="5.5546875" style="2" customWidth="1"/>
    <col min="6157" max="6157" width="10.77734375" style="2" customWidth="1"/>
    <col min="6158" max="6158" width="8.21875" style="2" customWidth="1"/>
    <col min="6159" max="6159" width="12.21875" style="2" customWidth="1"/>
    <col min="6160" max="6160" width="10.21875" style="2" customWidth="1"/>
    <col min="6161" max="6161" width="9.21875" style="2" customWidth="1"/>
    <col min="6162" max="6400" width="9.21875" style="2"/>
    <col min="6401" max="6401" width="4.21875" style="2" customWidth="1"/>
    <col min="6402" max="6402" width="2.5546875" style="2" customWidth="1"/>
    <col min="6403" max="6404" width="9.21875" style="2"/>
    <col min="6405" max="6405" width="7.21875" style="2" customWidth="1"/>
    <col min="6406" max="6406" width="8.21875" style="2" customWidth="1"/>
    <col min="6407" max="6408" width="10.21875" style="2" customWidth="1"/>
    <col min="6409" max="6409" width="3.77734375" style="2" customWidth="1"/>
    <col min="6410" max="6410" width="9.21875" style="2"/>
    <col min="6411" max="6411" width="6.21875" style="2" customWidth="1"/>
    <col min="6412" max="6412" width="5.5546875" style="2" customWidth="1"/>
    <col min="6413" max="6413" width="10.77734375" style="2" customWidth="1"/>
    <col min="6414" max="6414" width="8.21875" style="2" customWidth="1"/>
    <col min="6415" max="6415" width="12.21875" style="2" customWidth="1"/>
    <col min="6416" max="6416" width="10.21875" style="2" customWidth="1"/>
    <col min="6417" max="6417" width="9.21875" style="2" customWidth="1"/>
    <col min="6418" max="6656" width="9.21875" style="2"/>
    <col min="6657" max="6657" width="4.21875" style="2" customWidth="1"/>
    <col min="6658" max="6658" width="2.5546875" style="2" customWidth="1"/>
    <col min="6659" max="6660" width="9.21875" style="2"/>
    <col min="6661" max="6661" width="7.21875" style="2" customWidth="1"/>
    <col min="6662" max="6662" width="8.21875" style="2" customWidth="1"/>
    <col min="6663" max="6664" width="10.21875" style="2" customWidth="1"/>
    <col min="6665" max="6665" width="3.77734375" style="2" customWidth="1"/>
    <col min="6666" max="6666" width="9.21875" style="2"/>
    <col min="6667" max="6667" width="6.21875" style="2" customWidth="1"/>
    <col min="6668" max="6668" width="5.5546875" style="2" customWidth="1"/>
    <col min="6669" max="6669" width="10.77734375" style="2" customWidth="1"/>
    <col min="6670" max="6670" width="8.21875" style="2" customWidth="1"/>
    <col min="6671" max="6671" width="12.21875" style="2" customWidth="1"/>
    <col min="6672" max="6672" width="10.21875" style="2" customWidth="1"/>
    <col min="6673" max="6673" width="9.21875" style="2" customWidth="1"/>
    <col min="6674" max="6912" width="9.21875" style="2"/>
    <col min="6913" max="6913" width="4.21875" style="2" customWidth="1"/>
    <col min="6914" max="6914" width="2.5546875" style="2" customWidth="1"/>
    <col min="6915" max="6916" width="9.21875" style="2"/>
    <col min="6917" max="6917" width="7.21875" style="2" customWidth="1"/>
    <col min="6918" max="6918" width="8.21875" style="2" customWidth="1"/>
    <col min="6919" max="6920" width="10.21875" style="2" customWidth="1"/>
    <col min="6921" max="6921" width="3.77734375" style="2" customWidth="1"/>
    <col min="6922" max="6922" width="9.21875" style="2"/>
    <col min="6923" max="6923" width="6.21875" style="2" customWidth="1"/>
    <col min="6924" max="6924" width="5.5546875" style="2" customWidth="1"/>
    <col min="6925" max="6925" width="10.77734375" style="2" customWidth="1"/>
    <col min="6926" max="6926" width="8.21875" style="2" customWidth="1"/>
    <col min="6927" max="6927" width="12.21875" style="2" customWidth="1"/>
    <col min="6928" max="6928" width="10.21875" style="2" customWidth="1"/>
    <col min="6929" max="6929" width="9.21875" style="2" customWidth="1"/>
    <col min="6930" max="7168" width="9.21875" style="2"/>
    <col min="7169" max="7169" width="4.21875" style="2" customWidth="1"/>
    <col min="7170" max="7170" width="2.5546875" style="2" customWidth="1"/>
    <col min="7171" max="7172" width="9.21875" style="2"/>
    <col min="7173" max="7173" width="7.21875" style="2" customWidth="1"/>
    <col min="7174" max="7174" width="8.21875" style="2" customWidth="1"/>
    <col min="7175" max="7176" width="10.21875" style="2" customWidth="1"/>
    <col min="7177" max="7177" width="3.77734375" style="2" customWidth="1"/>
    <col min="7178" max="7178" width="9.21875" style="2"/>
    <col min="7179" max="7179" width="6.21875" style="2" customWidth="1"/>
    <col min="7180" max="7180" width="5.5546875" style="2" customWidth="1"/>
    <col min="7181" max="7181" width="10.77734375" style="2" customWidth="1"/>
    <col min="7182" max="7182" width="8.21875" style="2" customWidth="1"/>
    <col min="7183" max="7183" width="12.21875" style="2" customWidth="1"/>
    <col min="7184" max="7184" width="10.21875" style="2" customWidth="1"/>
    <col min="7185" max="7185" width="9.21875" style="2" customWidth="1"/>
    <col min="7186" max="7424" width="9.21875" style="2"/>
    <col min="7425" max="7425" width="4.21875" style="2" customWidth="1"/>
    <col min="7426" max="7426" width="2.5546875" style="2" customWidth="1"/>
    <col min="7427" max="7428" width="9.21875" style="2"/>
    <col min="7429" max="7429" width="7.21875" style="2" customWidth="1"/>
    <col min="7430" max="7430" width="8.21875" style="2" customWidth="1"/>
    <col min="7431" max="7432" width="10.21875" style="2" customWidth="1"/>
    <col min="7433" max="7433" width="3.77734375" style="2" customWidth="1"/>
    <col min="7434" max="7434" width="9.21875" style="2"/>
    <col min="7435" max="7435" width="6.21875" style="2" customWidth="1"/>
    <col min="7436" max="7436" width="5.5546875" style="2" customWidth="1"/>
    <col min="7437" max="7437" width="10.77734375" style="2" customWidth="1"/>
    <col min="7438" max="7438" width="8.21875" style="2" customWidth="1"/>
    <col min="7439" max="7439" width="12.21875" style="2" customWidth="1"/>
    <col min="7440" max="7440" width="10.21875" style="2" customWidth="1"/>
    <col min="7441" max="7441" width="9.21875" style="2" customWidth="1"/>
    <col min="7442" max="7680" width="9.21875" style="2"/>
    <col min="7681" max="7681" width="4.21875" style="2" customWidth="1"/>
    <col min="7682" max="7682" width="2.5546875" style="2" customWidth="1"/>
    <col min="7683" max="7684" width="9.21875" style="2"/>
    <col min="7685" max="7685" width="7.21875" style="2" customWidth="1"/>
    <col min="7686" max="7686" width="8.21875" style="2" customWidth="1"/>
    <col min="7687" max="7688" width="10.21875" style="2" customWidth="1"/>
    <col min="7689" max="7689" width="3.77734375" style="2" customWidth="1"/>
    <col min="7690" max="7690" width="9.21875" style="2"/>
    <col min="7691" max="7691" width="6.21875" style="2" customWidth="1"/>
    <col min="7692" max="7692" width="5.5546875" style="2" customWidth="1"/>
    <col min="7693" max="7693" width="10.77734375" style="2" customWidth="1"/>
    <col min="7694" max="7694" width="8.21875" style="2" customWidth="1"/>
    <col min="7695" max="7695" width="12.21875" style="2" customWidth="1"/>
    <col min="7696" max="7696" width="10.21875" style="2" customWidth="1"/>
    <col min="7697" max="7697" width="9.21875" style="2" customWidth="1"/>
    <col min="7698" max="7936" width="9.21875" style="2"/>
    <col min="7937" max="7937" width="4.21875" style="2" customWidth="1"/>
    <col min="7938" max="7938" width="2.5546875" style="2" customWidth="1"/>
    <col min="7939" max="7940" width="9.21875" style="2"/>
    <col min="7941" max="7941" width="7.21875" style="2" customWidth="1"/>
    <col min="7942" max="7942" width="8.21875" style="2" customWidth="1"/>
    <col min="7943" max="7944" width="10.21875" style="2" customWidth="1"/>
    <col min="7945" max="7945" width="3.77734375" style="2" customWidth="1"/>
    <col min="7946" max="7946" width="9.21875" style="2"/>
    <col min="7947" max="7947" width="6.21875" style="2" customWidth="1"/>
    <col min="7948" max="7948" width="5.5546875" style="2" customWidth="1"/>
    <col min="7949" max="7949" width="10.77734375" style="2" customWidth="1"/>
    <col min="7950" max="7950" width="8.21875" style="2" customWidth="1"/>
    <col min="7951" max="7951" width="12.21875" style="2" customWidth="1"/>
    <col min="7952" max="7952" width="10.21875" style="2" customWidth="1"/>
    <col min="7953" max="7953" width="9.21875" style="2" customWidth="1"/>
    <col min="7954" max="8192" width="9.21875" style="2"/>
    <col min="8193" max="8193" width="4.21875" style="2" customWidth="1"/>
    <col min="8194" max="8194" width="2.5546875" style="2" customWidth="1"/>
    <col min="8195" max="8196" width="9.21875" style="2"/>
    <col min="8197" max="8197" width="7.21875" style="2" customWidth="1"/>
    <col min="8198" max="8198" width="8.21875" style="2" customWidth="1"/>
    <col min="8199" max="8200" width="10.21875" style="2" customWidth="1"/>
    <col min="8201" max="8201" width="3.77734375" style="2" customWidth="1"/>
    <col min="8202" max="8202" width="9.21875" style="2"/>
    <col min="8203" max="8203" width="6.21875" style="2" customWidth="1"/>
    <col min="8204" max="8204" width="5.5546875" style="2" customWidth="1"/>
    <col min="8205" max="8205" width="10.77734375" style="2" customWidth="1"/>
    <col min="8206" max="8206" width="8.21875" style="2" customWidth="1"/>
    <col min="8207" max="8207" width="12.21875" style="2" customWidth="1"/>
    <col min="8208" max="8208" width="10.21875" style="2" customWidth="1"/>
    <col min="8209" max="8209" width="9.21875" style="2" customWidth="1"/>
    <col min="8210" max="8448" width="9.21875" style="2"/>
    <col min="8449" max="8449" width="4.21875" style="2" customWidth="1"/>
    <col min="8450" max="8450" width="2.5546875" style="2" customWidth="1"/>
    <col min="8451" max="8452" width="9.21875" style="2"/>
    <col min="8453" max="8453" width="7.21875" style="2" customWidth="1"/>
    <col min="8454" max="8454" width="8.21875" style="2" customWidth="1"/>
    <col min="8455" max="8456" width="10.21875" style="2" customWidth="1"/>
    <col min="8457" max="8457" width="3.77734375" style="2" customWidth="1"/>
    <col min="8458" max="8458" width="9.21875" style="2"/>
    <col min="8459" max="8459" width="6.21875" style="2" customWidth="1"/>
    <col min="8460" max="8460" width="5.5546875" style="2" customWidth="1"/>
    <col min="8461" max="8461" width="10.77734375" style="2" customWidth="1"/>
    <col min="8462" max="8462" width="8.21875" style="2" customWidth="1"/>
    <col min="8463" max="8463" width="12.21875" style="2" customWidth="1"/>
    <col min="8464" max="8464" width="10.21875" style="2" customWidth="1"/>
    <col min="8465" max="8465" width="9.21875" style="2" customWidth="1"/>
    <col min="8466" max="8704" width="9.21875" style="2"/>
    <col min="8705" max="8705" width="4.21875" style="2" customWidth="1"/>
    <col min="8706" max="8706" width="2.5546875" style="2" customWidth="1"/>
    <col min="8707" max="8708" width="9.21875" style="2"/>
    <col min="8709" max="8709" width="7.21875" style="2" customWidth="1"/>
    <col min="8710" max="8710" width="8.21875" style="2" customWidth="1"/>
    <col min="8711" max="8712" width="10.21875" style="2" customWidth="1"/>
    <col min="8713" max="8713" width="3.77734375" style="2" customWidth="1"/>
    <col min="8714" max="8714" width="9.21875" style="2"/>
    <col min="8715" max="8715" width="6.21875" style="2" customWidth="1"/>
    <col min="8716" max="8716" width="5.5546875" style="2" customWidth="1"/>
    <col min="8717" max="8717" width="10.77734375" style="2" customWidth="1"/>
    <col min="8718" max="8718" width="8.21875" style="2" customWidth="1"/>
    <col min="8719" max="8719" width="12.21875" style="2" customWidth="1"/>
    <col min="8720" max="8720" width="10.21875" style="2" customWidth="1"/>
    <col min="8721" max="8721" width="9.21875" style="2" customWidth="1"/>
    <col min="8722" max="8960" width="9.21875" style="2"/>
    <col min="8961" max="8961" width="4.21875" style="2" customWidth="1"/>
    <col min="8962" max="8962" width="2.5546875" style="2" customWidth="1"/>
    <col min="8963" max="8964" width="9.21875" style="2"/>
    <col min="8965" max="8965" width="7.21875" style="2" customWidth="1"/>
    <col min="8966" max="8966" width="8.21875" style="2" customWidth="1"/>
    <col min="8967" max="8968" width="10.21875" style="2" customWidth="1"/>
    <col min="8969" max="8969" width="3.77734375" style="2" customWidth="1"/>
    <col min="8970" max="8970" width="9.21875" style="2"/>
    <col min="8971" max="8971" width="6.21875" style="2" customWidth="1"/>
    <col min="8972" max="8972" width="5.5546875" style="2" customWidth="1"/>
    <col min="8973" max="8973" width="10.77734375" style="2" customWidth="1"/>
    <col min="8974" max="8974" width="8.21875" style="2" customWidth="1"/>
    <col min="8975" max="8975" width="12.21875" style="2" customWidth="1"/>
    <col min="8976" max="8976" width="10.21875" style="2" customWidth="1"/>
    <col min="8977" max="8977" width="9.21875" style="2" customWidth="1"/>
    <col min="8978" max="9216" width="9.21875" style="2"/>
    <col min="9217" max="9217" width="4.21875" style="2" customWidth="1"/>
    <col min="9218" max="9218" width="2.5546875" style="2" customWidth="1"/>
    <col min="9219" max="9220" width="9.21875" style="2"/>
    <col min="9221" max="9221" width="7.21875" style="2" customWidth="1"/>
    <col min="9222" max="9222" width="8.21875" style="2" customWidth="1"/>
    <col min="9223" max="9224" width="10.21875" style="2" customWidth="1"/>
    <col min="9225" max="9225" width="3.77734375" style="2" customWidth="1"/>
    <col min="9226" max="9226" width="9.21875" style="2"/>
    <col min="9227" max="9227" width="6.21875" style="2" customWidth="1"/>
    <col min="9228" max="9228" width="5.5546875" style="2" customWidth="1"/>
    <col min="9229" max="9229" width="10.77734375" style="2" customWidth="1"/>
    <col min="9230" max="9230" width="8.21875" style="2" customWidth="1"/>
    <col min="9231" max="9231" width="12.21875" style="2" customWidth="1"/>
    <col min="9232" max="9232" width="10.21875" style="2" customWidth="1"/>
    <col min="9233" max="9233" width="9.21875" style="2" customWidth="1"/>
    <col min="9234" max="9472" width="9.21875" style="2"/>
    <col min="9473" max="9473" width="4.21875" style="2" customWidth="1"/>
    <col min="9474" max="9474" width="2.5546875" style="2" customWidth="1"/>
    <col min="9475" max="9476" width="9.21875" style="2"/>
    <col min="9477" max="9477" width="7.21875" style="2" customWidth="1"/>
    <col min="9478" max="9478" width="8.21875" style="2" customWidth="1"/>
    <col min="9479" max="9480" width="10.21875" style="2" customWidth="1"/>
    <col min="9481" max="9481" width="3.77734375" style="2" customWidth="1"/>
    <col min="9482" max="9482" width="9.21875" style="2"/>
    <col min="9483" max="9483" width="6.21875" style="2" customWidth="1"/>
    <col min="9484" max="9484" width="5.5546875" style="2" customWidth="1"/>
    <col min="9485" max="9485" width="10.77734375" style="2" customWidth="1"/>
    <col min="9486" max="9486" width="8.21875" style="2" customWidth="1"/>
    <col min="9487" max="9487" width="12.21875" style="2" customWidth="1"/>
    <col min="9488" max="9488" width="10.21875" style="2" customWidth="1"/>
    <col min="9489" max="9489" width="9.21875" style="2" customWidth="1"/>
    <col min="9490" max="9728" width="9.21875" style="2"/>
    <col min="9729" max="9729" width="4.21875" style="2" customWidth="1"/>
    <col min="9730" max="9730" width="2.5546875" style="2" customWidth="1"/>
    <col min="9731" max="9732" width="9.21875" style="2"/>
    <col min="9733" max="9733" width="7.21875" style="2" customWidth="1"/>
    <col min="9734" max="9734" width="8.21875" style="2" customWidth="1"/>
    <col min="9735" max="9736" width="10.21875" style="2" customWidth="1"/>
    <col min="9737" max="9737" width="3.77734375" style="2" customWidth="1"/>
    <col min="9738" max="9738" width="9.21875" style="2"/>
    <col min="9739" max="9739" width="6.21875" style="2" customWidth="1"/>
    <col min="9740" max="9740" width="5.5546875" style="2" customWidth="1"/>
    <col min="9741" max="9741" width="10.77734375" style="2" customWidth="1"/>
    <col min="9742" max="9742" width="8.21875" style="2" customWidth="1"/>
    <col min="9743" max="9743" width="12.21875" style="2" customWidth="1"/>
    <col min="9744" max="9744" width="10.21875" style="2" customWidth="1"/>
    <col min="9745" max="9745" width="9.21875" style="2" customWidth="1"/>
    <col min="9746" max="9984" width="9.21875" style="2"/>
    <col min="9985" max="9985" width="4.21875" style="2" customWidth="1"/>
    <col min="9986" max="9986" width="2.5546875" style="2" customWidth="1"/>
    <col min="9987" max="9988" width="9.21875" style="2"/>
    <col min="9989" max="9989" width="7.21875" style="2" customWidth="1"/>
    <col min="9990" max="9990" width="8.21875" style="2" customWidth="1"/>
    <col min="9991" max="9992" width="10.21875" style="2" customWidth="1"/>
    <col min="9993" max="9993" width="3.77734375" style="2" customWidth="1"/>
    <col min="9994" max="9994" width="9.21875" style="2"/>
    <col min="9995" max="9995" width="6.21875" style="2" customWidth="1"/>
    <col min="9996" max="9996" width="5.5546875" style="2" customWidth="1"/>
    <col min="9997" max="9997" width="10.77734375" style="2" customWidth="1"/>
    <col min="9998" max="9998" width="8.21875" style="2" customWidth="1"/>
    <col min="9999" max="9999" width="12.21875" style="2" customWidth="1"/>
    <col min="10000" max="10000" width="10.21875" style="2" customWidth="1"/>
    <col min="10001" max="10001" width="9.21875" style="2" customWidth="1"/>
    <col min="10002" max="10240" width="9.21875" style="2"/>
    <col min="10241" max="10241" width="4.21875" style="2" customWidth="1"/>
    <col min="10242" max="10242" width="2.5546875" style="2" customWidth="1"/>
    <col min="10243" max="10244" width="9.21875" style="2"/>
    <col min="10245" max="10245" width="7.21875" style="2" customWidth="1"/>
    <col min="10246" max="10246" width="8.21875" style="2" customWidth="1"/>
    <col min="10247" max="10248" width="10.21875" style="2" customWidth="1"/>
    <col min="10249" max="10249" width="3.77734375" style="2" customWidth="1"/>
    <col min="10250" max="10250" width="9.21875" style="2"/>
    <col min="10251" max="10251" width="6.21875" style="2" customWidth="1"/>
    <col min="10252" max="10252" width="5.5546875" style="2" customWidth="1"/>
    <col min="10253" max="10253" width="10.77734375" style="2" customWidth="1"/>
    <col min="10254" max="10254" width="8.21875" style="2" customWidth="1"/>
    <col min="10255" max="10255" width="12.21875" style="2" customWidth="1"/>
    <col min="10256" max="10256" width="10.21875" style="2" customWidth="1"/>
    <col min="10257" max="10257" width="9.21875" style="2" customWidth="1"/>
    <col min="10258" max="10496" width="9.21875" style="2"/>
    <col min="10497" max="10497" width="4.21875" style="2" customWidth="1"/>
    <col min="10498" max="10498" width="2.5546875" style="2" customWidth="1"/>
    <col min="10499" max="10500" width="9.21875" style="2"/>
    <col min="10501" max="10501" width="7.21875" style="2" customWidth="1"/>
    <col min="10502" max="10502" width="8.21875" style="2" customWidth="1"/>
    <col min="10503" max="10504" width="10.21875" style="2" customWidth="1"/>
    <col min="10505" max="10505" width="3.77734375" style="2" customWidth="1"/>
    <col min="10506" max="10506" width="9.21875" style="2"/>
    <col min="10507" max="10507" width="6.21875" style="2" customWidth="1"/>
    <col min="10508" max="10508" width="5.5546875" style="2" customWidth="1"/>
    <col min="10509" max="10509" width="10.77734375" style="2" customWidth="1"/>
    <col min="10510" max="10510" width="8.21875" style="2" customWidth="1"/>
    <col min="10511" max="10511" width="12.21875" style="2" customWidth="1"/>
    <col min="10512" max="10512" width="10.21875" style="2" customWidth="1"/>
    <col min="10513" max="10513" width="9.21875" style="2" customWidth="1"/>
    <col min="10514" max="10752" width="9.21875" style="2"/>
    <col min="10753" max="10753" width="4.21875" style="2" customWidth="1"/>
    <col min="10754" max="10754" width="2.5546875" style="2" customWidth="1"/>
    <col min="10755" max="10756" width="9.21875" style="2"/>
    <col min="10757" max="10757" width="7.21875" style="2" customWidth="1"/>
    <col min="10758" max="10758" width="8.21875" style="2" customWidth="1"/>
    <col min="10759" max="10760" width="10.21875" style="2" customWidth="1"/>
    <col min="10761" max="10761" width="3.77734375" style="2" customWidth="1"/>
    <col min="10762" max="10762" width="9.21875" style="2"/>
    <col min="10763" max="10763" width="6.21875" style="2" customWidth="1"/>
    <col min="10764" max="10764" width="5.5546875" style="2" customWidth="1"/>
    <col min="10765" max="10765" width="10.77734375" style="2" customWidth="1"/>
    <col min="10766" max="10766" width="8.21875" style="2" customWidth="1"/>
    <col min="10767" max="10767" width="12.21875" style="2" customWidth="1"/>
    <col min="10768" max="10768" width="10.21875" style="2" customWidth="1"/>
    <col min="10769" max="10769" width="9.21875" style="2" customWidth="1"/>
    <col min="10770" max="11008" width="9.21875" style="2"/>
    <col min="11009" max="11009" width="4.21875" style="2" customWidth="1"/>
    <col min="11010" max="11010" width="2.5546875" style="2" customWidth="1"/>
    <col min="11011" max="11012" width="9.21875" style="2"/>
    <col min="11013" max="11013" width="7.21875" style="2" customWidth="1"/>
    <col min="11014" max="11014" width="8.21875" style="2" customWidth="1"/>
    <col min="11015" max="11016" width="10.21875" style="2" customWidth="1"/>
    <col min="11017" max="11017" width="3.77734375" style="2" customWidth="1"/>
    <col min="11018" max="11018" width="9.21875" style="2"/>
    <col min="11019" max="11019" width="6.21875" style="2" customWidth="1"/>
    <col min="11020" max="11020" width="5.5546875" style="2" customWidth="1"/>
    <col min="11021" max="11021" width="10.77734375" style="2" customWidth="1"/>
    <col min="11022" max="11022" width="8.21875" style="2" customWidth="1"/>
    <col min="11023" max="11023" width="12.21875" style="2" customWidth="1"/>
    <col min="11024" max="11024" width="10.21875" style="2" customWidth="1"/>
    <col min="11025" max="11025" width="9.21875" style="2" customWidth="1"/>
    <col min="11026" max="11264" width="9.21875" style="2"/>
    <col min="11265" max="11265" width="4.21875" style="2" customWidth="1"/>
    <col min="11266" max="11266" width="2.5546875" style="2" customWidth="1"/>
    <col min="11267" max="11268" width="9.21875" style="2"/>
    <col min="11269" max="11269" width="7.21875" style="2" customWidth="1"/>
    <col min="11270" max="11270" width="8.21875" style="2" customWidth="1"/>
    <col min="11271" max="11272" width="10.21875" style="2" customWidth="1"/>
    <col min="11273" max="11273" width="3.77734375" style="2" customWidth="1"/>
    <col min="11274" max="11274" width="9.21875" style="2"/>
    <col min="11275" max="11275" width="6.21875" style="2" customWidth="1"/>
    <col min="11276" max="11276" width="5.5546875" style="2" customWidth="1"/>
    <col min="11277" max="11277" width="10.77734375" style="2" customWidth="1"/>
    <col min="11278" max="11278" width="8.21875" style="2" customWidth="1"/>
    <col min="11279" max="11279" width="12.21875" style="2" customWidth="1"/>
    <col min="11280" max="11280" width="10.21875" style="2" customWidth="1"/>
    <col min="11281" max="11281" width="9.21875" style="2" customWidth="1"/>
    <col min="11282" max="11520" width="9.21875" style="2"/>
    <col min="11521" max="11521" width="4.21875" style="2" customWidth="1"/>
    <col min="11522" max="11522" width="2.5546875" style="2" customWidth="1"/>
    <col min="11523" max="11524" width="9.21875" style="2"/>
    <col min="11525" max="11525" width="7.21875" style="2" customWidth="1"/>
    <col min="11526" max="11526" width="8.21875" style="2" customWidth="1"/>
    <col min="11527" max="11528" width="10.21875" style="2" customWidth="1"/>
    <col min="11529" max="11529" width="3.77734375" style="2" customWidth="1"/>
    <col min="11530" max="11530" width="9.21875" style="2"/>
    <col min="11531" max="11531" width="6.21875" style="2" customWidth="1"/>
    <col min="11532" max="11532" width="5.5546875" style="2" customWidth="1"/>
    <col min="11533" max="11533" width="10.77734375" style="2" customWidth="1"/>
    <col min="11534" max="11534" width="8.21875" style="2" customWidth="1"/>
    <col min="11535" max="11535" width="12.21875" style="2" customWidth="1"/>
    <col min="11536" max="11536" width="10.21875" style="2" customWidth="1"/>
    <col min="11537" max="11537" width="9.21875" style="2" customWidth="1"/>
    <col min="11538" max="11776" width="9.21875" style="2"/>
    <col min="11777" max="11777" width="4.21875" style="2" customWidth="1"/>
    <col min="11778" max="11778" width="2.5546875" style="2" customWidth="1"/>
    <col min="11779" max="11780" width="9.21875" style="2"/>
    <col min="11781" max="11781" width="7.21875" style="2" customWidth="1"/>
    <col min="11782" max="11782" width="8.21875" style="2" customWidth="1"/>
    <col min="11783" max="11784" width="10.21875" style="2" customWidth="1"/>
    <col min="11785" max="11785" width="3.77734375" style="2" customWidth="1"/>
    <col min="11786" max="11786" width="9.21875" style="2"/>
    <col min="11787" max="11787" width="6.21875" style="2" customWidth="1"/>
    <col min="11788" max="11788" width="5.5546875" style="2" customWidth="1"/>
    <col min="11789" max="11789" width="10.77734375" style="2" customWidth="1"/>
    <col min="11790" max="11790" width="8.21875" style="2" customWidth="1"/>
    <col min="11791" max="11791" width="12.21875" style="2" customWidth="1"/>
    <col min="11792" max="11792" width="10.21875" style="2" customWidth="1"/>
    <col min="11793" max="11793" width="9.21875" style="2" customWidth="1"/>
    <col min="11794" max="12032" width="9.21875" style="2"/>
    <col min="12033" max="12033" width="4.21875" style="2" customWidth="1"/>
    <col min="12034" max="12034" width="2.5546875" style="2" customWidth="1"/>
    <col min="12035" max="12036" width="9.21875" style="2"/>
    <col min="12037" max="12037" width="7.21875" style="2" customWidth="1"/>
    <col min="12038" max="12038" width="8.21875" style="2" customWidth="1"/>
    <col min="12039" max="12040" width="10.21875" style="2" customWidth="1"/>
    <col min="12041" max="12041" width="3.77734375" style="2" customWidth="1"/>
    <col min="12042" max="12042" width="9.21875" style="2"/>
    <col min="12043" max="12043" width="6.21875" style="2" customWidth="1"/>
    <col min="12044" max="12044" width="5.5546875" style="2" customWidth="1"/>
    <col min="12045" max="12045" width="10.77734375" style="2" customWidth="1"/>
    <col min="12046" max="12046" width="8.21875" style="2" customWidth="1"/>
    <col min="12047" max="12047" width="12.21875" style="2" customWidth="1"/>
    <col min="12048" max="12048" width="10.21875" style="2" customWidth="1"/>
    <col min="12049" max="12049" width="9.21875" style="2" customWidth="1"/>
    <col min="12050" max="12288" width="9.21875" style="2"/>
    <col min="12289" max="12289" width="4.21875" style="2" customWidth="1"/>
    <col min="12290" max="12290" width="2.5546875" style="2" customWidth="1"/>
    <col min="12291" max="12292" width="9.21875" style="2"/>
    <col min="12293" max="12293" width="7.21875" style="2" customWidth="1"/>
    <col min="12294" max="12294" width="8.21875" style="2" customWidth="1"/>
    <col min="12295" max="12296" width="10.21875" style="2" customWidth="1"/>
    <col min="12297" max="12297" width="3.77734375" style="2" customWidth="1"/>
    <col min="12298" max="12298" width="9.21875" style="2"/>
    <col min="12299" max="12299" width="6.21875" style="2" customWidth="1"/>
    <col min="12300" max="12300" width="5.5546875" style="2" customWidth="1"/>
    <col min="12301" max="12301" width="10.77734375" style="2" customWidth="1"/>
    <col min="12302" max="12302" width="8.21875" style="2" customWidth="1"/>
    <col min="12303" max="12303" width="12.21875" style="2" customWidth="1"/>
    <col min="12304" max="12304" width="10.21875" style="2" customWidth="1"/>
    <col min="12305" max="12305" width="9.21875" style="2" customWidth="1"/>
    <col min="12306" max="12544" width="9.21875" style="2"/>
    <col min="12545" max="12545" width="4.21875" style="2" customWidth="1"/>
    <col min="12546" max="12546" width="2.5546875" style="2" customWidth="1"/>
    <col min="12547" max="12548" width="9.21875" style="2"/>
    <col min="12549" max="12549" width="7.21875" style="2" customWidth="1"/>
    <col min="12550" max="12550" width="8.21875" style="2" customWidth="1"/>
    <col min="12551" max="12552" width="10.21875" style="2" customWidth="1"/>
    <col min="12553" max="12553" width="3.77734375" style="2" customWidth="1"/>
    <col min="12554" max="12554" width="9.21875" style="2"/>
    <col min="12555" max="12555" width="6.21875" style="2" customWidth="1"/>
    <col min="12556" max="12556" width="5.5546875" style="2" customWidth="1"/>
    <col min="12557" max="12557" width="10.77734375" style="2" customWidth="1"/>
    <col min="12558" max="12558" width="8.21875" style="2" customWidth="1"/>
    <col min="12559" max="12559" width="12.21875" style="2" customWidth="1"/>
    <col min="12560" max="12560" width="10.21875" style="2" customWidth="1"/>
    <col min="12561" max="12561" width="9.21875" style="2" customWidth="1"/>
    <col min="12562" max="12800" width="9.21875" style="2"/>
    <col min="12801" max="12801" width="4.21875" style="2" customWidth="1"/>
    <col min="12802" max="12802" width="2.5546875" style="2" customWidth="1"/>
    <col min="12803" max="12804" width="9.21875" style="2"/>
    <col min="12805" max="12805" width="7.21875" style="2" customWidth="1"/>
    <col min="12806" max="12806" width="8.21875" style="2" customWidth="1"/>
    <col min="12807" max="12808" width="10.21875" style="2" customWidth="1"/>
    <col min="12809" max="12809" width="3.77734375" style="2" customWidth="1"/>
    <col min="12810" max="12810" width="9.21875" style="2"/>
    <col min="12811" max="12811" width="6.21875" style="2" customWidth="1"/>
    <col min="12812" max="12812" width="5.5546875" style="2" customWidth="1"/>
    <col min="12813" max="12813" width="10.77734375" style="2" customWidth="1"/>
    <col min="12814" max="12814" width="8.21875" style="2" customWidth="1"/>
    <col min="12815" max="12815" width="12.21875" style="2" customWidth="1"/>
    <col min="12816" max="12816" width="10.21875" style="2" customWidth="1"/>
    <col min="12817" max="12817" width="9.21875" style="2" customWidth="1"/>
    <col min="12818" max="13056" width="9.21875" style="2"/>
    <col min="13057" max="13057" width="4.21875" style="2" customWidth="1"/>
    <col min="13058" max="13058" width="2.5546875" style="2" customWidth="1"/>
    <col min="13059" max="13060" width="9.21875" style="2"/>
    <col min="13061" max="13061" width="7.21875" style="2" customWidth="1"/>
    <col min="13062" max="13062" width="8.21875" style="2" customWidth="1"/>
    <col min="13063" max="13064" width="10.21875" style="2" customWidth="1"/>
    <col min="13065" max="13065" width="3.77734375" style="2" customWidth="1"/>
    <col min="13066" max="13066" width="9.21875" style="2"/>
    <col min="13067" max="13067" width="6.21875" style="2" customWidth="1"/>
    <col min="13068" max="13068" width="5.5546875" style="2" customWidth="1"/>
    <col min="13069" max="13069" width="10.77734375" style="2" customWidth="1"/>
    <col min="13070" max="13070" width="8.21875" style="2" customWidth="1"/>
    <col min="13071" max="13071" width="12.21875" style="2" customWidth="1"/>
    <col min="13072" max="13072" width="10.21875" style="2" customWidth="1"/>
    <col min="13073" max="13073" width="9.21875" style="2" customWidth="1"/>
    <col min="13074" max="13312" width="9.21875" style="2"/>
    <col min="13313" max="13313" width="4.21875" style="2" customWidth="1"/>
    <col min="13314" max="13314" width="2.5546875" style="2" customWidth="1"/>
    <col min="13315" max="13316" width="9.21875" style="2"/>
    <col min="13317" max="13317" width="7.21875" style="2" customWidth="1"/>
    <col min="13318" max="13318" width="8.21875" style="2" customWidth="1"/>
    <col min="13319" max="13320" width="10.21875" style="2" customWidth="1"/>
    <col min="13321" max="13321" width="3.77734375" style="2" customWidth="1"/>
    <col min="13322" max="13322" width="9.21875" style="2"/>
    <col min="13323" max="13323" width="6.21875" style="2" customWidth="1"/>
    <col min="13324" max="13324" width="5.5546875" style="2" customWidth="1"/>
    <col min="13325" max="13325" width="10.77734375" style="2" customWidth="1"/>
    <col min="13326" max="13326" width="8.21875" style="2" customWidth="1"/>
    <col min="13327" max="13327" width="12.21875" style="2" customWidth="1"/>
    <col min="13328" max="13328" width="10.21875" style="2" customWidth="1"/>
    <col min="13329" max="13329" width="9.21875" style="2" customWidth="1"/>
    <col min="13330" max="13568" width="9.21875" style="2"/>
    <col min="13569" max="13569" width="4.21875" style="2" customWidth="1"/>
    <col min="13570" max="13570" width="2.5546875" style="2" customWidth="1"/>
    <col min="13571" max="13572" width="9.21875" style="2"/>
    <col min="13573" max="13573" width="7.21875" style="2" customWidth="1"/>
    <col min="13574" max="13574" width="8.21875" style="2" customWidth="1"/>
    <col min="13575" max="13576" width="10.21875" style="2" customWidth="1"/>
    <col min="13577" max="13577" width="3.77734375" style="2" customWidth="1"/>
    <col min="13578" max="13578" width="9.21875" style="2"/>
    <col min="13579" max="13579" width="6.21875" style="2" customWidth="1"/>
    <col min="13580" max="13580" width="5.5546875" style="2" customWidth="1"/>
    <col min="13581" max="13581" width="10.77734375" style="2" customWidth="1"/>
    <col min="13582" max="13582" width="8.21875" style="2" customWidth="1"/>
    <col min="13583" max="13583" width="12.21875" style="2" customWidth="1"/>
    <col min="13584" max="13584" width="10.21875" style="2" customWidth="1"/>
    <col min="13585" max="13585" width="9.21875" style="2" customWidth="1"/>
    <col min="13586" max="13824" width="9.21875" style="2"/>
    <col min="13825" max="13825" width="4.21875" style="2" customWidth="1"/>
    <col min="13826" max="13826" width="2.5546875" style="2" customWidth="1"/>
    <col min="13827" max="13828" width="9.21875" style="2"/>
    <col min="13829" max="13829" width="7.21875" style="2" customWidth="1"/>
    <col min="13830" max="13830" width="8.21875" style="2" customWidth="1"/>
    <col min="13831" max="13832" width="10.21875" style="2" customWidth="1"/>
    <col min="13833" max="13833" width="3.77734375" style="2" customWidth="1"/>
    <col min="13834" max="13834" width="9.21875" style="2"/>
    <col min="13835" max="13835" width="6.21875" style="2" customWidth="1"/>
    <col min="13836" max="13836" width="5.5546875" style="2" customWidth="1"/>
    <col min="13837" max="13837" width="10.77734375" style="2" customWidth="1"/>
    <col min="13838" max="13838" width="8.21875" style="2" customWidth="1"/>
    <col min="13839" max="13839" width="12.21875" style="2" customWidth="1"/>
    <col min="13840" max="13840" width="10.21875" style="2" customWidth="1"/>
    <col min="13841" max="13841" width="9.21875" style="2" customWidth="1"/>
    <col min="13842" max="14080" width="9.21875" style="2"/>
    <col min="14081" max="14081" width="4.21875" style="2" customWidth="1"/>
    <col min="14082" max="14082" width="2.5546875" style="2" customWidth="1"/>
    <col min="14083" max="14084" width="9.21875" style="2"/>
    <col min="14085" max="14085" width="7.21875" style="2" customWidth="1"/>
    <col min="14086" max="14086" width="8.21875" style="2" customWidth="1"/>
    <col min="14087" max="14088" width="10.21875" style="2" customWidth="1"/>
    <col min="14089" max="14089" width="3.77734375" style="2" customWidth="1"/>
    <col min="14090" max="14090" width="9.21875" style="2"/>
    <col min="14091" max="14091" width="6.21875" style="2" customWidth="1"/>
    <col min="14092" max="14092" width="5.5546875" style="2" customWidth="1"/>
    <col min="14093" max="14093" width="10.77734375" style="2" customWidth="1"/>
    <col min="14094" max="14094" width="8.21875" style="2" customWidth="1"/>
    <col min="14095" max="14095" width="12.21875" style="2" customWidth="1"/>
    <col min="14096" max="14096" width="10.21875" style="2" customWidth="1"/>
    <col min="14097" max="14097" width="9.21875" style="2" customWidth="1"/>
    <col min="14098" max="14336" width="9.21875" style="2"/>
    <col min="14337" max="14337" width="4.21875" style="2" customWidth="1"/>
    <col min="14338" max="14338" width="2.5546875" style="2" customWidth="1"/>
    <col min="14339" max="14340" width="9.21875" style="2"/>
    <col min="14341" max="14341" width="7.21875" style="2" customWidth="1"/>
    <col min="14342" max="14342" width="8.21875" style="2" customWidth="1"/>
    <col min="14343" max="14344" width="10.21875" style="2" customWidth="1"/>
    <col min="14345" max="14345" width="3.77734375" style="2" customWidth="1"/>
    <col min="14346" max="14346" width="9.21875" style="2"/>
    <col min="14347" max="14347" width="6.21875" style="2" customWidth="1"/>
    <col min="14348" max="14348" width="5.5546875" style="2" customWidth="1"/>
    <col min="14349" max="14349" width="10.77734375" style="2" customWidth="1"/>
    <col min="14350" max="14350" width="8.21875" style="2" customWidth="1"/>
    <col min="14351" max="14351" width="12.21875" style="2" customWidth="1"/>
    <col min="14352" max="14352" width="10.21875" style="2" customWidth="1"/>
    <col min="14353" max="14353" width="9.21875" style="2" customWidth="1"/>
    <col min="14354" max="14592" width="9.21875" style="2"/>
    <col min="14593" max="14593" width="4.21875" style="2" customWidth="1"/>
    <col min="14594" max="14594" width="2.5546875" style="2" customWidth="1"/>
    <col min="14595" max="14596" width="9.21875" style="2"/>
    <col min="14597" max="14597" width="7.21875" style="2" customWidth="1"/>
    <col min="14598" max="14598" width="8.21875" style="2" customWidth="1"/>
    <col min="14599" max="14600" width="10.21875" style="2" customWidth="1"/>
    <col min="14601" max="14601" width="3.77734375" style="2" customWidth="1"/>
    <col min="14602" max="14602" width="9.21875" style="2"/>
    <col min="14603" max="14603" width="6.21875" style="2" customWidth="1"/>
    <col min="14604" max="14604" width="5.5546875" style="2" customWidth="1"/>
    <col min="14605" max="14605" width="10.77734375" style="2" customWidth="1"/>
    <col min="14606" max="14606" width="8.21875" style="2" customWidth="1"/>
    <col min="14607" max="14607" width="12.21875" style="2" customWidth="1"/>
    <col min="14608" max="14608" width="10.21875" style="2" customWidth="1"/>
    <col min="14609" max="14609" width="9.21875" style="2" customWidth="1"/>
    <col min="14610" max="14848" width="9.21875" style="2"/>
    <col min="14849" max="14849" width="4.21875" style="2" customWidth="1"/>
    <col min="14850" max="14850" width="2.5546875" style="2" customWidth="1"/>
    <col min="14851" max="14852" width="9.21875" style="2"/>
    <col min="14853" max="14853" width="7.21875" style="2" customWidth="1"/>
    <col min="14854" max="14854" width="8.21875" style="2" customWidth="1"/>
    <col min="14855" max="14856" width="10.21875" style="2" customWidth="1"/>
    <col min="14857" max="14857" width="3.77734375" style="2" customWidth="1"/>
    <col min="14858" max="14858" width="9.21875" style="2"/>
    <col min="14859" max="14859" width="6.21875" style="2" customWidth="1"/>
    <col min="14860" max="14860" width="5.5546875" style="2" customWidth="1"/>
    <col min="14861" max="14861" width="10.77734375" style="2" customWidth="1"/>
    <col min="14862" max="14862" width="8.21875" style="2" customWidth="1"/>
    <col min="14863" max="14863" width="12.21875" style="2" customWidth="1"/>
    <col min="14864" max="14864" width="10.21875" style="2" customWidth="1"/>
    <col min="14865" max="14865" width="9.21875" style="2" customWidth="1"/>
    <col min="14866" max="15104" width="9.21875" style="2"/>
    <col min="15105" max="15105" width="4.21875" style="2" customWidth="1"/>
    <col min="15106" max="15106" width="2.5546875" style="2" customWidth="1"/>
    <col min="15107" max="15108" width="9.21875" style="2"/>
    <col min="15109" max="15109" width="7.21875" style="2" customWidth="1"/>
    <col min="15110" max="15110" width="8.21875" style="2" customWidth="1"/>
    <col min="15111" max="15112" width="10.21875" style="2" customWidth="1"/>
    <col min="15113" max="15113" width="3.77734375" style="2" customWidth="1"/>
    <col min="15114" max="15114" width="9.21875" style="2"/>
    <col min="15115" max="15115" width="6.21875" style="2" customWidth="1"/>
    <col min="15116" max="15116" width="5.5546875" style="2" customWidth="1"/>
    <col min="15117" max="15117" width="10.77734375" style="2" customWidth="1"/>
    <col min="15118" max="15118" width="8.21875" style="2" customWidth="1"/>
    <col min="15119" max="15119" width="12.21875" style="2" customWidth="1"/>
    <col min="15120" max="15120" width="10.21875" style="2" customWidth="1"/>
    <col min="15121" max="15121" width="9.21875" style="2" customWidth="1"/>
    <col min="15122" max="15360" width="9.21875" style="2"/>
    <col min="15361" max="15361" width="4.21875" style="2" customWidth="1"/>
    <col min="15362" max="15362" width="2.5546875" style="2" customWidth="1"/>
    <col min="15363" max="15364" width="9.21875" style="2"/>
    <col min="15365" max="15365" width="7.21875" style="2" customWidth="1"/>
    <col min="15366" max="15366" width="8.21875" style="2" customWidth="1"/>
    <col min="15367" max="15368" width="10.21875" style="2" customWidth="1"/>
    <col min="15369" max="15369" width="3.77734375" style="2" customWidth="1"/>
    <col min="15370" max="15370" width="9.21875" style="2"/>
    <col min="15371" max="15371" width="6.21875" style="2" customWidth="1"/>
    <col min="15372" max="15372" width="5.5546875" style="2" customWidth="1"/>
    <col min="15373" max="15373" width="10.77734375" style="2" customWidth="1"/>
    <col min="15374" max="15374" width="8.21875" style="2" customWidth="1"/>
    <col min="15375" max="15375" width="12.21875" style="2" customWidth="1"/>
    <col min="15376" max="15376" width="10.21875" style="2" customWidth="1"/>
    <col min="15377" max="15377" width="9.21875" style="2" customWidth="1"/>
    <col min="15378" max="15616" width="9.21875" style="2"/>
    <col min="15617" max="15617" width="4.21875" style="2" customWidth="1"/>
    <col min="15618" max="15618" width="2.5546875" style="2" customWidth="1"/>
    <col min="15619" max="15620" width="9.21875" style="2"/>
    <col min="15621" max="15621" width="7.21875" style="2" customWidth="1"/>
    <col min="15622" max="15622" width="8.21875" style="2" customWidth="1"/>
    <col min="15623" max="15624" width="10.21875" style="2" customWidth="1"/>
    <col min="15625" max="15625" width="3.77734375" style="2" customWidth="1"/>
    <col min="15626" max="15626" width="9.21875" style="2"/>
    <col min="15627" max="15627" width="6.21875" style="2" customWidth="1"/>
    <col min="15628" max="15628" width="5.5546875" style="2" customWidth="1"/>
    <col min="15629" max="15629" width="10.77734375" style="2" customWidth="1"/>
    <col min="15630" max="15630" width="8.21875" style="2" customWidth="1"/>
    <col min="15631" max="15631" width="12.21875" style="2" customWidth="1"/>
    <col min="15632" max="15632" width="10.21875" style="2" customWidth="1"/>
    <col min="15633" max="15633" width="9.21875" style="2" customWidth="1"/>
    <col min="15634" max="15872" width="9.21875" style="2"/>
    <col min="15873" max="15873" width="4.21875" style="2" customWidth="1"/>
    <col min="15874" max="15874" width="2.5546875" style="2" customWidth="1"/>
    <col min="15875" max="15876" width="9.21875" style="2"/>
    <col min="15877" max="15877" width="7.21875" style="2" customWidth="1"/>
    <col min="15878" max="15878" width="8.21875" style="2" customWidth="1"/>
    <col min="15879" max="15880" width="10.21875" style="2" customWidth="1"/>
    <col min="15881" max="15881" width="3.77734375" style="2" customWidth="1"/>
    <col min="15882" max="15882" width="9.21875" style="2"/>
    <col min="15883" max="15883" width="6.21875" style="2" customWidth="1"/>
    <col min="15884" max="15884" width="5.5546875" style="2" customWidth="1"/>
    <col min="15885" max="15885" width="10.77734375" style="2" customWidth="1"/>
    <col min="15886" max="15886" width="8.21875" style="2" customWidth="1"/>
    <col min="15887" max="15887" width="12.21875" style="2" customWidth="1"/>
    <col min="15888" max="15888" width="10.21875" style="2" customWidth="1"/>
    <col min="15889" max="15889" width="9.21875" style="2" customWidth="1"/>
    <col min="15890" max="16128" width="9.21875" style="2"/>
    <col min="16129" max="16129" width="4.21875" style="2" customWidth="1"/>
    <col min="16130" max="16130" width="2.5546875" style="2" customWidth="1"/>
    <col min="16131" max="16132" width="9.21875" style="2"/>
    <col min="16133" max="16133" width="7.21875" style="2" customWidth="1"/>
    <col min="16134" max="16134" width="8.21875" style="2" customWidth="1"/>
    <col min="16135" max="16136" width="10.21875" style="2" customWidth="1"/>
    <col min="16137" max="16137" width="3.77734375" style="2" customWidth="1"/>
    <col min="16138" max="16138" width="9.21875" style="2"/>
    <col min="16139" max="16139" width="6.21875" style="2" customWidth="1"/>
    <col min="16140" max="16140" width="5.5546875" style="2" customWidth="1"/>
    <col min="16141" max="16141" width="10.77734375" style="2" customWidth="1"/>
    <col min="16142" max="16142" width="8.21875" style="2" customWidth="1"/>
    <col min="16143" max="16143" width="12.21875" style="2" customWidth="1"/>
    <col min="16144" max="16144" width="10.21875" style="2" customWidth="1"/>
    <col min="16145" max="16145" width="9.21875" style="2" customWidth="1"/>
    <col min="16146" max="16384" width="9.21875" style="2"/>
  </cols>
  <sheetData>
    <row r="1" spans="1:18" ht="15.6">
      <c r="A1" s="1220" t="s">
        <v>20</v>
      </c>
      <c r="B1" s="1220"/>
      <c r="C1" s="1220"/>
      <c r="D1" s="1220"/>
      <c r="E1" s="1220"/>
      <c r="F1" s="1220"/>
      <c r="G1" s="1220"/>
      <c r="H1" s="1220"/>
      <c r="I1" s="1220"/>
      <c r="J1" s="1220"/>
      <c r="K1" s="1220"/>
      <c r="L1" s="1220"/>
      <c r="M1" s="1220"/>
      <c r="N1" s="1220"/>
      <c r="O1" s="1220"/>
      <c r="P1" s="49"/>
      <c r="Q1" s="50"/>
      <c r="R1" s="49"/>
    </row>
    <row r="2" spans="1:18" ht="15.6">
      <c r="A2" s="1220" t="s">
        <v>42</v>
      </c>
      <c r="B2" s="1220"/>
      <c r="C2" s="1220"/>
      <c r="D2" s="1220"/>
      <c r="E2" s="1220"/>
      <c r="F2" s="1220"/>
      <c r="G2" s="1220"/>
      <c r="H2" s="1220"/>
      <c r="I2" s="1220"/>
      <c r="J2" s="1220"/>
      <c r="K2" s="1220"/>
      <c r="L2" s="1220"/>
      <c r="M2" s="1220"/>
      <c r="N2" s="1220"/>
      <c r="O2" s="1220"/>
    </row>
    <row r="3" spans="1:18" ht="9" customHeight="1">
      <c r="A3" s="49"/>
      <c r="B3" s="49"/>
      <c r="C3" s="49"/>
      <c r="D3" s="49"/>
      <c r="E3" s="49"/>
      <c r="F3" s="49"/>
      <c r="G3" s="49"/>
      <c r="H3" s="49"/>
      <c r="I3" s="49"/>
      <c r="J3" s="49"/>
      <c r="K3" s="49"/>
      <c r="L3" s="49"/>
      <c r="M3" s="49"/>
      <c r="N3" s="49"/>
      <c r="O3" s="49"/>
    </row>
    <row r="4" spans="1:18" ht="7.5" customHeight="1"/>
    <row r="5" spans="1:18" ht="39" customHeight="1">
      <c r="A5" s="33" t="s">
        <v>22</v>
      </c>
      <c r="F5" s="34" t="s">
        <v>23</v>
      </c>
      <c r="H5" s="35" t="s">
        <v>24</v>
      </c>
      <c r="I5" s="36"/>
      <c r="J5" s="1221" t="s">
        <v>25</v>
      </c>
      <c r="K5" s="1217"/>
      <c r="M5" s="3" t="s">
        <v>26</v>
      </c>
      <c r="O5" s="37" t="s">
        <v>27</v>
      </c>
    </row>
    <row r="6" spans="1:18" ht="6.75" customHeight="1"/>
    <row r="7" spans="1:18" ht="15">
      <c r="B7" s="5" t="s">
        <v>6</v>
      </c>
      <c r="F7" s="38">
        <f>IF('Input (4)'!$G$4=0," ",'Input (4)'!$G$4)</f>
        <v>19</v>
      </c>
      <c r="G7" s="39"/>
      <c r="J7" s="1222">
        <f>IF('Input (4)'!G4=0,"0",'Input (4)'!G4)</f>
        <v>19</v>
      </c>
      <c r="K7" s="1222"/>
      <c r="L7" s="40" t="s">
        <v>28</v>
      </c>
      <c r="M7" s="41">
        <f>IF('Input (4)'!G4=0,0,LOOKUP(J7,'criteria (4)'!$A$3:$A$10,'criteria (4)'!$B$3:$B$10))</f>
        <v>40</v>
      </c>
      <c r="N7" s="42" t="s">
        <v>29</v>
      </c>
      <c r="O7" s="38">
        <f>IF(Q7=0,0,IF(Q7&lt;LOOKUP(J7,'criteria (4)'!$A$3:$A$10,'criteria (4)'!$C$3:$C$10),LOOKUP(J7,'criteria (4)'!$A$3:$A$10,'criteria (4)'!$C$3:$C$10),IF(LOOKUP(J7,'criteria (4)'!$A$3:$A$10,'criteria (4)'!$C$3:$C$10)=0,0,Q7)))</f>
        <v>0.6</v>
      </c>
      <c r="P7" s="28" t="str">
        <f>IF('Input (4)'!G4=0," ",IF(O7=0,"ADD to 1-6",IF(O7=Q7," ","Minimum")))</f>
        <v>Minimum</v>
      </c>
      <c r="Q7" s="32">
        <f>ROUND(IF('Input (4)'!G4=0,0,IF(M7=0,0,(J7/M7))),2)</f>
        <v>0.48</v>
      </c>
    </row>
    <row r="8" spans="1:18" ht="6.75" customHeight="1">
      <c r="J8" s="43"/>
      <c r="K8" s="43"/>
      <c r="O8" s="43"/>
    </row>
    <row r="9" spans="1:18">
      <c r="B9" s="5" t="s">
        <v>7</v>
      </c>
      <c r="J9" s="43"/>
      <c r="K9" s="43"/>
      <c r="O9" s="43"/>
    </row>
    <row r="10" spans="1:18">
      <c r="B10" s="28" t="s">
        <v>30</v>
      </c>
      <c r="J10" s="43"/>
      <c r="K10" s="43"/>
      <c r="O10" s="43"/>
    </row>
    <row r="11" spans="1:18" ht="16.5" customHeight="1">
      <c r="C11" s="12" t="s">
        <v>8</v>
      </c>
      <c r="F11" s="41" t="str">
        <f>IF(J11=0," ",IF($J$16&gt;300," ",'Input (4)'!G7))</f>
        <v xml:space="preserve"> </v>
      </c>
      <c r="G11" s="44" t="s">
        <v>31</v>
      </c>
      <c r="H11" s="38" t="str">
        <f>IF(J11=0," ",'C (4)'!H25)</f>
        <v xml:space="preserve"> </v>
      </c>
      <c r="I11" s="42" t="s">
        <v>29</v>
      </c>
      <c r="J11" s="1222">
        <f>IF('Input (4)'!G7=0,0,IF(SUM('Input (4)'!G7-'C (4)'!H25)+SUM('Input (4)'!G8-'C (4)'!H26)&gt;299.99,SUM('Input (4)'!G7-'C (4)'!H25),0))</f>
        <v>0</v>
      </c>
      <c r="K11" s="1222"/>
      <c r="L11" s="40" t="s">
        <v>28</v>
      </c>
      <c r="M11" s="41">
        <f>IF(SUM('Input (4)'!$G$7-'C (4)'!$H$25)+SUM('Input (4)'!$G$8-'C (4)'!$H$26)&gt;299.99,20,0)</f>
        <v>0</v>
      </c>
      <c r="N11" s="42" t="s">
        <v>29</v>
      </c>
      <c r="O11" s="38">
        <f>ROUND(IF(SUM('Input (4)'!$G$7-'C (4)'!$H$25)+SUM('Input (4)'!$G$8-'C (4)'!$H$26)&lt;299.99,0,IF(Q11+Q13&lt;15,0,(J11/M11))),2)</f>
        <v>0</v>
      </c>
      <c r="P11" s="2" t="str">
        <f>IF(O11=0," ",IF(O11=Q11," ","Minimum"))</f>
        <v xml:space="preserve"> </v>
      </c>
      <c r="Q11" s="32">
        <f>ROUND(IF(SUM('Input (4)'!$G$7-'C (4)'!$H$25)+SUM('Input (4)'!$G$8-'C (4)'!$H$26)&lt;299.99,0,(J11/M11)),2)</f>
        <v>0</v>
      </c>
    </row>
    <row r="12" spans="1:18" ht="9" customHeight="1">
      <c r="B12" s="12"/>
      <c r="J12" s="43"/>
      <c r="K12" s="43"/>
      <c r="O12" s="43"/>
    </row>
    <row r="13" spans="1:18" ht="15">
      <c r="C13" s="12" t="s">
        <v>9</v>
      </c>
      <c r="F13" s="41" t="str">
        <f>IF(J13=0," ",IF($J$16&gt;300," ",'Input (4)'!G8))</f>
        <v xml:space="preserve"> </v>
      </c>
      <c r="G13" s="44" t="s">
        <v>31</v>
      </c>
      <c r="H13" s="38" t="str">
        <f>IF(J13=0," ",'C (4)'!H26)</f>
        <v xml:space="preserve"> </v>
      </c>
      <c r="I13" s="42" t="s">
        <v>29</v>
      </c>
      <c r="J13" s="1222">
        <f>IF('Input (4)'!G8=0,0,IF(SUM('Input (4)'!G7-'C (4)'!H25)+SUM('Input (4)'!G8-'C (4)'!H26)&gt;299.99,SUM('Input (4)'!G8-'C (4)'!H26),0))</f>
        <v>0</v>
      </c>
      <c r="K13" s="1222"/>
      <c r="L13" s="40" t="s">
        <v>28</v>
      </c>
      <c r="M13" s="41">
        <f>IF(SUM('Input (4)'!$G$7-'C (4)'!$H$25)+SUM('Input (4)'!$G$8-'C (4)'!$H$26)&gt;299.99,23,0)</f>
        <v>0</v>
      </c>
      <c r="N13" s="42" t="s">
        <v>29</v>
      </c>
      <c r="O13" s="38">
        <f>ROUND(IF(SUM('Input (4)'!$G$7-'C (4)'!$H$25)+SUM('Input (4)'!$G$8-'C (4)'!$H$26)&lt;299.99,0,IF(Q11+Q13&lt;15,0,($J$13/$M$13))),2)</f>
        <v>0</v>
      </c>
      <c r="P13" s="2" t="str">
        <f>IF(O13=0," ",IF(O13=Q13," ","Minimum"))</f>
        <v xml:space="preserve"> </v>
      </c>
      <c r="Q13" s="32">
        <f>ROUND(IF(SUM('Input (4)'!$G$7-'C (4)'!$H$25)+SUM('Input (4)'!$G$8-'C (4)'!$H$26)&lt;299.99,0,($J$13/$M$13)),2)</f>
        <v>0</v>
      </c>
    </row>
    <row r="14" spans="1:18" ht="15">
      <c r="B14" s="5" t="s">
        <v>7</v>
      </c>
      <c r="F14" s="36"/>
      <c r="G14" s="44"/>
      <c r="H14" s="39"/>
      <c r="I14" s="42"/>
      <c r="O14" s="39" t="str">
        <f>IF(P14="Minimum",15," ")</f>
        <v xml:space="preserve"> </v>
      </c>
      <c r="P14" s="2" t="str">
        <f>IF(Q11+Q13=0," ",IF(Q11+Q13&lt;15,"Minimum"," "))</f>
        <v xml:space="preserve"> </v>
      </c>
    </row>
    <row r="15" spans="1:18">
      <c r="B15" s="28" t="s">
        <v>32</v>
      </c>
      <c r="O15" s="43"/>
    </row>
    <row r="16" spans="1:18" ht="15">
      <c r="C16" s="12" t="s">
        <v>33</v>
      </c>
      <c r="F16" s="41">
        <f>IF(J16=0," ",IF(J16&lt;300,SUM('Input (4)'!G7+'Input (4)'!G8)," "))</f>
        <v>98.8</v>
      </c>
      <c r="G16" s="44" t="s">
        <v>31</v>
      </c>
      <c r="H16" s="38">
        <f>IF(J16=0," ",'C (4)'!H22)</f>
        <v>7.4399999999999995</v>
      </c>
      <c r="I16" s="42" t="s">
        <v>29</v>
      </c>
      <c r="J16" s="1222">
        <f>IF('Input (4)'!G9=0,0,IF(SUM('Input (4)'!G7-'C (4)'!H25)+SUM('Input (4)'!G8-'C (4)'!H26)&lt;300,IF(P7="ADD to 1-6",SUM('Input (4)'!G7-'C (4)'!H25)+SUM('Input (4)'!G8-'C (4)'!H26)+'Input (4)'!G4,SUM('Input (4)'!G7-'C (4)'!H25)+SUM('Input (4)'!G8-'C (4)'!H26)),0))</f>
        <v>91.359999999999985</v>
      </c>
      <c r="K16" s="1222"/>
      <c r="L16" s="40" t="s">
        <v>28</v>
      </c>
      <c r="M16" s="41">
        <f>IF(SUM('Input (4)'!$G$7-'C (4)'!$H$25)+SUM('Input (4)'!$G$8-'C (4)'!$H$26)&lt;299.99,LOOKUP(J16,'criteria (4)'!$M$3:$M$11,'criteria (4)'!$N$3:$N$11),0)</f>
        <v>16</v>
      </c>
      <c r="N16" s="42" t="s">
        <v>29</v>
      </c>
      <c r="O16" s="38">
        <f>IF(Q16=0,0,IF(Q16&lt;LOOKUP(J16,'criteria (4)'!$M$3:$M$10,'criteria (4)'!$O$3:$O$10),LOOKUP(J16,'criteria (4)'!$M$3:$M$10,'criteria (4)'!$O$3:$O$10),Q16))</f>
        <v>5.71</v>
      </c>
      <c r="P16" s="2" t="str">
        <f>IF(O16=0," ",IF(O16=Q16," ","Minimum"))</f>
        <v xml:space="preserve"> </v>
      </c>
      <c r="Q16" s="32">
        <f>ROUND(IF('Input (4)'!G9=0,0,IF(SUM('Input (4)'!$G$7-'C (4)'!$H$25)+SUM('Input (4)'!$G$8-'C (4)'!$H$26)&gt;299.99,0,(J16/M16))),2)</f>
        <v>5.71</v>
      </c>
    </row>
    <row r="17" spans="1:17" ht="6" customHeight="1">
      <c r="J17" s="43"/>
      <c r="K17" s="43"/>
      <c r="O17" s="43"/>
    </row>
    <row r="18" spans="1:17" ht="15">
      <c r="B18" s="5" t="s">
        <v>10</v>
      </c>
      <c r="F18" s="41">
        <f>IF(J18=0," ",'Input (4)'!G10)</f>
        <v>123.5</v>
      </c>
      <c r="G18" s="44" t="s">
        <v>31</v>
      </c>
      <c r="H18" s="38">
        <f>IF(J18=0," ",'C (4)'!$H$43)</f>
        <v>7.15</v>
      </c>
      <c r="I18" s="42" t="s">
        <v>29</v>
      </c>
      <c r="J18" s="1222">
        <f>IF('Input (4)'!G10=0,0,SUM('Input (4)'!G10-'C (4)'!H43))</f>
        <v>116.35</v>
      </c>
      <c r="K18" s="1222"/>
      <c r="L18" s="40" t="s">
        <v>28</v>
      </c>
      <c r="M18" s="41">
        <f>IF(J18=0,0,IF(J18&gt;99.99,LOOKUP(J18,'criteria (4)'!Q3:Q10,'criteria (4)'!R3:R10),12))</f>
        <v>12</v>
      </c>
      <c r="N18" s="42" t="s">
        <v>29</v>
      </c>
      <c r="O18" s="38">
        <f>ROUND(IF(J18=0,0,IF(J18&lt;99.99,IF(M18=0,8,(J18/M18)),IF(Q18&lt;LOOKUP(J18,'criteria (4)'!$Q$3:$Q$10,'criteria (4)'!$S$3:$S$10),LOOKUP(J18,'criteria (4)'!$Q$3:$Q$10,'criteria (4)'!$S$3:$S$10),Q18))),2)</f>
        <v>9.6999999999999993</v>
      </c>
      <c r="P18" s="2" t="str">
        <f>IF(O18=0," ",IF(O18=Q18," ","Minimum"))</f>
        <v xml:space="preserve"> </v>
      </c>
      <c r="Q18" s="32">
        <f>ROUND(IF(M18=0,0,(J18/M18)),2)</f>
        <v>9.6999999999999993</v>
      </c>
    </row>
    <row r="19" spans="1:17">
      <c r="B19" s="5"/>
      <c r="J19" s="39"/>
      <c r="K19" s="39"/>
      <c r="M19" s="36"/>
      <c r="N19" s="42"/>
      <c r="O19" s="36"/>
    </row>
    <row r="20" spans="1:17" ht="15.6">
      <c r="A20" s="48" t="s">
        <v>43</v>
      </c>
      <c r="J20" s="43"/>
      <c r="K20" s="43"/>
    </row>
    <row r="21" spans="1:17" ht="3.75" customHeight="1">
      <c r="J21" s="43"/>
      <c r="K21" s="43"/>
    </row>
    <row r="22" spans="1:17">
      <c r="B22" s="2" t="s">
        <v>44</v>
      </c>
      <c r="J22" s="1222" t="str">
        <f>IF('C (4)'!H55=0," ",'C (4)'!H55)</f>
        <v xml:space="preserve"> </v>
      </c>
      <c r="K22" s="1222"/>
    </row>
    <row r="23" spans="1:17" ht="6" customHeight="1">
      <c r="J23" s="43"/>
      <c r="K23" s="43"/>
    </row>
    <row r="24" spans="1:17">
      <c r="B24" s="2" t="s">
        <v>45</v>
      </c>
      <c r="J24" s="1222">
        <f>IF('C (4)'!H22=0," ",'C (4)'!H22)</f>
        <v>7.4399999999999995</v>
      </c>
      <c r="K24" s="1222"/>
    </row>
    <row r="25" spans="1:17" ht="6" customHeight="1">
      <c r="J25" s="43"/>
      <c r="K25" s="43"/>
    </row>
    <row r="26" spans="1:17">
      <c r="B26" s="2" t="s">
        <v>46</v>
      </c>
      <c r="J26" s="1222">
        <f>IF('C (4)'!H43=0," ",'C (4)'!H43)</f>
        <v>7.15</v>
      </c>
      <c r="K26" s="1222"/>
    </row>
    <row r="27" spans="1:17" ht="6" customHeight="1">
      <c r="J27" s="43"/>
      <c r="K27" s="43"/>
    </row>
    <row r="28" spans="1:17" ht="6" customHeight="1">
      <c r="J28" s="39"/>
      <c r="K28" s="39"/>
    </row>
    <row r="29" spans="1:17" ht="13.5" customHeight="1" thickBot="1">
      <c r="B29" s="46" t="s">
        <v>47</v>
      </c>
      <c r="J29" s="1219">
        <f>SUM(J22:K27)</f>
        <v>14.59</v>
      </c>
      <c r="K29" s="1219"/>
      <c r="L29" s="40" t="s">
        <v>28</v>
      </c>
      <c r="M29" s="41">
        <f>IF(SUM('Input (4)'!C4:C10)=0,0,IF(J29&gt;=14,LOOKUP(J29,'criteria (4)'!$U$3:$U$10,'criteria (4)'!$V$3:$V$10),0))</f>
        <v>14.5</v>
      </c>
      <c r="N29" s="42" t="s">
        <v>29</v>
      </c>
      <c r="O29" s="38">
        <f>IF(J29=0,0,IF(Q29&lt;LOOKUP(J29,'criteria (4)'!$U$3:$U$10,'criteria (4)'!$W$3:$W$10),LOOKUP(J29,'criteria (4)'!$U$3:$U$10,'criteria (4)'!$W$3:$W$10),Q29))</f>
        <v>1.01</v>
      </c>
      <c r="P29" s="2" t="str">
        <f>IF(O29=0," ",IF(O29=Q29," ","Minimum"))</f>
        <v xml:space="preserve"> </v>
      </c>
      <c r="Q29" s="32">
        <f>ROUND(IF(SUM('Input (4)'!C4:C10)=0,0,IF(M29=0,0,(J29/M29))),2)</f>
        <v>1.01</v>
      </c>
    </row>
    <row r="30" spans="1:17" ht="12" customHeight="1" thickTop="1">
      <c r="B30" s="1226"/>
      <c r="C30" s="1226"/>
      <c r="D30" s="1226"/>
      <c r="E30" s="1226"/>
      <c r="F30" s="47"/>
      <c r="G30" s="47"/>
      <c r="H30" s="47"/>
      <c r="J30" s="12"/>
      <c r="N30" s="42"/>
      <c r="O30" s="39"/>
      <c r="P30" s="46"/>
    </row>
    <row r="31" spans="1:17" ht="19.5" customHeight="1">
      <c r="A31" s="48" t="s">
        <v>39</v>
      </c>
      <c r="O31" s="43"/>
    </row>
    <row r="32" spans="1:17" ht="15">
      <c r="B32" s="1227" t="str">
        <f>IF('Input (4)'!E14=0," ","Alternative Secondary High School")</f>
        <v xml:space="preserve"> </v>
      </c>
      <c r="C32" s="1227"/>
      <c r="D32" s="1227"/>
      <c r="E32" s="1227"/>
      <c r="F32" s="1227"/>
      <c r="J32" s="1222">
        <f>'Input (4)'!G14</f>
        <v>0</v>
      </c>
      <c r="K32" s="1222"/>
      <c r="L32" s="40" t="s">
        <v>28</v>
      </c>
      <c r="M32" s="41">
        <f>IF(J32=0,0,IF(Q32&lt;1,M18,12))</f>
        <v>0</v>
      </c>
      <c r="N32" s="42" t="s">
        <v>29</v>
      </c>
      <c r="O32" s="38">
        <f>ROUND(IF(J32=0,0,J32/M32),2)</f>
        <v>0</v>
      </c>
      <c r="P32" s="45"/>
      <c r="Q32" s="32">
        <f>ROUND(IF(J32=0,0,J32/12),2)</f>
        <v>0</v>
      </c>
    </row>
    <row r="33" spans="1:17" ht="11.25" customHeight="1">
      <c r="J33" s="43"/>
      <c r="K33" s="43"/>
      <c r="O33" s="43"/>
    </row>
    <row r="34" spans="1:17" ht="11.25" customHeight="1">
      <c r="B34" s="1227" t="str">
        <f>IF('Input (4)'!E15=0," ","Summer Alternative Secondary High School")</f>
        <v xml:space="preserve"> </v>
      </c>
      <c r="C34" s="1227"/>
      <c r="D34" s="1227"/>
      <c r="E34" s="1227"/>
      <c r="F34" s="1227"/>
      <c r="J34" s="1222">
        <f>'Input (4)'!E15</f>
        <v>0</v>
      </c>
      <c r="K34" s="1222"/>
      <c r="L34" s="40" t="s">
        <v>28</v>
      </c>
      <c r="M34" s="41">
        <f>IF(J34=0,0,40)</f>
        <v>0</v>
      </c>
      <c r="N34" s="42" t="s">
        <v>29</v>
      </c>
      <c r="O34" s="38">
        <f>ROUND(IF(J34=0,0,J34/M34),2)</f>
        <v>0</v>
      </c>
      <c r="P34" s="45"/>
      <c r="Q34" s="32">
        <f>ROUND(IF(J34=0,0,J34/12),2)</f>
        <v>0</v>
      </c>
    </row>
    <row r="35" spans="1:17" ht="13.5" customHeight="1">
      <c r="J35" s="36"/>
      <c r="K35" s="36"/>
      <c r="L35" s="40"/>
      <c r="M35" s="36"/>
      <c r="N35" s="42"/>
      <c r="O35" s="36"/>
      <c r="P35" s="46"/>
    </row>
    <row r="36" spans="1:17" ht="18.75" customHeight="1" thickBot="1">
      <c r="A36" s="45"/>
      <c r="B36" s="12" t="s">
        <v>40</v>
      </c>
      <c r="C36" s="46"/>
      <c r="D36" s="46"/>
      <c r="E36" s="46"/>
      <c r="F36" s="46"/>
      <c r="G36" s="46"/>
      <c r="H36" s="46"/>
      <c r="I36" s="46"/>
      <c r="J36" s="46"/>
      <c r="K36" s="46"/>
      <c r="M36" s="36"/>
      <c r="O36" s="52">
        <f>ROUND(IF(SUM(O7:O34)=0,0,SUM(O7:O34)),2)</f>
        <v>17.02</v>
      </c>
    </row>
    <row r="37" spans="1:17" ht="13.8" thickTop="1"/>
  </sheetData>
  <sheetProtection password="CDD6" sheet="1" objects="1" scenarios="1"/>
  <mergeCells count="17">
    <mergeCell ref="B30:E30"/>
    <mergeCell ref="B32:F32"/>
    <mergeCell ref="J32:K32"/>
    <mergeCell ref="B34:F34"/>
    <mergeCell ref="J34:K34"/>
    <mergeCell ref="J29:K29"/>
    <mergeCell ref="A1:O1"/>
    <mergeCell ref="A2:O2"/>
    <mergeCell ref="J5:K5"/>
    <mergeCell ref="J7:K7"/>
    <mergeCell ref="J11:K11"/>
    <mergeCell ref="J13:K13"/>
    <mergeCell ref="J16:K16"/>
    <mergeCell ref="J18:K18"/>
    <mergeCell ref="J22:K22"/>
    <mergeCell ref="J24:K24"/>
    <mergeCell ref="J26:K26"/>
  </mergeCells>
  <pageMargins left="0.5" right="0.5" top="0.5" bottom="0.5" header="0.25" footer="0.25"/>
  <pageSetup scale="76" orientation="portrait" r:id="rId1"/>
  <headerFooter alignWithMargins="0">
    <oddFooter>&amp;L&amp;F</oddFooter>
  </headerFooter>
  <colBreaks count="1" manualBreakCount="1">
    <brk id="16"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F51CB6-802B-4D6C-B35C-BAE1E5B60EA7}">
  <dimension ref="A1:BM175"/>
  <sheetViews>
    <sheetView showGridLines="0" zoomScaleNormal="100" workbookViewId="0">
      <pane xSplit="1" ySplit="5" topLeftCell="J87" activePane="bottomRight" state="frozen"/>
      <selection pane="topRight" activeCell="B1" sqref="B1"/>
      <selection pane="bottomLeft" activeCell="A6" sqref="A6"/>
      <selection pane="bottomRight" activeCell="A101" sqref="A101:A103"/>
    </sheetView>
  </sheetViews>
  <sheetFormatPr defaultColWidth="8.88671875" defaultRowHeight="14.4"/>
  <cols>
    <col min="1" max="1" width="44.77734375" style="797" customWidth="1"/>
    <col min="2" max="9" width="2.21875" hidden="1" customWidth="1"/>
    <col min="10" max="10" width="13.6640625" style="671" customWidth="1"/>
    <col min="11" max="11" width="2.21875" hidden="1" customWidth="1"/>
    <col min="12" max="12" width="13.6640625" style="671" customWidth="1"/>
    <col min="13" max="13" width="2.21875" hidden="1" customWidth="1"/>
    <col min="14" max="14" width="10.88671875" style="671" customWidth="1"/>
    <col min="15" max="20" width="2.21875" hidden="1" customWidth="1"/>
    <col min="21" max="21" width="10.88671875" style="675" customWidth="1"/>
    <col min="22" max="24" width="2.21875" hidden="1" customWidth="1"/>
    <col min="25" max="25" width="13.6640625" style="671" customWidth="1"/>
    <col min="26" max="28" width="2.21875" hidden="1" customWidth="1"/>
    <col min="29" max="29" width="13.6640625" style="671" customWidth="1"/>
    <col min="30" max="32" width="2.21875" hidden="1" customWidth="1"/>
    <col min="33" max="33" width="13.6640625" style="671" customWidth="1"/>
    <col min="34" max="36" width="2.21875" hidden="1" customWidth="1"/>
    <col min="37" max="37" width="13.6640625" style="671" customWidth="1"/>
    <col min="38" max="40" width="2.21875" hidden="1" customWidth="1"/>
    <col min="41" max="41" width="13.6640625" style="671" customWidth="1"/>
    <col min="42" max="44" width="3.5546875" style="671" hidden="1" customWidth="1"/>
    <col min="45" max="45" width="13.6640625" style="671" customWidth="1"/>
    <col min="46" max="46" width="2.21875" customWidth="1"/>
    <col min="47" max="47" width="11.44140625" style="671" bestFit="1" customWidth="1"/>
    <col min="48" max="48" width="8.88671875" style="671"/>
    <col min="49" max="49" width="11.109375" customWidth="1"/>
    <col min="50" max="51" width="9.21875" customWidth="1"/>
    <col min="52" max="52" width="10.21875" customWidth="1"/>
    <col min="56" max="255" width="8.88671875" style="671"/>
    <col min="256" max="256" width="36.33203125" style="671" customWidth="1"/>
    <col min="257" max="264" width="12.33203125" style="671" customWidth="1"/>
    <col min="265" max="511" width="8.88671875" style="671"/>
    <col min="512" max="512" width="36.33203125" style="671" customWidth="1"/>
    <col min="513" max="520" width="12.33203125" style="671" customWidth="1"/>
    <col min="521" max="767" width="8.88671875" style="671"/>
    <col min="768" max="768" width="36.33203125" style="671" customWidth="1"/>
    <col min="769" max="776" width="12.33203125" style="671" customWidth="1"/>
    <col min="777" max="1023" width="8.88671875" style="671"/>
    <col min="1024" max="1024" width="36.33203125" style="671" customWidth="1"/>
    <col min="1025" max="1032" width="12.33203125" style="671" customWidth="1"/>
    <col min="1033" max="1279" width="8.88671875" style="671"/>
    <col min="1280" max="1280" width="36.33203125" style="671" customWidth="1"/>
    <col min="1281" max="1288" width="12.33203125" style="671" customWidth="1"/>
    <col min="1289" max="1535" width="8.88671875" style="671"/>
    <col min="1536" max="1536" width="36.33203125" style="671" customWidth="1"/>
    <col min="1537" max="1544" width="12.33203125" style="671" customWidth="1"/>
    <col min="1545" max="1791" width="8.88671875" style="671"/>
    <col min="1792" max="1792" width="36.33203125" style="671" customWidth="1"/>
    <col min="1793" max="1800" width="12.33203125" style="671" customWidth="1"/>
    <col min="1801" max="2047" width="8.88671875" style="671"/>
    <col min="2048" max="2048" width="36.33203125" style="671" customWidth="1"/>
    <col min="2049" max="2056" width="12.33203125" style="671" customWidth="1"/>
    <col min="2057" max="2303" width="8.88671875" style="671"/>
    <col min="2304" max="2304" width="36.33203125" style="671" customWidth="1"/>
    <col min="2305" max="2312" width="12.33203125" style="671" customWidth="1"/>
    <col min="2313" max="2559" width="8.88671875" style="671"/>
    <col min="2560" max="2560" width="36.33203125" style="671" customWidth="1"/>
    <col min="2561" max="2568" width="12.33203125" style="671" customWidth="1"/>
    <col min="2569" max="2815" width="8.88671875" style="671"/>
    <col min="2816" max="2816" width="36.33203125" style="671" customWidth="1"/>
    <col min="2817" max="2824" width="12.33203125" style="671" customWidth="1"/>
    <col min="2825" max="3071" width="8.88671875" style="671"/>
    <col min="3072" max="3072" width="36.33203125" style="671" customWidth="1"/>
    <col min="3073" max="3080" width="12.33203125" style="671" customWidth="1"/>
    <col min="3081" max="3327" width="8.88671875" style="671"/>
    <col min="3328" max="3328" width="36.33203125" style="671" customWidth="1"/>
    <col min="3329" max="3336" width="12.33203125" style="671" customWidth="1"/>
    <col min="3337" max="3583" width="8.88671875" style="671"/>
    <col min="3584" max="3584" width="36.33203125" style="671" customWidth="1"/>
    <col min="3585" max="3592" width="12.33203125" style="671" customWidth="1"/>
    <col min="3593" max="3839" width="8.88671875" style="671"/>
    <col min="3840" max="3840" width="36.33203125" style="671" customWidth="1"/>
    <col min="3841" max="3848" width="12.33203125" style="671" customWidth="1"/>
    <col min="3849" max="4095" width="8.88671875" style="671"/>
    <col min="4096" max="4096" width="36.33203125" style="671" customWidth="1"/>
    <col min="4097" max="4104" width="12.33203125" style="671" customWidth="1"/>
    <col min="4105" max="4351" width="8.88671875" style="671"/>
    <col min="4352" max="4352" width="36.33203125" style="671" customWidth="1"/>
    <col min="4353" max="4360" width="12.33203125" style="671" customWidth="1"/>
    <col min="4361" max="4607" width="8.88671875" style="671"/>
    <col min="4608" max="4608" width="36.33203125" style="671" customWidth="1"/>
    <col min="4609" max="4616" width="12.33203125" style="671" customWidth="1"/>
    <col min="4617" max="4863" width="8.88671875" style="671"/>
    <col min="4864" max="4864" width="36.33203125" style="671" customWidth="1"/>
    <col min="4865" max="4872" width="12.33203125" style="671" customWidth="1"/>
    <col min="4873" max="5119" width="8.88671875" style="671"/>
    <col min="5120" max="5120" width="36.33203125" style="671" customWidth="1"/>
    <col min="5121" max="5128" width="12.33203125" style="671" customWidth="1"/>
    <col min="5129" max="5375" width="8.88671875" style="671"/>
    <col min="5376" max="5376" width="36.33203125" style="671" customWidth="1"/>
    <col min="5377" max="5384" width="12.33203125" style="671" customWidth="1"/>
    <col min="5385" max="5631" width="8.88671875" style="671"/>
    <col min="5632" max="5632" width="36.33203125" style="671" customWidth="1"/>
    <col min="5633" max="5640" width="12.33203125" style="671" customWidth="1"/>
    <col min="5641" max="5887" width="8.88671875" style="671"/>
    <col min="5888" max="5888" width="36.33203125" style="671" customWidth="1"/>
    <col min="5889" max="5896" width="12.33203125" style="671" customWidth="1"/>
    <col min="5897" max="6143" width="8.88671875" style="671"/>
    <col min="6144" max="6144" width="36.33203125" style="671" customWidth="1"/>
    <col min="6145" max="6152" width="12.33203125" style="671" customWidth="1"/>
    <col min="6153" max="6399" width="8.88671875" style="671"/>
    <col min="6400" max="6400" width="36.33203125" style="671" customWidth="1"/>
    <col min="6401" max="6408" width="12.33203125" style="671" customWidth="1"/>
    <col min="6409" max="6655" width="8.88671875" style="671"/>
    <col min="6656" max="6656" width="36.33203125" style="671" customWidth="1"/>
    <col min="6657" max="6664" width="12.33203125" style="671" customWidth="1"/>
    <col min="6665" max="6911" width="8.88671875" style="671"/>
    <col min="6912" max="6912" width="36.33203125" style="671" customWidth="1"/>
    <col min="6913" max="6920" width="12.33203125" style="671" customWidth="1"/>
    <col min="6921" max="7167" width="8.88671875" style="671"/>
    <col min="7168" max="7168" width="36.33203125" style="671" customWidth="1"/>
    <col min="7169" max="7176" width="12.33203125" style="671" customWidth="1"/>
    <col min="7177" max="7423" width="8.88671875" style="671"/>
    <col min="7424" max="7424" width="36.33203125" style="671" customWidth="1"/>
    <col min="7425" max="7432" width="12.33203125" style="671" customWidth="1"/>
    <col min="7433" max="7679" width="8.88671875" style="671"/>
    <col min="7680" max="7680" width="36.33203125" style="671" customWidth="1"/>
    <col min="7681" max="7688" width="12.33203125" style="671" customWidth="1"/>
    <col min="7689" max="7935" width="8.88671875" style="671"/>
    <col min="7936" max="7936" width="36.33203125" style="671" customWidth="1"/>
    <col min="7937" max="7944" width="12.33203125" style="671" customWidth="1"/>
    <col min="7945" max="8191" width="8.88671875" style="671"/>
    <col min="8192" max="8192" width="36.33203125" style="671" customWidth="1"/>
    <col min="8193" max="8200" width="12.33203125" style="671" customWidth="1"/>
    <col min="8201" max="8447" width="8.88671875" style="671"/>
    <col min="8448" max="8448" width="36.33203125" style="671" customWidth="1"/>
    <col min="8449" max="8456" width="12.33203125" style="671" customWidth="1"/>
    <col min="8457" max="8703" width="8.88671875" style="671"/>
    <col min="8704" max="8704" width="36.33203125" style="671" customWidth="1"/>
    <col min="8705" max="8712" width="12.33203125" style="671" customWidth="1"/>
    <col min="8713" max="8959" width="8.88671875" style="671"/>
    <col min="8960" max="8960" width="36.33203125" style="671" customWidth="1"/>
    <col min="8961" max="8968" width="12.33203125" style="671" customWidth="1"/>
    <col min="8969" max="9215" width="8.88671875" style="671"/>
    <col min="9216" max="9216" width="36.33203125" style="671" customWidth="1"/>
    <col min="9217" max="9224" width="12.33203125" style="671" customWidth="1"/>
    <col min="9225" max="9471" width="8.88671875" style="671"/>
    <col min="9472" max="9472" width="36.33203125" style="671" customWidth="1"/>
    <col min="9473" max="9480" width="12.33203125" style="671" customWidth="1"/>
    <col min="9481" max="9727" width="8.88671875" style="671"/>
    <col min="9728" max="9728" width="36.33203125" style="671" customWidth="1"/>
    <col min="9729" max="9736" width="12.33203125" style="671" customWidth="1"/>
    <col min="9737" max="9983" width="8.88671875" style="671"/>
    <col min="9984" max="9984" width="36.33203125" style="671" customWidth="1"/>
    <col min="9985" max="9992" width="12.33203125" style="671" customWidth="1"/>
    <col min="9993" max="10239" width="8.88671875" style="671"/>
    <col min="10240" max="10240" width="36.33203125" style="671" customWidth="1"/>
    <col min="10241" max="10248" width="12.33203125" style="671" customWidth="1"/>
    <col min="10249" max="10495" width="8.88671875" style="671"/>
    <col min="10496" max="10496" width="36.33203125" style="671" customWidth="1"/>
    <col min="10497" max="10504" width="12.33203125" style="671" customWidth="1"/>
    <col min="10505" max="10751" width="8.88671875" style="671"/>
    <col min="10752" max="10752" width="36.33203125" style="671" customWidth="1"/>
    <col min="10753" max="10760" width="12.33203125" style="671" customWidth="1"/>
    <col min="10761" max="11007" width="8.88671875" style="671"/>
    <col min="11008" max="11008" width="36.33203125" style="671" customWidth="1"/>
    <col min="11009" max="11016" width="12.33203125" style="671" customWidth="1"/>
    <col min="11017" max="11263" width="8.88671875" style="671"/>
    <col min="11264" max="11264" width="36.33203125" style="671" customWidth="1"/>
    <col min="11265" max="11272" width="12.33203125" style="671" customWidth="1"/>
    <col min="11273" max="11519" width="8.88671875" style="671"/>
    <col min="11520" max="11520" width="36.33203125" style="671" customWidth="1"/>
    <col min="11521" max="11528" width="12.33203125" style="671" customWidth="1"/>
    <col min="11529" max="11775" width="8.88671875" style="671"/>
    <col min="11776" max="11776" width="36.33203125" style="671" customWidth="1"/>
    <col min="11777" max="11784" width="12.33203125" style="671" customWidth="1"/>
    <col min="11785" max="12031" width="8.88671875" style="671"/>
    <col min="12032" max="12032" width="36.33203125" style="671" customWidth="1"/>
    <col min="12033" max="12040" width="12.33203125" style="671" customWidth="1"/>
    <col min="12041" max="12287" width="8.88671875" style="671"/>
    <col min="12288" max="12288" width="36.33203125" style="671" customWidth="1"/>
    <col min="12289" max="12296" width="12.33203125" style="671" customWidth="1"/>
    <col min="12297" max="12543" width="8.88671875" style="671"/>
    <col min="12544" max="12544" width="36.33203125" style="671" customWidth="1"/>
    <col min="12545" max="12552" width="12.33203125" style="671" customWidth="1"/>
    <col min="12553" max="12799" width="8.88671875" style="671"/>
    <col min="12800" max="12800" width="36.33203125" style="671" customWidth="1"/>
    <col min="12801" max="12808" width="12.33203125" style="671" customWidth="1"/>
    <col min="12809" max="13055" width="8.88671875" style="671"/>
    <col min="13056" max="13056" width="36.33203125" style="671" customWidth="1"/>
    <col min="13057" max="13064" width="12.33203125" style="671" customWidth="1"/>
    <col min="13065" max="13311" width="8.88671875" style="671"/>
    <col min="13312" max="13312" width="36.33203125" style="671" customWidth="1"/>
    <col min="13313" max="13320" width="12.33203125" style="671" customWidth="1"/>
    <col min="13321" max="13567" width="8.88671875" style="671"/>
    <col min="13568" max="13568" width="36.33203125" style="671" customWidth="1"/>
    <col min="13569" max="13576" width="12.33203125" style="671" customWidth="1"/>
    <col min="13577" max="13823" width="8.88671875" style="671"/>
    <col min="13824" max="13824" width="36.33203125" style="671" customWidth="1"/>
    <col min="13825" max="13832" width="12.33203125" style="671" customWidth="1"/>
    <col min="13833" max="14079" width="8.88671875" style="671"/>
    <col min="14080" max="14080" width="36.33203125" style="671" customWidth="1"/>
    <col min="14081" max="14088" width="12.33203125" style="671" customWidth="1"/>
    <col min="14089" max="14335" width="8.88671875" style="671"/>
    <col min="14336" max="14336" width="36.33203125" style="671" customWidth="1"/>
    <col min="14337" max="14344" width="12.33203125" style="671" customWidth="1"/>
    <col min="14345" max="14591" width="8.88671875" style="671"/>
    <col min="14592" max="14592" width="36.33203125" style="671" customWidth="1"/>
    <col min="14593" max="14600" width="12.33203125" style="671" customWidth="1"/>
    <col min="14601" max="14847" width="8.88671875" style="671"/>
    <col min="14848" max="14848" width="36.33203125" style="671" customWidth="1"/>
    <col min="14849" max="14856" width="12.33203125" style="671" customWidth="1"/>
    <col min="14857" max="15103" width="8.88671875" style="671"/>
    <col min="15104" max="15104" width="36.33203125" style="671" customWidth="1"/>
    <col min="15105" max="15112" width="12.33203125" style="671" customWidth="1"/>
    <col min="15113" max="15359" width="8.88671875" style="671"/>
    <col min="15360" max="15360" width="36.33203125" style="671" customWidth="1"/>
    <col min="15361" max="15368" width="12.33203125" style="671" customWidth="1"/>
    <col min="15369" max="15615" width="8.88671875" style="671"/>
    <col min="15616" max="15616" width="36.33203125" style="671" customWidth="1"/>
    <col min="15617" max="15624" width="12.33203125" style="671" customWidth="1"/>
    <col min="15625" max="15871" width="8.88671875" style="671"/>
    <col min="15872" max="15872" width="36.33203125" style="671" customWidth="1"/>
    <col min="15873" max="15880" width="12.33203125" style="671" customWidth="1"/>
    <col min="15881" max="16127" width="8.88671875" style="671"/>
    <col min="16128" max="16128" width="36.33203125" style="671" customWidth="1"/>
    <col min="16129" max="16136" width="12.33203125" style="671" customWidth="1"/>
    <col min="16137" max="16384" width="8.88671875" style="671"/>
  </cols>
  <sheetData>
    <row r="1" spans="1:65" s="670" customFormat="1">
      <c r="A1" s="798"/>
      <c r="B1"/>
      <c r="C1"/>
      <c r="D1"/>
      <c r="E1"/>
      <c r="F1"/>
      <c r="G1"/>
      <c r="H1"/>
      <c r="I1"/>
      <c r="J1" s="798"/>
      <c r="K1"/>
      <c r="L1" s="798"/>
      <c r="M1"/>
      <c r="N1" s="798"/>
      <c r="O1"/>
      <c r="P1"/>
      <c r="Q1"/>
      <c r="R1"/>
      <c r="S1"/>
      <c r="T1"/>
      <c r="U1" s="798"/>
      <c r="V1"/>
      <c r="W1"/>
      <c r="X1"/>
      <c r="Y1" s="798"/>
      <c r="Z1"/>
      <c r="AA1"/>
      <c r="AB1"/>
      <c r="AC1" s="798"/>
      <c r="AD1"/>
      <c r="AE1"/>
      <c r="AF1"/>
      <c r="AG1" s="798"/>
      <c r="AH1"/>
      <c r="AI1"/>
      <c r="AJ1"/>
      <c r="AK1" s="798"/>
      <c r="AL1"/>
      <c r="AM1"/>
      <c r="AN1"/>
      <c r="AO1" s="798"/>
      <c r="AP1" s="798"/>
      <c r="AQ1" s="798"/>
      <c r="AR1" s="798"/>
      <c r="AS1" s="798"/>
      <c r="AT1"/>
      <c r="AW1"/>
      <c r="AX1"/>
      <c r="AY1"/>
      <c r="AZ1"/>
      <c r="BA1"/>
      <c r="BB1"/>
      <c r="BC1"/>
    </row>
    <row r="2" spans="1:65" ht="13.05" customHeight="1">
      <c r="A2" s="807" t="s">
        <v>919</v>
      </c>
      <c r="J2" s="799"/>
      <c r="L2" s="799"/>
      <c r="N2" s="799"/>
      <c r="U2" s="799"/>
      <c r="Y2" s="799"/>
      <c r="AC2" s="799"/>
      <c r="AG2" s="799"/>
      <c r="AK2" s="799"/>
      <c r="AO2" s="799"/>
      <c r="AP2" s="799"/>
      <c r="AQ2" s="799"/>
      <c r="AR2" s="799"/>
      <c r="AS2" s="799"/>
    </row>
    <row r="3" spans="1:65" s="675" customFormat="1" ht="11.25" customHeight="1">
      <c r="A3" s="672"/>
      <c r="B3"/>
      <c r="C3"/>
      <c r="D3"/>
      <c r="E3"/>
      <c r="F3"/>
      <c r="G3"/>
      <c r="H3"/>
      <c r="I3"/>
      <c r="J3" s="673"/>
      <c r="K3"/>
      <c r="L3" s="673"/>
      <c r="M3"/>
      <c r="N3" s="673"/>
      <c r="O3"/>
      <c r="P3"/>
      <c r="Q3"/>
      <c r="R3"/>
      <c r="S3"/>
      <c r="T3"/>
      <c r="U3" s="673"/>
      <c r="V3"/>
      <c r="W3"/>
      <c r="X3"/>
      <c r="Y3" s="674"/>
      <c r="Z3"/>
      <c r="AA3"/>
      <c r="AB3"/>
      <c r="AC3" s="674"/>
      <c r="AD3"/>
      <c r="AE3"/>
      <c r="AF3"/>
      <c r="AG3" s="674"/>
      <c r="AH3"/>
      <c r="AI3"/>
      <c r="AJ3"/>
      <c r="AK3" s="674"/>
      <c r="AL3"/>
      <c r="AM3"/>
      <c r="AN3"/>
      <c r="AO3" s="674"/>
      <c r="AP3" s="674"/>
      <c r="AQ3" s="674"/>
      <c r="AR3" s="674"/>
      <c r="AS3" s="674"/>
      <c r="AT3"/>
      <c r="AW3"/>
      <c r="AX3"/>
      <c r="AY3"/>
      <c r="AZ3"/>
      <c r="BA3"/>
      <c r="BB3"/>
      <c r="BC3"/>
    </row>
    <row r="4" spans="1:65" s="675" customFormat="1">
      <c r="A4" s="676"/>
      <c r="B4"/>
      <c r="C4"/>
      <c r="D4"/>
      <c r="E4"/>
      <c r="F4"/>
      <c r="G4"/>
      <c r="H4"/>
      <c r="I4"/>
      <c r="J4" s="677" t="s">
        <v>920</v>
      </c>
      <c r="K4"/>
      <c r="L4" s="678" t="s">
        <v>920</v>
      </c>
      <c r="M4"/>
      <c r="N4" s="678" t="s">
        <v>920</v>
      </c>
      <c r="O4"/>
      <c r="P4"/>
      <c r="Q4"/>
      <c r="R4"/>
      <c r="S4"/>
      <c r="T4"/>
      <c r="U4" s="677" t="s">
        <v>921</v>
      </c>
      <c r="V4"/>
      <c r="W4"/>
      <c r="X4"/>
      <c r="Y4" s="677" t="s">
        <v>922</v>
      </c>
      <c r="Z4"/>
      <c r="AA4"/>
      <c r="AB4"/>
      <c r="AC4" s="677" t="s">
        <v>922</v>
      </c>
      <c r="AD4"/>
      <c r="AE4"/>
      <c r="AF4"/>
      <c r="AG4" s="677" t="s">
        <v>922</v>
      </c>
      <c r="AH4"/>
      <c r="AI4"/>
      <c r="AJ4"/>
      <c r="AK4" s="677" t="s">
        <v>922</v>
      </c>
      <c r="AL4"/>
      <c r="AM4"/>
      <c r="AN4"/>
      <c r="AO4" s="677" t="s">
        <v>922</v>
      </c>
      <c r="AP4" s="677"/>
      <c r="AQ4" s="677"/>
      <c r="AR4" s="677"/>
      <c r="AS4" s="677" t="s">
        <v>922</v>
      </c>
      <c r="AT4"/>
      <c r="AU4" s="677" t="s">
        <v>923</v>
      </c>
      <c r="AV4" s="675" t="s">
        <v>236</v>
      </c>
      <c r="AW4"/>
      <c r="AX4"/>
      <c r="AY4"/>
      <c r="AZ4"/>
      <c r="BA4"/>
      <c r="BB4"/>
      <c r="BC4"/>
    </row>
    <row r="5" spans="1:65" s="675" customFormat="1">
      <c r="A5" s="679"/>
      <c r="B5"/>
      <c r="C5"/>
      <c r="D5"/>
      <c r="E5"/>
      <c r="F5"/>
      <c r="G5"/>
      <c r="H5"/>
      <c r="I5"/>
      <c r="J5" s="680" t="s">
        <v>924</v>
      </c>
      <c r="K5"/>
      <c r="L5" s="680" t="s">
        <v>925</v>
      </c>
      <c r="M5"/>
      <c r="N5" s="680" t="s">
        <v>926</v>
      </c>
      <c r="O5"/>
      <c r="P5"/>
      <c r="Q5"/>
      <c r="R5"/>
      <c r="S5"/>
      <c r="T5"/>
      <c r="U5" s="680" t="s">
        <v>317</v>
      </c>
      <c r="V5"/>
      <c r="W5"/>
      <c r="X5"/>
      <c r="Y5" s="680" t="s">
        <v>333</v>
      </c>
      <c r="Z5"/>
      <c r="AA5"/>
      <c r="AB5"/>
      <c r="AC5" s="680" t="s">
        <v>421</v>
      </c>
      <c r="AD5"/>
      <c r="AE5"/>
      <c r="AF5"/>
      <c r="AG5" s="680" t="s">
        <v>422</v>
      </c>
      <c r="AH5"/>
      <c r="AI5"/>
      <c r="AJ5"/>
      <c r="AK5" s="680" t="s">
        <v>423</v>
      </c>
      <c r="AL5"/>
      <c r="AM5"/>
      <c r="AN5"/>
      <c r="AO5" s="680" t="s">
        <v>439</v>
      </c>
      <c r="AP5" s="680"/>
      <c r="AQ5" s="680"/>
      <c r="AR5" s="680"/>
      <c r="AS5" s="680" t="s">
        <v>871</v>
      </c>
      <c r="AT5"/>
      <c r="AU5" s="681"/>
      <c r="AW5"/>
      <c r="AX5"/>
      <c r="AY5"/>
      <c r="AZ5"/>
      <c r="BA5"/>
      <c r="BB5"/>
      <c r="BC5"/>
    </row>
    <row r="6" spans="1:65" s="675" customFormat="1">
      <c r="A6" s="679" t="s">
        <v>303</v>
      </c>
      <c r="B6"/>
      <c r="C6"/>
      <c r="D6"/>
      <c r="E6"/>
      <c r="F6"/>
      <c r="G6"/>
      <c r="H6"/>
      <c r="I6"/>
      <c r="J6" s="682"/>
      <c r="K6"/>
      <c r="L6" s="683"/>
      <c r="M6"/>
      <c r="N6" s="683"/>
      <c r="O6"/>
      <c r="P6"/>
      <c r="Q6"/>
      <c r="R6"/>
      <c r="S6"/>
      <c r="T6"/>
      <c r="U6" s="682"/>
      <c r="V6"/>
      <c r="W6"/>
      <c r="X6"/>
      <c r="Y6" s="682"/>
      <c r="Z6"/>
      <c r="AA6"/>
      <c r="AB6"/>
      <c r="AC6" s="682"/>
      <c r="AD6"/>
      <c r="AE6"/>
      <c r="AF6"/>
      <c r="AG6" s="682"/>
      <c r="AH6"/>
      <c r="AI6"/>
      <c r="AJ6"/>
      <c r="AK6" s="682"/>
      <c r="AL6"/>
      <c r="AM6"/>
      <c r="AN6"/>
      <c r="AO6" s="682"/>
      <c r="AP6" s="682"/>
      <c r="AQ6" s="682"/>
      <c r="AR6" s="682"/>
      <c r="AS6" s="682"/>
      <c r="AT6"/>
      <c r="AU6" s="682"/>
      <c r="AW6"/>
      <c r="AX6"/>
      <c r="AY6"/>
      <c r="AZ6"/>
      <c r="BA6"/>
      <c r="BB6"/>
      <c r="BC6"/>
      <c r="BD6" s="684"/>
      <c r="BE6" s="684"/>
      <c r="BF6" s="684"/>
      <c r="BG6" s="684"/>
      <c r="BH6" s="684"/>
      <c r="BI6" s="684"/>
      <c r="BJ6" s="684"/>
      <c r="BK6" s="684"/>
      <c r="BL6" s="684"/>
      <c r="BM6" s="684"/>
    </row>
    <row r="7" spans="1:65" s="675" customFormat="1">
      <c r="A7" s="679" t="s">
        <v>27</v>
      </c>
      <c r="B7"/>
      <c r="C7"/>
      <c r="D7"/>
      <c r="E7"/>
      <c r="F7"/>
      <c r="G7"/>
      <c r="H7"/>
      <c r="I7"/>
      <c r="J7" s="685"/>
      <c r="K7"/>
      <c r="L7" s="686"/>
      <c r="M7"/>
      <c r="N7" s="686"/>
      <c r="O7"/>
      <c r="P7"/>
      <c r="Q7"/>
      <c r="R7"/>
      <c r="S7"/>
      <c r="T7"/>
      <c r="U7" s="686"/>
      <c r="V7"/>
      <c r="W7"/>
      <c r="X7"/>
      <c r="Y7" s="686"/>
      <c r="Z7"/>
      <c r="AA7"/>
      <c r="AB7"/>
      <c r="AC7" s="686"/>
      <c r="AD7"/>
      <c r="AE7"/>
      <c r="AF7"/>
      <c r="AG7" s="686"/>
      <c r="AH7"/>
      <c r="AI7"/>
      <c r="AJ7"/>
      <c r="AK7" s="686"/>
      <c r="AL7"/>
      <c r="AM7"/>
      <c r="AN7"/>
      <c r="AO7" s="686"/>
      <c r="AP7" s="801"/>
      <c r="AQ7" s="801"/>
      <c r="AR7" s="801"/>
      <c r="AS7" s="686"/>
      <c r="AT7"/>
      <c r="AU7" s="685"/>
      <c r="AW7"/>
      <c r="AX7"/>
      <c r="AY7"/>
      <c r="AZ7"/>
      <c r="BA7"/>
      <c r="BB7"/>
      <c r="BC7"/>
      <c r="BD7" s="684"/>
      <c r="BE7" s="684"/>
      <c r="BF7" s="684"/>
      <c r="BG7" s="684"/>
      <c r="BH7" s="684"/>
      <c r="BI7" s="684"/>
      <c r="BJ7" s="684"/>
      <c r="BK7" s="684"/>
      <c r="BL7" s="684"/>
      <c r="BM7" s="684"/>
    </row>
    <row r="8" spans="1:65" s="675" customFormat="1" ht="13.95" hidden="1" customHeight="1">
      <c r="A8" s="687"/>
      <c r="B8"/>
      <c r="C8"/>
      <c r="D8"/>
      <c r="E8"/>
      <c r="F8"/>
      <c r="G8"/>
      <c r="H8"/>
      <c r="I8"/>
      <c r="J8" s="688"/>
      <c r="K8"/>
      <c r="L8" s="688"/>
      <c r="M8"/>
      <c r="N8" s="688"/>
      <c r="O8"/>
      <c r="P8"/>
      <c r="Q8"/>
      <c r="R8"/>
      <c r="S8"/>
      <c r="T8"/>
      <c r="U8" s="688"/>
      <c r="V8"/>
      <c r="W8"/>
      <c r="X8"/>
      <c r="Y8" s="689"/>
      <c r="Z8"/>
      <c r="AA8"/>
      <c r="AB8"/>
      <c r="AC8" s="689"/>
      <c r="AD8"/>
      <c r="AE8"/>
      <c r="AF8"/>
      <c r="AG8" s="689"/>
      <c r="AH8"/>
      <c r="AI8"/>
      <c r="AJ8"/>
      <c r="AK8" s="689"/>
      <c r="AL8"/>
      <c r="AM8"/>
      <c r="AN8"/>
      <c r="AO8" s="689"/>
      <c r="AP8" s="689"/>
      <c r="AQ8" s="689"/>
      <c r="AR8" s="689"/>
      <c r="AS8" s="689"/>
      <c r="AT8"/>
      <c r="AU8" s="688"/>
      <c r="AW8"/>
      <c r="AX8"/>
      <c r="AY8"/>
      <c r="AZ8"/>
      <c r="BA8"/>
      <c r="BB8"/>
      <c r="BC8"/>
      <c r="BD8" s="684"/>
      <c r="BE8" s="684"/>
      <c r="BF8" s="684"/>
      <c r="BG8" s="684"/>
      <c r="BH8" s="684"/>
      <c r="BI8" s="684"/>
      <c r="BJ8" s="684"/>
      <c r="BK8" s="684"/>
      <c r="BL8" s="684"/>
      <c r="BM8" s="684"/>
    </row>
    <row r="9" spans="1:65" s="675" customFormat="1">
      <c r="A9" s="690" t="s">
        <v>927</v>
      </c>
      <c r="B9"/>
      <c r="C9"/>
      <c r="D9"/>
      <c r="E9"/>
      <c r="F9"/>
      <c r="G9"/>
      <c r="H9"/>
      <c r="I9"/>
      <c r="J9" s="688"/>
      <c r="K9"/>
      <c r="L9" s="688"/>
      <c r="M9"/>
      <c r="N9" s="688"/>
      <c r="O9"/>
      <c r="P9"/>
      <c r="Q9"/>
      <c r="R9"/>
      <c r="S9"/>
      <c r="T9"/>
      <c r="U9" s="688"/>
      <c r="V9"/>
      <c r="W9"/>
      <c r="X9"/>
      <c r="Y9" s="689"/>
      <c r="Z9"/>
      <c r="AA9"/>
      <c r="AB9"/>
      <c r="AC9" s="689"/>
      <c r="AD9"/>
      <c r="AE9"/>
      <c r="AF9"/>
      <c r="AG9" s="689"/>
      <c r="AH9"/>
      <c r="AI9"/>
      <c r="AJ9"/>
      <c r="AK9" s="689"/>
      <c r="AL9"/>
      <c r="AM9"/>
      <c r="AN9"/>
      <c r="AO9" s="689"/>
      <c r="AP9" s="689"/>
      <c r="AQ9" s="689"/>
      <c r="AR9" s="689"/>
      <c r="AS9" s="689"/>
      <c r="AT9"/>
      <c r="AU9" s="688"/>
      <c r="AW9"/>
      <c r="AX9"/>
      <c r="AY9"/>
      <c r="AZ9"/>
      <c r="BA9"/>
      <c r="BB9"/>
      <c r="BC9"/>
      <c r="BD9" s="684"/>
      <c r="BE9" s="684"/>
      <c r="BF9" s="684"/>
      <c r="BG9" s="684"/>
      <c r="BH9" s="684"/>
      <c r="BI9" s="684"/>
      <c r="BJ9" s="684"/>
      <c r="BK9" s="684"/>
      <c r="BL9" s="684"/>
      <c r="BM9" s="684"/>
    </row>
    <row r="10" spans="1:65" s="675" customFormat="1">
      <c r="A10" s="690" t="s">
        <v>928</v>
      </c>
      <c r="B10"/>
      <c r="C10"/>
      <c r="D10"/>
      <c r="E10"/>
      <c r="F10"/>
      <c r="G10"/>
      <c r="H10"/>
      <c r="I10"/>
      <c r="J10" s="688"/>
      <c r="K10"/>
      <c r="L10" s="688"/>
      <c r="M10"/>
      <c r="N10" s="688"/>
      <c r="O10"/>
      <c r="P10"/>
      <c r="Q10"/>
      <c r="R10"/>
      <c r="S10"/>
      <c r="T10"/>
      <c r="U10" s="688"/>
      <c r="V10"/>
      <c r="W10"/>
      <c r="X10"/>
      <c r="Y10" s="689"/>
      <c r="Z10"/>
      <c r="AA10"/>
      <c r="AB10"/>
      <c r="AC10" s="689"/>
      <c r="AD10"/>
      <c r="AE10"/>
      <c r="AF10"/>
      <c r="AG10" s="689"/>
      <c r="AH10"/>
      <c r="AI10"/>
      <c r="AJ10"/>
      <c r="AK10" s="689"/>
      <c r="AL10"/>
      <c r="AM10"/>
      <c r="AN10"/>
      <c r="AO10" s="689"/>
      <c r="AP10" s="689"/>
      <c r="AQ10" s="689"/>
      <c r="AR10" s="689"/>
      <c r="AS10" s="689"/>
      <c r="AT10"/>
      <c r="AU10" s="688"/>
      <c r="AW10"/>
      <c r="AX10"/>
      <c r="AY10"/>
      <c r="AZ10"/>
      <c r="BA10"/>
      <c r="BB10"/>
      <c r="BC10"/>
      <c r="BD10" s="684"/>
      <c r="BE10" s="684"/>
      <c r="BF10" s="684"/>
      <c r="BG10" s="684"/>
      <c r="BH10" s="684"/>
      <c r="BI10" s="684"/>
      <c r="BJ10" s="684"/>
      <c r="BK10" s="684"/>
      <c r="BL10" s="684"/>
      <c r="BM10" s="684"/>
    </row>
    <row r="11" spans="1:65" s="675" customFormat="1">
      <c r="A11" s="691" t="s">
        <v>929</v>
      </c>
      <c r="B11"/>
      <c r="C11"/>
      <c r="D11"/>
      <c r="E11"/>
      <c r="F11"/>
      <c r="G11"/>
      <c r="H11"/>
      <c r="I11"/>
      <c r="J11" s="688"/>
      <c r="K11"/>
      <c r="L11" s="692"/>
      <c r="M11"/>
      <c r="N11" s="692"/>
      <c r="O11"/>
      <c r="P11"/>
      <c r="Q11"/>
      <c r="R11"/>
      <c r="S11"/>
      <c r="T11"/>
      <c r="U11" s="688"/>
      <c r="V11"/>
      <c r="W11"/>
      <c r="X11"/>
      <c r="Y11" s="688"/>
      <c r="Z11"/>
      <c r="AA11"/>
      <c r="AB11"/>
      <c r="AC11" s="688"/>
      <c r="AD11"/>
      <c r="AE11"/>
      <c r="AF11"/>
      <c r="AG11" s="688"/>
      <c r="AH11"/>
      <c r="AI11"/>
      <c r="AJ11"/>
      <c r="AK11" s="688"/>
      <c r="AL11"/>
      <c r="AM11"/>
      <c r="AN11"/>
      <c r="AO11" s="688"/>
      <c r="AP11" s="688"/>
      <c r="AQ11" s="688"/>
      <c r="AR11" s="688"/>
      <c r="AS11" s="688"/>
      <c r="AT11"/>
      <c r="AU11" s="688"/>
      <c r="AW11"/>
      <c r="AX11"/>
      <c r="AY11"/>
      <c r="AZ11"/>
      <c r="BA11"/>
      <c r="BB11"/>
      <c r="BC11"/>
      <c r="BD11" s="684"/>
      <c r="BE11" s="684"/>
      <c r="BF11" s="684"/>
      <c r="BG11" s="684"/>
      <c r="BH11" s="684"/>
      <c r="BI11" s="684"/>
      <c r="BJ11" s="684"/>
      <c r="BK11" s="684"/>
      <c r="BL11" s="684"/>
      <c r="BM11" s="684"/>
    </row>
    <row r="12" spans="1:65" s="675" customFormat="1">
      <c r="A12" s="691" t="s">
        <v>930</v>
      </c>
      <c r="B12"/>
      <c r="C12"/>
      <c r="D12"/>
      <c r="E12"/>
      <c r="F12"/>
      <c r="G12"/>
      <c r="H12"/>
      <c r="I12"/>
      <c r="J12" s="688"/>
      <c r="K12"/>
      <c r="L12" s="692"/>
      <c r="M12"/>
      <c r="N12" s="692"/>
      <c r="O12"/>
      <c r="P12"/>
      <c r="Q12"/>
      <c r="R12"/>
      <c r="S12"/>
      <c r="T12"/>
      <c r="U12" s="688"/>
      <c r="V12"/>
      <c r="W12"/>
      <c r="X12"/>
      <c r="Y12" s="688"/>
      <c r="Z12"/>
      <c r="AA12"/>
      <c r="AB12"/>
      <c r="AC12" s="688"/>
      <c r="AD12"/>
      <c r="AE12"/>
      <c r="AF12"/>
      <c r="AG12" s="688"/>
      <c r="AH12"/>
      <c r="AI12"/>
      <c r="AJ12"/>
      <c r="AK12" s="688"/>
      <c r="AL12"/>
      <c r="AM12"/>
      <c r="AN12"/>
      <c r="AO12" s="688"/>
      <c r="AP12" s="688"/>
      <c r="AQ12" s="688"/>
      <c r="AR12" s="688"/>
      <c r="AS12" s="688"/>
      <c r="AT12"/>
      <c r="AU12" s="688"/>
      <c r="AW12"/>
      <c r="AX12"/>
      <c r="AY12"/>
      <c r="AZ12"/>
      <c r="BA12"/>
      <c r="BB12"/>
      <c r="BC12"/>
      <c r="BD12" s="684"/>
      <c r="BE12" s="684"/>
      <c r="BF12" s="684"/>
      <c r="BG12" s="684"/>
      <c r="BH12" s="684"/>
      <c r="BI12" s="684"/>
      <c r="BJ12" s="684"/>
      <c r="BK12" s="684"/>
      <c r="BL12" s="684"/>
      <c r="BM12" s="684"/>
    </row>
    <row r="13" spans="1:65" s="675" customFormat="1">
      <c r="A13" s="691" t="s">
        <v>931</v>
      </c>
      <c r="B13"/>
      <c r="C13"/>
      <c r="D13"/>
      <c r="E13"/>
      <c r="F13"/>
      <c r="G13"/>
      <c r="H13"/>
      <c r="I13"/>
      <c r="J13" s="688"/>
      <c r="K13"/>
      <c r="L13" s="692"/>
      <c r="M13"/>
      <c r="N13" s="692"/>
      <c r="O13"/>
      <c r="P13"/>
      <c r="Q13"/>
      <c r="R13"/>
      <c r="S13"/>
      <c r="T13"/>
      <c r="U13" s="688"/>
      <c r="V13"/>
      <c r="W13"/>
      <c r="X13"/>
      <c r="Y13" s="688"/>
      <c r="Z13"/>
      <c r="AA13"/>
      <c r="AB13"/>
      <c r="AC13" s="688"/>
      <c r="AD13"/>
      <c r="AE13"/>
      <c r="AF13"/>
      <c r="AG13" s="688"/>
      <c r="AH13"/>
      <c r="AI13"/>
      <c r="AJ13"/>
      <c r="AK13" s="688"/>
      <c r="AL13"/>
      <c r="AM13"/>
      <c r="AN13"/>
      <c r="AO13" s="688"/>
      <c r="AP13" s="688"/>
      <c r="AQ13" s="688"/>
      <c r="AR13" s="688"/>
      <c r="AS13" s="688"/>
      <c r="AT13"/>
      <c r="AU13" s="688"/>
      <c r="AW13"/>
      <c r="AX13"/>
      <c r="AY13"/>
      <c r="AZ13"/>
      <c r="BA13"/>
      <c r="BB13"/>
      <c r="BC13"/>
      <c r="BD13" s="684"/>
      <c r="BE13" s="684"/>
      <c r="BF13" s="684"/>
      <c r="BG13" s="684"/>
      <c r="BH13" s="684"/>
      <c r="BI13" s="684"/>
      <c r="BJ13" s="684"/>
      <c r="BK13" s="684"/>
      <c r="BL13" s="684"/>
      <c r="BM13" s="684"/>
    </row>
    <row r="14" spans="1:65" s="675" customFormat="1">
      <c r="A14" s="691" t="s">
        <v>932</v>
      </c>
      <c r="B14"/>
      <c r="C14"/>
      <c r="D14"/>
      <c r="E14"/>
      <c r="F14"/>
      <c r="G14"/>
      <c r="H14"/>
      <c r="I14"/>
      <c r="J14" s="688"/>
      <c r="K14"/>
      <c r="L14" s="692"/>
      <c r="M14"/>
      <c r="N14" s="692"/>
      <c r="O14"/>
      <c r="P14"/>
      <c r="Q14"/>
      <c r="R14"/>
      <c r="S14"/>
      <c r="T14"/>
      <c r="U14" s="688"/>
      <c r="V14"/>
      <c r="W14"/>
      <c r="X14"/>
      <c r="Y14" s="688"/>
      <c r="Z14"/>
      <c r="AA14"/>
      <c r="AB14"/>
      <c r="AC14" s="688"/>
      <c r="AD14"/>
      <c r="AE14"/>
      <c r="AF14"/>
      <c r="AG14" s="688"/>
      <c r="AH14"/>
      <c r="AI14"/>
      <c r="AJ14"/>
      <c r="AK14" s="688"/>
      <c r="AL14"/>
      <c r="AM14"/>
      <c r="AN14"/>
      <c r="AO14" s="688"/>
      <c r="AP14" s="688"/>
      <c r="AQ14" s="688"/>
      <c r="AR14" s="688"/>
      <c r="AS14" s="688"/>
      <c r="AT14"/>
      <c r="AU14" s="688"/>
      <c r="AW14"/>
      <c r="AX14"/>
      <c r="AY14"/>
      <c r="AZ14"/>
      <c r="BA14"/>
      <c r="BB14"/>
      <c r="BC14"/>
      <c r="BD14" s="684"/>
      <c r="BE14" s="684"/>
      <c r="BF14" s="684"/>
      <c r="BG14" s="684"/>
      <c r="BH14" s="684"/>
      <c r="BI14" s="684"/>
      <c r="BJ14" s="684"/>
      <c r="BK14" s="684"/>
      <c r="BL14" s="684"/>
      <c r="BM14" s="684"/>
    </row>
    <row r="15" spans="1:65">
      <c r="A15" s="693" t="s">
        <v>933</v>
      </c>
      <c r="J15" s="694"/>
      <c r="L15" s="695"/>
      <c r="N15" s="695"/>
      <c r="U15" s="694"/>
      <c r="Y15" s="694"/>
      <c r="AC15" s="694"/>
      <c r="AG15" s="694"/>
      <c r="AK15" s="694"/>
      <c r="AO15" s="694"/>
      <c r="AP15" s="688"/>
      <c r="AQ15" s="688"/>
      <c r="AR15" s="688"/>
      <c r="AS15" s="694"/>
      <c r="AU15" s="694"/>
      <c r="BD15" s="684"/>
      <c r="BE15" s="684"/>
      <c r="BF15" s="684"/>
      <c r="BG15" s="684"/>
      <c r="BH15" s="684"/>
      <c r="BI15" s="684"/>
      <c r="BJ15" s="684"/>
      <c r="BK15" s="684"/>
      <c r="BL15" s="684"/>
      <c r="BM15" s="684"/>
    </row>
    <row r="16" spans="1:65">
      <c r="A16" s="696" t="s">
        <v>934</v>
      </c>
      <c r="J16" s="688">
        <f>SUM(J11:J15)</f>
        <v>0</v>
      </c>
      <c r="L16" s="692">
        <f>SUM(L11:L15)</f>
        <v>0</v>
      </c>
      <c r="N16" s="692">
        <f>SUM(N11:N15)</f>
        <v>0</v>
      </c>
      <c r="U16" s="688">
        <f>SUM(U11:U15)</f>
        <v>0</v>
      </c>
      <c r="Y16" s="688">
        <f>SUM(Y11:Y15)</f>
        <v>0</v>
      </c>
      <c r="AC16" s="688">
        <f>SUM(AC11:AC15)</f>
        <v>0</v>
      </c>
      <c r="AG16" s="688">
        <f>SUM(AG11:AG15)</f>
        <v>0</v>
      </c>
      <c r="AK16" s="688">
        <f>SUM(AK11:AK15)</f>
        <v>0</v>
      </c>
      <c r="AO16" s="688">
        <f>SUM(AO11:AO15)</f>
        <v>0</v>
      </c>
      <c r="AP16" s="688"/>
      <c r="AQ16" s="688"/>
      <c r="AR16" s="688"/>
      <c r="AS16" s="688">
        <f>SUM(AS11:AS15)</f>
        <v>0</v>
      </c>
      <c r="AU16" s="688">
        <f>SUM(AU11:AU15)</f>
        <v>0</v>
      </c>
      <c r="BD16" s="684"/>
      <c r="BE16" s="684"/>
      <c r="BF16" s="684"/>
      <c r="BG16" s="684"/>
      <c r="BH16" s="684"/>
      <c r="BI16" s="684"/>
      <c r="BJ16" s="684"/>
      <c r="BK16" s="684"/>
      <c r="BL16" s="684"/>
      <c r="BM16" s="684"/>
    </row>
    <row r="17" spans="1:65">
      <c r="A17" s="696" t="s">
        <v>935</v>
      </c>
      <c r="J17" s="688"/>
      <c r="L17" s="692"/>
      <c r="N17" s="692"/>
      <c r="U17" s="688"/>
      <c r="Y17" s="688"/>
      <c r="AC17" s="688"/>
      <c r="AG17" s="688"/>
      <c r="AK17" s="688"/>
      <c r="AO17" s="688"/>
      <c r="AP17" s="688"/>
      <c r="AQ17" s="688"/>
      <c r="AR17" s="688"/>
      <c r="AS17" s="688"/>
      <c r="AU17" s="688"/>
      <c r="BD17" s="684"/>
      <c r="BE17" s="684"/>
      <c r="BF17" s="684"/>
      <c r="BG17" s="684"/>
      <c r="BH17" s="684"/>
      <c r="BI17" s="684"/>
      <c r="BJ17" s="684"/>
      <c r="BK17" s="684"/>
      <c r="BL17" s="684"/>
      <c r="BM17" s="684"/>
    </row>
    <row r="18" spans="1:65" s="675" customFormat="1">
      <c r="A18" s="691" t="s">
        <v>936</v>
      </c>
      <c r="B18"/>
      <c r="C18"/>
      <c r="D18"/>
      <c r="E18"/>
      <c r="F18"/>
      <c r="G18"/>
      <c r="H18"/>
      <c r="I18"/>
      <c r="J18" s="688"/>
      <c r="K18"/>
      <c r="L18" s="692"/>
      <c r="M18"/>
      <c r="N18" s="692"/>
      <c r="O18"/>
      <c r="P18"/>
      <c r="Q18"/>
      <c r="R18"/>
      <c r="S18"/>
      <c r="T18"/>
      <c r="U18" s="688"/>
      <c r="V18"/>
      <c r="W18"/>
      <c r="X18"/>
      <c r="Y18" s="688"/>
      <c r="Z18"/>
      <c r="AA18"/>
      <c r="AB18"/>
      <c r="AC18" s="688"/>
      <c r="AD18"/>
      <c r="AE18"/>
      <c r="AF18"/>
      <c r="AG18" s="688"/>
      <c r="AH18"/>
      <c r="AI18"/>
      <c r="AJ18"/>
      <c r="AK18" s="688"/>
      <c r="AL18"/>
      <c r="AM18"/>
      <c r="AN18"/>
      <c r="AO18" s="688"/>
      <c r="AP18" s="688"/>
      <c r="AQ18" s="688"/>
      <c r="AR18" s="688"/>
      <c r="AS18" s="688"/>
      <c r="AT18"/>
      <c r="AU18" s="688"/>
      <c r="AW18"/>
      <c r="AX18"/>
      <c r="AY18"/>
      <c r="AZ18"/>
      <c r="BA18"/>
      <c r="BB18"/>
      <c r="BC18"/>
      <c r="BD18" s="684"/>
      <c r="BE18" s="684"/>
      <c r="BF18" s="684"/>
      <c r="BG18" s="684"/>
      <c r="BH18" s="684"/>
      <c r="BI18" s="684"/>
      <c r="BJ18" s="684"/>
      <c r="BK18" s="684"/>
      <c r="BL18" s="684"/>
      <c r="BM18" s="684"/>
    </row>
    <row r="19" spans="1:65" s="675" customFormat="1">
      <c r="A19" s="691" t="s">
        <v>937</v>
      </c>
      <c r="B19"/>
      <c r="C19"/>
      <c r="D19"/>
      <c r="E19"/>
      <c r="F19"/>
      <c r="G19"/>
      <c r="H19"/>
      <c r="I19"/>
      <c r="J19" s="688"/>
      <c r="K19"/>
      <c r="L19" s="692"/>
      <c r="M19"/>
      <c r="N19" s="692"/>
      <c r="O19"/>
      <c r="P19"/>
      <c r="Q19"/>
      <c r="R19"/>
      <c r="S19"/>
      <c r="T19"/>
      <c r="U19" s="688"/>
      <c r="V19"/>
      <c r="W19"/>
      <c r="X19"/>
      <c r="Y19" s="688"/>
      <c r="Z19"/>
      <c r="AA19"/>
      <c r="AB19"/>
      <c r="AC19" s="688"/>
      <c r="AD19"/>
      <c r="AE19"/>
      <c r="AF19"/>
      <c r="AG19" s="688"/>
      <c r="AH19"/>
      <c r="AI19"/>
      <c r="AJ19"/>
      <c r="AK19" s="688"/>
      <c r="AL19"/>
      <c r="AM19"/>
      <c r="AN19"/>
      <c r="AO19" s="688"/>
      <c r="AP19" s="688"/>
      <c r="AQ19" s="688"/>
      <c r="AR19" s="688"/>
      <c r="AS19" s="688"/>
      <c r="AT19"/>
      <c r="AU19" s="688"/>
      <c r="AW19"/>
      <c r="AX19"/>
      <c r="AY19"/>
      <c r="AZ19"/>
      <c r="BA19"/>
      <c r="BB19"/>
      <c r="BC19"/>
      <c r="BD19" s="684"/>
      <c r="BE19" s="684"/>
      <c r="BF19" s="684"/>
      <c r="BG19" s="684"/>
      <c r="BH19" s="684"/>
      <c r="BI19" s="684"/>
      <c r="BJ19" s="684"/>
      <c r="BK19" s="684"/>
      <c r="BL19" s="684"/>
      <c r="BM19" s="684"/>
    </row>
    <row r="20" spans="1:65" s="675" customFormat="1">
      <c r="A20" s="691" t="s">
        <v>938</v>
      </c>
      <c r="B20"/>
      <c r="C20"/>
      <c r="D20"/>
      <c r="E20"/>
      <c r="F20"/>
      <c r="G20"/>
      <c r="H20"/>
      <c r="I20"/>
      <c r="J20" s="688"/>
      <c r="K20"/>
      <c r="L20" s="692"/>
      <c r="M20"/>
      <c r="N20" s="692"/>
      <c r="O20"/>
      <c r="P20"/>
      <c r="Q20"/>
      <c r="R20"/>
      <c r="S20"/>
      <c r="T20"/>
      <c r="U20" s="688"/>
      <c r="V20"/>
      <c r="W20"/>
      <c r="X20"/>
      <c r="Y20" s="688"/>
      <c r="Z20"/>
      <c r="AA20"/>
      <c r="AB20"/>
      <c r="AC20" s="688"/>
      <c r="AD20"/>
      <c r="AE20"/>
      <c r="AF20"/>
      <c r="AG20" s="688"/>
      <c r="AH20"/>
      <c r="AI20"/>
      <c r="AJ20"/>
      <c r="AK20" s="688"/>
      <c r="AL20"/>
      <c r="AM20"/>
      <c r="AN20"/>
      <c r="AO20" s="688"/>
      <c r="AP20" s="688"/>
      <c r="AQ20" s="688"/>
      <c r="AR20" s="688"/>
      <c r="AS20" s="688"/>
      <c r="AT20"/>
      <c r="AU20" s="688"/>
      <c r="AW20"/>
      <c r="AX20"/>
      <c r="AY20"/>
      <c r="AZ20"/>
      <c r="BA20"/>
      <c r="BB20"/>
      <c r="BC20"/>
      <c r="BD20" s="684"/>
      <c r="BE20" s="684"/>
      <c r="BF20" s="684"/>
      <c r="BG20" s="684"/>
      <c r="BH20" s="684"/>
      <c r="BI20" s="684"/>
      <c r="BJ20" s="684"/>
      <c r="BK20" s="684"/>
      <c r="BL20" s="684"/>
      <c r="BM20" s="684"/>
    </row>
    <row r="21" spans="1:65" s="675" customFormat="1">
      <c r="A21" s="691" t="s">
        <v>939</v>
      </c>
      <c r="B21"/>
      <c r="C21"/>
      <c r="D21"/>
      <c r="E21"/>
      <c r="F21"/>
      <c r="G21"/>
      <c r="H21"/>
      <c r="I21"/>
      <c r="J21" s="688"/>
      <c r="K21"/>
      <c r="L21" s="692"/>
      <c r="M21"/>
      <c r="N21" s="692"/>
      <c r="O21"/>
      <c r="P21"/>
      <c r="Q21"/>
      <c r="R21"/>
      <c r="S21"/>
      <c r="T21"/>
      <c r="U21" s="688"/>
      <c r="V21"/>
      <c r="W21"/>
      <c r="X21"/>
      <c r="Y21" s="688"/>
      <c r="Z21"/>
      <c r="AA21"/>
      <c r="AB21"/>
      <c r="AC21" s="688"/>
      <c r="AD21"/>
      <c r="AE21"/>
      <c r="AF21"/>
      <c r="AG21" s="688"/>
      <c r="AH21"/>
      <c r="AI21"/>
      <c r="AJ21"/>
      <c r="AK21" s="688"/>
      <c r="AL21"/>
      <c r="AM21"/>
      <c r="AN21"/>
      <c r="AO21" s="688"/>
      <c r="AP21" s="688"/>
      <c r="AQ21" s="688"/>
      <c r="AR21" s="688"/>
      <c r="AS21" s="688"/>
      <c r="AT21"/>
      <c r="AU21" s="688"/>
      <c r="AW21"/>
      <c r="AX21"/>
      <c r="AY21"/>
      <c r="AZ21"/>
      <c r="BA21"/>
      <c r="BB21"/>
      <c r="BC21"/>
      <c r="BD21" s="684"/>
      <c r="BE21" s="684"/>
      <c r="BF21" s="684"/>
      <c r="BG21" s="684"/>
      <c r="BH21" s="684"/>
      <c r="BI21" s="684"/>
      <c r="BJ21" s="684"/>
      <c r="BK21" s="684"/>
      <c r="BL21" s="684"/>
      <c r="BM21" s="684"/>
    </row>
    <row r="22" spans="1:65">
      <c r="A22" s="693" t="s">
        <v>940</v>
      </c>
      <c r="J22" s="688"/>
      <c r="L22" s="692"/>
      <c r="N22" s="692"/>
      <c r="U22" s="688"/>
      <c r="Y22" s="688"/>
      <c r="AC22" s="688"/>
      <c r="AG22" s="688"/>
      <c r="AK22" s="688"/>
      <c r="AO22" s="688"/>
      <c r="AP22" s="688"/>
      <c r="AQ22" s="688"/>
      <c r="AR22" s="688"/>
      <c r="AS22" s="688"/>
      <c r="AU22" s="688"/>
      <c r="BD22" s="684"/>
      <c r="BE22" s="684"/>
      <c r="BF22" s="684"/>
      <c r="BG22" s="684"/>
      <c r="BH22" s="684"/>
      <c r="BI22" s="684"/>
      <c r="BJ22" s="684"/>
      <c r="BK22" s="684"/>
      <c r="BL22" s="684"/>
      <c r="BM22" s="684"/>
    </row>
    <row r="23" spans="1:65">
      <c r="A23" s="693" t="s">
        <v>941</v>
      </c>
      <c r="J23" s="694"/>
      <c r="L23" s="695"/>
      <c r="N23" s="695"/>
      <c r="U23" s="694"/>
      <c r="Y23" s="694"/>
      <c r="AC23" s="694"/>
      <c r="AG23" s="694"/>
      <c r="AK23" s="694"/>
      <c r="AO23" s="694"/>
      <c r="AP23" s="688"/>
      <c r="AQ23" s="688"/>
      <c r="AR23" s="688"/>
      <c r="AS23" s="694"/>
      <c r="AU23" s="694"/>
      <c r="BD23" s="684"/>
      <c r="BE23" s="684"/>
      <c r="BF23" s="684"/>
      <c r="BG23" s="684"/>
      <c r="BH23" s="684"/>
      <c r="BI23" s="684"/>
      <c r="BJ23" s="684"/>
      <c r="BK23" s="684"/>
      <c r="BL23" s="684"/>
      <c r="BM23" s="684"/>
    </row>
    <row r="24" spans="1:65">
      <c r="A24" s="696" t="s">
        <v>942</v>
      </c>
      <c r="J24" s="688">
        <f>SUM(J18:J23)</f>
        <v>0</v>
      </c>
      <c r="L24" s="688">
        <f>SUM(L18:L23)</f>
        <v>0</v>
      </c>
      <c r="N24" s="688">
        <f>SUM(N18:N23)</f>
        <v>0</v>
      </c>
      <c r="U24" s="688">
        <f>SUM(U18:U23)</f>
        <v>0</v>
      </c>
      <c r="Y24" s="688">
        <f>SUM(Y18:Y23)</f>
        <v>0</v>
      </c>
      <c r="AC24" s="688">
        <f>SUM(AC18:AC23)</f>
        <v>0</v>
      </c>
      <c r="AG24" s="688">
        <f>SUM(AG18:AG23)</f>
        <v>0</v>
      </c>
      <c r="AK24" s="688">
        <f>SUM(AK18:AK23)</f>
        <v>0</v>
      </c>
      <c r="AO24" s="688">
        <f>SUM(AO18:AO23)</f>
        <v>0</v>
      </c>
      <c r="AP24" s="688"/>
      <c r="AQ24" s="688"/>
      <c r="AR24" s="688"/>
      <c r="AS24" s="688">
        <f>SUM(AS18:AS23)</f>
        <v>0</v>
      </c>
      <c r="AU24" s="688">
        <f>SUM(AU18:AU23)</f>
        <v>0</v>
      </c>
      <c r="BD24" s="684"/>
      <c r="BE24" s="684"/>
      <c r="BF24" s="684"/>
      <c r="BG24" s="684"/>
      <c r="BH24" s="684"/>
      <c r="BI24" s="684"/>
      <c r="BJ24" s="684"/>
      <c r="BK24" s="684"/>
      <c r="BL24" s="684"/>
      <c r="BM24" s="684"/>
    </row>
    <row r="25" spans="1:65" ht="15" thickBot="1">
      <c r="A25" s="698" t="s">
        <v>943</v>
      </c>
      <c r="J25" s="699">
        <f>+J24+J16</f>
        <v>0</v>
      </c>
      <c r="L25" s="699">
        <f>+L24+L16</f>
        <v>0</v>
      </c>
      <c r="N25" s="699">
        <f>+N24+N16</f>
        <v>0</v>
      </c>
      <c r="U25" s="699">
        <f>+U24+U16</f>
        <v>0</v>
      </c>
      <c r="Y25" s="699">
        <f>+Y24+Y16</f>
        <v>0</v>
      </c>
      <c r="AC25" s="699">
        <f>+AC24+AC16</f>
        <v>0</v>
      </c>
      <c r="AG25" s="699">
        <f>+AG24+AG16</f>
        <v>0</v>
      </c>
      <c r="AK25" s="699">
        <f>+AK24+AK16</f>
        <v>0</v>
      </c>
      <c r="AO25" s="699">
        <f>+AO24+AO16</f>
        <v>0</v>
      </c>
      <c r="AP25" s="714"/>
      <c r="AQ25" s="714"/>
      <c r="AR25" s="714"/>
      <c r="AS25" s="699">
        <f>+AS24+AS16</f>
        <v>0</v>
      </c>
      <c r="AU25" s="699">
        <f>+AU24+AU16</f>
        <v>0</v>
      </c>
      <c r="BD25" s="684"/>
      <c r="BE25" s="684"/>
      <c r="BF25" s="684"/>
      <c r="BG25" s="684"/>
      <c r="BH25" s="684"/>
      <c r="BI25" s="684"/>
      <c r="BJ25" s="684"/>
      <c r="BK25" s="684"/>
      <c r="BL25" s="684"/>
      <c r="BM25" s="684"/>
    </row>
    <row r="26" spans="1:65" ht="3.45" customHeight="1" thickTop="1">
      <c r="A26" s="700"/>
      <c r="J26" s="701">
        <f>2543290-J25</f>
        <v>2543290</v>
      </c>
      <c r="L26" s="701"/>
      <c r="N26" s="702"/>
      <c r="U26" s="702"/>
      <c r="Y26" s="702"/>
      <c r="AC26" s="702"/>
      <c r="AG26" s="702"/>
      <c r="AK26" s="702"/>
      <c r="AO26" s="702"/>
      <c r="AP26" s="702"/>
      <c r="AQ26" s="702"/>
      <c r="AR26" s="702"/>
      <c r="AS26" s="702"/>
      <c r="AU26" s="701"/>
      <c r="BD26" s="684"/>
      <c r="BE26" s="684"/>
      <c r="BF26" s="684"/>
      <c r="BG26" s="684"/>
      <c r="BH26" s="684"/>
      <c r="BI26" s="684"/>
      <c r="BJ26" s="684"/>
      <c r="BK26" s="684"/>
      <c r="BL26" s="684"/>
      <c r="BM26" s="684"/>
    </row>
    <row r="27" spans="1:65">
      <c r="A27" s="704" t="s">
        <v>944</v>
      </c>
      <c r="J27" s="705"/>
      <c r="L27" s="705"/>
      <c r="N27" s="705"/>
      <c r="U27" s="688"/>
      <c r="Y27" s="688"/>
      <c r="AC27" s="688"/>
      <c r="AG27" s="688"/>
      <c r="AK27" s="688"/>
      <c r="AO27" s="688"/>
      <c r="AP27" s="688"/>
      <c r="AQ27" s="688"/>
      <c r="AR27" s="688"/>
      <c r="AS27" s="688"/>
      <c r="AU27" s="705"/>
      <c r="BD27" s="684"/>
      <c r="BE27" s="684"/>
      <c r="BF27" s="684"/>
      <c r="BG27" s="684"/>
      <c r="BH27" s="684"/>
      <c r="BI27" s="684"/>
      <c r="BJ27" s="684"/>
      <c r="BK27" s="684"/>
      <c r="BL27" s="684"/>
      <c r="BM27" s="684"/>
    </row>
    <row r="28" spans="1:65">
      <c r="A28" s="696" t="s">
        <v>945</v>
      </c>
      <c r="J28" s="706"/>
      <c r="L28" s="706"/>
      <c r="N28" s="707"/>
      <c r="U28" s="708"/>
      <c r="Y28" s="708"/>
      <c r="AC28" s="708"/>
      <c r="AG28" s="708"/>
      <c r="AK28" s="708"/>
      <c r="AO28" s="708"/>
      <c r="AP28" s="708"/>
      <c r="AQ28" s="708"/>
      <c r="AR28" s="708"/>
      <c r="AS28" s="708"/>
      <c r="AU28" s="706"/>
      <c r="BD28" s="684"/>
      <c r="BE28" s="684"/>
      <c r="BF28" s="684"/>
      <c r="BG28" s="684"/>
      <c r="BH28" s="684"/>
      <c r="BI28" s="684"/>
      <c r="BJ28" s="684"/>
      <c r="BK28" s="684"/>
      <c r="BL28" s="684"/>
      <c r="BM28" s="684"/>
    </row>
    <row r="29" spans="1:65">
      <c r="A29" s="709" t="s">
        <v>946</v>
      </c>
      <c r="J29" s="707"/>
      <c r="L29" s="707"/>
      <c r="N29" s="707"/>
      <c r="U29" s="707"/>
      <c r="Y29" s="707"/>
      <c r="AC29" s="707"/>
      <c r="AG29" s="707"/>
      <c r="AK29" s="707"/>
      <c r="AO29" s="707"/>
      <c r="AP29" s="707"/>
      <c r="AQ29" s="707"/>
      <c r="AR29" s="707"/>
      <c r="AS29" s="707"/>
      <c r="AU29" s="707"/>
      <c r="AV29" s="671" t="s">
        <v>947</v>
      </c>
      <c r="BD29" s="684"/>
      <c r="BE29" s="684"/>
      <c r="BF29" s="684"/>
      <c r="BG29" s="684"/>
      <c r="BH29" s="684"/>
      <c r="BI29" s="684"/>
      <c r="BJ29" s="684"/>
      <c r="BK29" s="684"/>
      <c r="BL29" s="684"/>
      <c r="BM29" s="684"/>
    </row>
    <row r="30" spans="1:65">
      <c r="A30" s="709" t="s">
        <v>203</v>
      </c>
      <c r="J30" s="707"/>
      <c r="L30" s="707"/>
      <c r="N30" s="707"/>
      <c r="U30" s="707"/>
      <c r="Y30" s="707"/>
      <c r="AC30" s="707"/>
      <c r="AG30" s="707"/>
      <c r="AK30" s="707"/>
      <c r="AO30" s="707"/>
      <c r="AP30" s="707"/>
      <c r="AQ30" s="707"/>
      <c r="AR30" s="707"/>
      <c r="AS30" s="707"/>
      <c r="AU30" s="707"/>
      <c r="AV30" s="671" t="s">
        <v>948</v>
      </c>
      <c r="BD30" s="684"/>
      <c r="BE30" s="684"/>
      <c r="BF30" s="684"/>
      <c r="BG30" s="684"/>
      <c r="BH30" s="684"/>
      <c r="BI30" s="684"/>
      <c r="BJ30" s="684"/>
      <c r="BK30" s="684"/>
      <c r="BL30" s="684"/>
      <c r="BM30" s="684"/>
    </row>
    <row r="31" spans="1:65">
      <c r="A31" s="710" t="s">
        <v>949</v>
      </c>
      <c r="J31" s="707"/>
      <c r="L31" s="707"/>
      <c r="N31" s="707"/>
      <c r="U31" s="707"/>
      <c r="Y31" s="707"/>
      <c r="AC31" s="707"/>
      <c r="AG31" s="707"/>
      <c r="AK31" s="707"/>
      <c r="AO31" s="707"/>
      <c r="AP31" s="707"/>
      <c r="AQ31" s="707"/>
      <c r="AR31" s="707"/>
      <c r="AS31" s="707"/>
      <c r="AU31" s="707"/>
      <c r="AV31" s="671" t="s">
        <v>950</v>
      </c>
      <c r="BD31" s="684"/>
      <c r="BE31" s="684"/>
      <c r="BF31" s="684"/>
      <c r="BG31" s="684"/>
      <c r="BH31" s="684"/>
      <c r="BI31" s="684"/>
      <c r="BJ31" s="684"/>
      <c r="BK31" s="684"/>
      <c r="BL31" s="684"/>
      <c r="BM31" s="684"/>
    </row>
    <row r="32" spans="1:65">
      <c r="A32" s="710" t="s">
        <v>951</v>
      </c>
      <c r="J32" s="707"/>
      <c r="L32" s="707"/>
      <c r="N32" s="707"/>
      <c r="U32" s="707"/>
      <c r="Y32" s="707"/>
      <c r="AC32" s="707"/>
      <c r="AG32" s="707"/>
      <c r="AK32" s="707"/>
      <c r="AO32" s="707"/>
      <c r="AP32" s="707"/>
      <c r="AQ32" s="707"/>
      <c r="AR32" s="707"/>
      <c r="AS32" s="707"/>
      <c r="AU32" s="707"/>
      <c r="AV32" s="671" t="s">
        <v>952</v>
      </c>
      <c r="BD32" s="684"/>
      <c r="BE32" s="684"/>
      <c r="BF32" s="684"/>
      <c r="BG32" s="684"/>
      <c r="BH32" s="684"/>
      <c r="BI32" s="684"/>
      <c r="BJ32" s="684"/>
      <c r="BK32" s="684"/>
      <c r="BL32" s="684"/>
      <c r="BM32" s="684"/>
    </row>
    <row r="33" spans="1:65">
      <c r="A33" s="710" t="s">
        <v>953</v>
      </c>
      <c r="J33" s="707"/>
      <c r="L33" s="707"/>
      <c r="N33" s="707"/>
      <c r="U33" s="707"/>
      <c r="Y33" s="706"/>
      <c r="AC33" s="706"/>
      <c r="AG33" s="706"/>
      <c r="AK33" s="706"/>
      <c r="AO33" s="706"/>
      <c r="AP33" s="706"/>
      <c r="AQ33" s="706"/>
      <c r="AR33" s="706"/>
      <c r="AS33" s="706"/>
      <c r="AU33" s="707"/>
      <c r="AV33" s="671" t="s">
        <v>954</v>
      </c>
      <c r="BD33" s="684"/>
      <c r="BE33" s="684"/>
      <c r="BF33" s="684"/>
      <c r="BG33" s="684"/>
      <c r="BH33" s="684"/>
      <c r="BI33" s="684"/>
      <c r="BJ33" s="684"/>
      <c r="BK33" s="684"/>
      <c r="BL33" s="684"/>
      <c r="BM33" s="684"/>
    </row>
    <row r="34" spans="1:65">
      <c r="A34" s="709" t="s">
        <v>955</v>
      </c>
      <c r="J34" s="711"/>
      <c r="L34" s="711"/>
      <c r="N34" s="711"/>
      <c r="U34" s="711"/>
      <c r="Y34" s="712"/>
      <c r="AC34" s="712"/>
      <c r="AG34" s="712"/>
      <c r="AK34" s="712"/>
      <c r="AO34" s="712"/>
      <c r="AP34" s="706"/>
      <c r="AQ34" s="706"/>
      <c r="AR34" s="706"/>
      <c r="AS34" s="712"/>
      <c r="AU34" s="712"/>
      <c r="AV34" s="671" t="s">
        <v>956</v>
      </c>
      <c r="BD34" s="684"/>
      <c r="BE34" s="684"/>
      <c r="BF34" s="684"/>
      <c r="BG34" s="684"/>
      <c r="BH34" s="684"/>
      <c r="BI34" s="684"/>
      <c r="BJ34" s="684"/>
      <c r="BK34" s="684"/>
      <c r="BL34" s="684"/>
      <c r="BM34" s="684"/>
    </row>
    <row r="35" spans="1:65">
      <c r="A35" s="713" t="s">
        <v>957</v>
      </c>
      <c r="J35" s="714">
        <f>SUM(J28:J34)</f>
        <v>0</v>
      </c>
      <c r="L35" s="714">
        <f>SUM(L28:L34)</f>
        <v>0</v>
      </c>
      <c r="N35" s="714">
        <f>SUM(N28:N34)</f>
        <v>0</v>
      </c>
      <c r="U35" s="714">
        <f>SUM(U28:U34)</f>
        <v>0</v>
      </c>
      <c r="Y35" s="715">
        <f>SUM(Y28:Y34)</f>
        <v>0</v>
      </c>
      <c r="AC35" s="715">
        <f>SUM(AC28:AC34)</f>
        <v>0</v>
      </c>
      <c r="AG35" s="715">
        <f>SUM(AG28:AG34)</f>
        <v>0</v>
      </c>
      <c r="AK35" s="715">
        <f>SUM(AK28:AK34)</f>
        <v>0</v>
      </c>
      <c r="AO35" s="715">
        <f>SUM(AO28:AO34)</f>
        <v>0</v>
      </c>
      <c r="AP35" s="715"/>
      <c r="AQ35" s="715"/>
      <c r="AR35" s="715"/>
      <c r="AS35" s="715">
        <f>SUM(AS28:AS34)</f>
        <v>0</v>
      </c>
      <c r="AU35" s="714">
        <f>SUM(AU28:AU34)</f>
        <v>0</v>
      </c>
      <c r="BD35" s="684"/>
      <c r="BE35" s="684"/>
      <c r="BF35" s="684"/>
      <c r="BG35" s="684"/>
      <c r="BH35" s="684"/>
      <c r="BI35" s="684"/>
      <c r="BJ35" s="684"/>
      <c r="BK35" s="684"/>
      <c r="BL35" s="684"/>
      <c r="BM35" s="684"/>
    </row>
    <row r="36" spans="1:65">
      <c r="A36" s="696" t="s">
        <v>192</v>
      </c>
      <c r="J36" s="716"/>
      <c r="L36" s="716"/>
      <c r="N36" s="717"/>
      <c r="U36" s="717"/>
      <c r="Y36" s="718"/>
      <c r="AC36" s="718"/>
      <c r="AG36" s="718"/>
      <c r="AK36" s="718"/>
      <c r="AO36" s="718"/>
      <c r="AP36" s="718"/>
      <c r="AQ36" s="718"/>
      <c r="AR36" s="718"/>
      <c r="AS36" s="718"/>
      <c r="AU36" s="716"/>
      <c r="BD36" s="684"/>
      <c r="BE36" s="684"/>
      <c r="BF36" s="684"/>
      <c r="BG36" s="684"/>
      <c r="BH36" s="684"/>
      <c r="BI36" s="684"/>
      <c r="BJ36" s="684"/>
      <c r="BK36" s="684"/>
      <c r="BL36" s="684"/>
      <c r="BM36" s="684"/>
    </row>
    <row r="37" spans="1:65">
      <c r="A37" s="719" t="s">
        <v>958</v>
      </c>
      <c r="J37" s="705"/>
      <c r="L37" s="705"/>
      <c r="N37" s="705"/>
      <c r="U37" s="705"/>
      <c r="Y37" s="692"/>
      <c r="AC37" s="692"/>
      <c r="AG37" s="692"/>
      <c r="AK37" s="692"/>
      <c r="AO37" s="692"/>
      <c r="AP37" s="692"/>
      <c r="AQ37" s="692"/>
      <c r="AR37" s="692"/>
      <c r="AS37" s="692"/>
      <c r="AU37" s="705"/>
      <c r="AV37" s="671" t="s">
        <v>959</v>
      </c>
    </row>
    <row r="38" spans="1:65">
      <c r="A38" s="721" t="s">
        <v>960</v>
      </c>
      <c r="J38" s="705"/>
      <c r="L38" s="705"/>
      <c r="N38" s="705"/>
      <c r="U38" s="705"/>
      <c r="Y38" s="692"/>
      <c r="AC38" s="692"/>
      <c r="AG38" s="692"/>
      <c r="AK38" s="692"/>
      <c r="AO38" s="692"/>
      <c r="AP38" s="692"/>
      <c r="AQ38" s="692"/>
      <c r="AR38" s="692"/>
      <c r="AS38" s="692"/>
      <c r="AU38" s="705"/>
      <c r="AV38" s="671" t="s">
        <v>220</v>
      </c>
    </row>
    <row r="39" spans="1:65">
      <c r="A39" s="721" t="s">
        <v>961</v>
      </c>
      <c r="J39" s="705"/>
      <c r="L39" s="705"/>
      <c r="N39" s="705"/>
      <c r="U39" s="705"/>
      <c r="Y39" s="692"/>
      <c r="AC39" s="692"/>
      <c r="AG39" s="692"/>
      <c r="AK39" s="692"/>
      <c r="AO39" s="692"/>
      <c r="AP39" s="692"/>
      <c r="AQ39" s="692"/>
      <c r="AR39" s="692"/>
      <c r="AS39" s="692"/>
      <c r="AU39" s="705"/>
      <c r="AV39" s="671" t="s">
        <v>962</v>
      </c>
    </row>
    <row r="40" spans="1:65">
      <c r="A40" s="721" t="s">
        <v>963</v>
      </c>
      <c r="J40" s="695"/>
      <c r="L40" s="695"/>
      <c r="N40" s="695"/>
      <c r="U40" s="695"/>
      <c r="Y40" s="695"/>
      <c r="AC40" s="695"/>
      <c r="AG40" s="695"/>
      <c r="AK40" s="695"/>
      <c r="AO40" s="695"/>
      <c r="AP40" s="692"/>
      <c r="AQ40" s="692"/>
      <c r="AR40" s="692"/>
      <c r="AS40" s="695"/>
      <c r="AU40" s="695"/>
      <c r="AV40" s="671" t="s">
        <v>215</v>
      </c>
    </row>
    <row r="41" spans="1:65">
      <c r="A41" s="713" t="s">
        <v>964</v>
      </c>
      <c r="J41" s="714">
        <f>SUM(J36:J40)</f>
        <v>0</v>
      </c>
      <c r="L41" s="714">
        <f>SUM(L36:L40)</f>
        <v>0</v>
      </c>
      <c r="N41" s="714">
        <f>SUM(N36:N40)</f>
        <v>0</v>
      </c>
      <c r="U41" s="714">
        <f>SUM(U36:U40)</f>
        <v>0</v>
      </c>
      <c r="Y41" s="714">
        <f>SUM(Y36:Y40)</f>
        <v>0</v>
      </c>
      <c r="AC41" s="714">
        <f>SUM(AC36:AC40)</f>
        <v>0</v>
      </c>
      <c r="AG41" s="714">
        <f>SUM(AG36:AG40)</f>
        <v>0</v>
      </c>
      <c r="AK41" s="714">
        <f>SUM(AK36:AK40)</f>
        <v>0</v>
      </c>
      <c r="AO41" s="714">
        <f>SUM(AO36:AO40)</f>
        <v>0</v>
      </c>
      <c r="AP41" s="714"/>
      <c r="AQ41" s="714"/>
      <c r="AR41" s="714"/>
      <c r="AS41" s="714">
        <f>SUM(AS36:AS40)</f>
        <v>0</v>
      </c>
      <c r="AU41" s="714">
        <f>SUM(AU36:AU40)</f>
        <v>0</v>
      </c>
    </row>
    <row r="42" spans="1:65">
      <c r="A42" s="696" t="s">
        <v>965</v>
      </c>
      <c r="J42" s="705"/>
      <c r="L42" s="705"/>
      <c r="N42" s="688"/>
      <c r="U42" s="688"/>
      <c r="Y42" s="688"/>
      <c r="AC42" s="688"/>
      <c r="AG42" s="688"/>
      <c r="AK42" s="688"/>
      <c r="AO42" s="688"/>
      <c r="AP42" s="688"/>
      <c r="AQ42" s="688"/>
      <c r="AR42" s="688"/>
      <c r="AS42" s="688"/>
      <c r="AU42" s="705"/>
    </row>
    <row r="43" spans="1:65">
      <c r="A43" s="719" t="s">
        <v>966</v>
      </c>
      <c r="J43" s="706"/>
      <c r="L43" s="706"/>
      <c r="N43" s="706"/>
      <c r="U43" s="706"/>
      <c r="Y43" s="706"/>
      <c r="AC43" s="706"/>
      <c r="AG43" s="706"/>
      <c r="AK43" s="706"/>
      <c r="AO43" s="706"/>
      <c r="AP43" s="706"/>
      <c r="AQ43" s="706"/>
      <c r="AR43" s="706"/>
      <c r="AS43" s="706"/>
      <c r="AU43" s="706"/>
      <c r="AV43" s="671" t="s">
        <v>967</v>
      </c>
    </row>
    <row r="44" spans="1:65">
      <c r="A44" s="721" t="s">
        <v>968</v>
      </c>
      <c r="J44" s="706"/>
      <c r="L44" s="706"/>
      <c r="N44" s="706"/>
      <c r="U44" s="706"/>
      <c r="Y44" s="706"/>
      <c r="AC44" s="706"/>
      <c r="AG44" s="706"/>
      <c r="AK44" s="706"/>
      <c r="AO44" s="706"/>
      <c r="AP44" s="706"/>
      <c r="AQ44" s="706"/>
      <c r="AR44" s="706"/>
      <c r="AS44" s="706"/>
      <c r="AU44" s="706"/>
      <c r="AV44" s="671" t="s">
        <v>969</v>
      </c>
    </row>
    <row r="45" spans="1:65">
      <c r="A45" s="721" t="s">
        <v>970</v>
      </c>
      <c r="J45" s="706"/>
      <c r="L45" s="706"/>
      <c r="N45" s="706"/>
      <c r="U45" s="706"/>
      <c r="Y45" s="706"/>
      <c r="AC45" s="706"/>
      <c r="AG45" s="706"/>
      <c r="AK45" s="706"/>
      <c r="AO45" s="706"/>
      <c r="AP45" s="706"/>
      <c r="AQ45" s="706"/>
      <c r="AR45" s="706"/>
      <c r="AS45" s="706"/>
      <c r="AU45" s="706"/>
      <c r="AV45" s="671" t="s">
        <v>971</v>
      </c>
    </row>
    <row r="46" spans="1:65">
      <c r="A46" s="721" t="s">
        <v>972</v>
      </c>
      <c r="J46" s="706"/>
      <c r="L46" s="706"/>
      <c r="N46" s="706"/>
      <c r="U46" s="706"/>
      <c r="Y46" s="706"/>
      <c r="AC46" s="706"/>
      <c r="AG46" s="706"/>
      <c r="AK46" s="706"/>
      <c r="AO46" s="706"/>
      <c r="AP46" s="706"/>
      <c r="AQ46" s="706"/>
      <c r="AR46" s="706"/>
      <c r="AS46" s="706"/>
      <c r="AU46" s="706"/>
      <c r="AV46" s="671" t="s">
        <v>973</v>
      </c>
    </row>
    <row r="47" spans="1:65">
      <c r="A47" s="721" t="s">
        <v>974</v>
      </c>
      <c r="J47" s="706"/>
      <c r="L47" s="706"/>
      <c r="N47" s="706"/>
      <c r="U47" s="706"/>
      <c r="Y47" s="706"/>
      <c r="AC47" s="706"/>
      <c r="AG47" s="706"/>
      <c r="AK47" s="706"/>
      <c r="AO47" s="706"/>
      <c r="AP47" s="706"/>
      <c r="AQ47" s="706"/>
      <c r="AR47" s="706"/>
      <c r="AS47" s="706"/>
      <c r="AU47" s="706"/>
      <c r="AV47" s="671" t="s">
        <v>975</v>
      </c>
    </row>
    <row r="48" spans="1:65">
      <c r="A48" s="721" t="s">
        <v>976</v>
      </c>
      <c r="J48" s="712"/>
      <c r="L48" s="712"/>
      <c r="N48" s="712"/>
      <c r="U48" s="712"/>
      <c r="Y48" s="712"/>
      <c r="AC48" s="712"/>
      <c r="AG48" s="712"/>
      <c r="AK48" s="712"/>
      <c r="AO48" s="712"/>
      <c r="AP48" s="706"/>
      <c r="AQ48" s="706"/>
      <c r="AR48" s="706"/>
      <c r="AS48" s="712"/>
      <c r="AU48" s="712"/>
      <c r="AV48" s="671" t="s">
        <v>977</v>
      </c>
    </row>
    <row r="49" spans="1:55">
      <c r="A49" s="722" t="s">
        <v>978</v>
      </c>
      <c r="J49" s="715">
        <f>SUM(J43:J48)</f>
        <v>0</v>
      </c>
      <c r="L49" s="715">
        <f>SUM(L43:L48)</f>
        <v>0</v>
      </c>
      <c r="N49" s="715">
        <f>SUM(N43:N48)</f>
        <v>0</v>
      </c>
      <c r="U49" s="715">
        <f>SUM(U43:U48)</f>
        <v>0</v>
      </c>
      <c r="Y49" s="715">
        <f>SUM(Y43:Y48)</f>
        <v>0</v>
      </c>
      <c r="AC49" s="715">
        <f>SUM(AC43:AC48)</f>
        <v>0</v>
      </c>
      <c r="AG49" s="715">
        <f>SUM(AG43:AG48)</f>
        <v>0</v>
      </c>
      <c r="AK49" s="715">
        <f>SUM(AK43:AK48)</f>
        <v>0</v>
      </c>
      <c r="AO49" s="715">
        <f>SUM(AO43:AO48)</f>
        <v>0</v>
      </c>
      <c r="AP49" s="715"/>
      <c r="AQ49" s="715"/>
      <c r="AR49" s="715"/>
      <c r="AS49" s="715">
        <f>SUM(AS43:AS48)</f>
        <v>0</v>
      </c>
      <c r="AU49" s="715">
        <f>SUM(AU43:AU48)</f>
        <v>0</v>
      </c>
    </row>
    <row r="50" spans="1:55">
      <c r="A50" s="696" t="s">
        <v>979</v>
      </c>
      <c r="J50" s="692"/>
      <c r="L50" s="692"/>
      <c r="N50" s="692"/>
      <c r="U50" s="688"/>
      <c r="Y50" s="688"/>
      <c r="AC50" s="688"/>
      <c r="AG50" s="688"/>
      <c r="AK50" s="688"/>
      <c r="AO50" s="688"/>
      <c r="AP50" s="688"/>
      <c r="AQ50" s="688"/>
      <c r="AR50" s="688"/>
      <c r="AS50" s="688"/>
      <c r="AU50" s="692"/>
    </row>
    <row r="51" spans="1:55">
      <c r="A51" s="709" t="s">
        <v>946</v>
      </c>
      <c r="J51" s="692"/>
      <c r="L51" s="692"/>
      <c r="N51" s="692"/>
      <c r="U51" s="692"/>
      <c r="Y51" s="692"/>
      <c r="AC51" s="692"/>
      <c r="AG51" s="692"/>
      <c r="AK51" s="692"/>
      <c r="AO51" s="692"/>
      <c r="AP51" s="692"/>
      <c r="AQ51" s="692"/>
      <c r="AR51" s="692"/>
      <c r="AS51" s="692"/>
      <c r="AU51" s="707"/>
      <c r="AV51" s="671" t="s">
        <v>1066</v>
      </c>
    </row>
    <row r="52" spans="1:55">
      <c r="A52" s="709" t="s">
        <v>203</v>
      </c>
      <c r="J52" s="692"/>
      <c r="L52" s="692"/>
      <c r="N52" s="692"/>
      <c r="U52" s="692"/>
      <c r="Y52" s="692"/>
      <c r="AC52" s="692"/>
      <c r="AG52" s="692"/>
      <c r="AK52" s="692"/>
      <c r="AO52" s="692"/>
      <c r="AP52" s="692"/>
      <c r="AQ52" s="692"/>
      <c r="AR52" s="692"/>
      <c r="AS52" s="692"/>
      <c r="AU52" s="707"/>
      <c r="AV52" s="671" t="s">
        <v>1067</v>
      </c>
    </row>
    <row r="53" spans="1:55">
      <c r="A53" s="710" t="s">
        <v>949</v>
      </c>
      <c r="J53" s="692"/>
      <c r="L53" s="692"/>
      <c r="N53" s="692"/>
      <c r="U53" s="692"/>
      <c r="Y53" s="692"/>
      <c r="AC53" s="692"/>
      <c r="AG53" s="692"/>
      <c r="AK53" s="692"/>
      <c r="AO53" s="692"/>
      <c r="AP53" s="692"/>
      <c r="AQ53" s="692"/>
      <c r="AR53" s="692"/>
      <c r="AS53" s="692"/>
      <c r="AU53" s="707"/>
      <c r="AV53" s="671" t="s">
        <v>1068</v>
      </c>
    </row>
    <row r="54" spans="1:55">
      <c r="A54" s="710" t="s">
        <v>951</v>
      </c>
      <c r="J54" s="692"/>
      <c r="L54" s="692"/>
      <c r="N54" s="692"/>
      <c r="U54" s="692"/>
      <c r="Y54" s="692"/>
      <c r="AC54" s="692"/>
      <c r="AG54" s="692"/>
      <c r="AK54" s="692"/>
      <c r="AO54" s="692"/>
      <c r="AP54" s="692"/>
      <c r="AQ54" s="692"/>
      <c r="AR54" s="692"/>
      <c r="AS54" s="692"/>
      <c r="AU54" s="707"/>
      <c r="AV54" s="671" t="s">
        <v>1069</v>
      </c>
    </row>
    <row r="55" spans="1:55">
      <c r="A55" s="696" t="s">
        <v>979</v>
      </c>
      <c r="J55" s="723">
        <f>SUM(J51:J54)</f>
        <v>0</v>
      </c>
      <c r="L55" s="723">
        <f>SUM(L51:L54)</f>
        <v>0</v>
      </c>
      <c r="N55" s="723">
        <f>SUM(N51:N54)</f>
        <v>0</v>
      </c>
      <c r="U55" s="723">
        <f>SUM(U51:U54)</f>
        <v>0</v>
      </c>
      <c r="Y55" s="723">
        <f>SUM(Y51:Y54)</f>
        <v>0</v>
      </c>
      <c r="AC55" s="723">
        <f>SUM(AC51:AC54)</f>
        <v>0</v>
      </c>
      <c r="AG55" s="723">
        <f>SUM(AG51:AG54)</f>
        <v>0</v>
      </c>
      <c r="AK55" s="723">
        <f>SUM(AK51:AK54)</f>
        <v>0</v>
      </c>
      <c r="AO55" s="723">
        <f>SUM(AO51:AO54)</f>
        <v>0</v>
      </c>
      <c r="AP55" s="701"/>
      <c r="AQ55" s="701"/>
      <c r="AR55" s="701"/>
      <c r="AS55" s="723">
        <f>SUM(AS51:AS54)</f>
        <v>0</v>
      </c>
      <c r="AU55" s="723">
        <f>SUM(AU51:AU54)</f>
        <v>0</v>
      </c>
    </row>
    <row r="56" spans="1:55" ht="15" thickBot="1">
      <c r="A56" s="698" t="s">
        <v>980</v>
      </c>
      <c r="J56" s="699">
        <f>+J55+J49+J41+J35</f>
        <v>0</v>
      </c>
      <c r="L56" s="699">
        <f>+L55+L49+L41+L35</f>
        <v>0</v>
      </c>
      <c r="N56" s="699">
        <f>+N55+N49+N41+N35</f>
        <v>0</v>
      </c>
      <c r="U56" s="699">
        <f>+U55+U49+U41+U35</f>
        <v>0</v>
      </c>
      <c r="Y56" s="699">
        <f>+Y55+Y49+Y41+Y35</f>
        <v>0</v>
      </c>
      <c r="AC56" s="699">
        <f>+AC55+AC49+AC41+AC35</f>
        <v>0</v>
      </c>
      <c r="AG56" s="699">
        <f>+AG55+AG49+AG41+AG35</f>
        <v>0</v>
      </c>
      <c r="AK56" s="699">
        <f>+AK55+AK49+AK41+AK35</f>
        <v>0</v>
      </c>
      <c r="AO56" s="699">
        <f>+AO55+AO49+AO41+AO35</f>
        <v>0</v>
      </c>
      <c r="AP56" s="714"/>
      <c r="AQ56" s="714"/>
      <c r="AR56" s="714"/>
      <c r="AS56" s="699">
        <f>+AS55+AS49+AS41+AS35</f>
        <v>0</v>
      </c>
      <c r="AU56" s="699">
        <f>+AU55+AU49+AU41+AU35</f>
        <v>0</v>
      </c>
    </row>
    <row r="57" spans="1:55" s="675" customFormat="1" ht="15" thickTop="1">
      <c r="A57" s="676"/>
      <c r="B57"/>
      <c r="C57"/>
      <c r="D57"/>
      <c r="E57"/>
      <c r="F57"/>
      <c r="G57"/>
      <c r="H57"/>
      <c r="I57"/>
      <c r="J57" s="724" t="s">
        <v>920</v>
      </c>
      <c r="K57"/>
      <c r="L57" s="725" t="s">
        <v>920</v>
      </c>
      <c r="M57"/>
      <c r="N57" s="725" t="s">
        <v>920</v>
      </c>
      <c r="O57"/>
      <c r="P57"/>
      <c r="Q57"/>
      <c r="R57"/>
      <c r="S57"/>
      <c r="T57"/>
      <c r="U57" s="724" t="s">
        <v>921</v>
      </c>
      <c r="V57"/>
      <c r="W57"/>
      <c r="X57"/>
      <c r="Y57" s="724" t="s">
        <v>922</v>
      </c>
      <c r="Z57"/>
      <c r="AA57"/>
      <c r="AB57"/>
      <c r="AC57" s="724" t="s">
        <v>922</v>
      </c>
      <c r="AD57"/>
      <c r="AE57"/>
      <c r="AF57"/>
      <c r="AG57" s="724" t="s">
        <v>922</v>
      </c>
      <c r="AH57"/>
      <c r="AI57"/>
      <c r="AJ57"/>
      <c r="AK57" s="724" t="s">
        <v>922</v>
      </c>
      <c r="AL57"/>
      <c r="AM57"/>
      <c r="AN57"/>
      <c r="AO57" s="724" t="s">
        <v>922</v>
      </c>
      <c r="AP57" s="724"/>
      <c r="AQ57" s="724"/>
      <c r="AR57" s="724"/>
      <c r="AS57" s="724" t="s">
        <v>922</v>
      </c>
      <c r="AT57"/>
      <c r="AU57" s="726" t="s">
        <v>923</v>
      </c>
      <c r="AW57"/>
      <c r="AX57"/>
      <c r="AY57"/>
      <c r="AZ57"/>
      <c r="BA57"/>
      <c r="BB57"/>
      <c r="BC57"/>
    </row>
    <row r="58" spans="1:55" s="675" customFormat="1">
      <c r="A58" s="679"/>
      <c r="B58"/>
      <c r="C58"/>
      <c r="D58"/>
      <c r="E58"/>
      <c r="F58"/>
      <c r="G58"/>
      <c r="H58"/>
      <c r="I58"/>
      <c r="J58" s="727" t="s">
        <v>924</v>
      </c>
      <c r="K58"/>
      <c r="L58" s="727" t="s">
        <v>925</v>
      </c>
      <c r="M58"/>
      <c r="N58" s="727" t="s">
        <v>926</v>
      </c>
      <c r="O58"/>
      <c r="P58"/>
      <c r="Q58"/>
      <c r="R58"/>
      <c r="S58"/>
      <c r="T58"/>
      <c r="U58" s="727" t="s">
        <v>317</v>
      </c>
      <c r="V58"/>
      <c r="W58"/>
      <c r="X58"/>
      <c r="Y58" s="727" t="s">
        <v>333</v>
      </c>
      <c r="Z58"/>
      <c r="AA58"/>
      <c r="AB58"/>
      <c r="AC58" s="727" t="s">
        <v>421</v>
      </c>
      <c r="AD58"/>
      <c r="AE58"/>
      <c r="AF58"/>
      <c r="AG58" s="727" t="s">
        <v>422</v>
      </c>
      <c r="AH58"/>
      <c r="AI58"/>
      <c r="AJ58"/>
      <c r="AK58" s="727" t="s">
        <v>423</v>
      </c>
      <c r="AL58"/>
      <c r="AM58"/>
      <c r="AN58"/>
      <c r="AO58" s="727" t="s">
        <v>439</v>
      </c>
      <c r="AP58" s="727"/>
      <c r="AQ58" s="727"/>
      <c r="AR58" s="727"/>
      <c r="AS58" s="727" t="s">
        <v>439</v>
      </c>
      <c r="AT58"/>
      <c r="AU58" s="728">
        <v>44561</v>
      </c>
      <c r="AW58"/>
      <c r="AX58"/>
      <c r="AY58"/>
      <c r="AZ58"/>
      <c r="BA58"/>
      <c r="BB58"/>
      <c r="BC58"/>
    </row>
    <row r="59" spans="1:55" ht="10.5" customHeight="1">
      <c r="A59" s="729" t="s">
        <v>981</v>
      </c>
      <c r="J59" s="688"/>
      <c r="L59" s="688"/>
      <c r="N59" s="688"/>
      <c r="U59" s="688"/>
      <c r="Y59" s="692"/>
      <c r="AC59" s="692"/>
      <c r="AG59" s="692"/>
      <c r="AK59" s="692"/>
      <c r="AO59" s="692"/>
      <c r="AP59" s="692"/>
      <c r="AQ59" s="692"/>
      <c r="AR59" s="692"/>
      <c r="AS59" s="692"/>
      <c r="AU59" s="688"/>
    </row>
    <row r="60" spans="1:55">
      <c r="A60" s="729" t="s">
        <v>982</v>
      </c>
      <c r="J60" s="692"/>
      <c r="L60" s="692"/>
      <c r="N60" s="692"/>
      <c r="U60" s="692"/>
      <c r="Y60" s="692"/>
      <c r="AC60" s="692"/>
      <c r="AG60" s="692"/>
      <c r="AK60" s="692"/>
      <c r="AO60" s="692"/>
      <c r="AP60" s="692"/>
      <c r="AQ60" s="692"/>
      <c r="AR60" s="692"/>
      <c r="AS60" s="692"/>
      <c r="AU60" s="688"/>
    </row>
    <row r="61" spans="1:55">
      <c r="A61" s="729" t="s">
        <v>1070</v>
      </c>
      <c r="J61" s="692"/>
      <c r="L61" s="692"/>
      <c r="N61" s="692"/>
      <c r="U61" s="688"/>
      <c r="Y61" s="730"/>
      <c r="AC61" s="730"/>
      <c r="AG61" s="730"/>
      <c r="AK61" s="730"/>
      <c r="AO61" s="730"/>
      <c r="AP61" s="730"/>
      <c r="AQ61" s="730"/>
      <c r="AR61" s="730"/>
      <c r="AS61" s="730"/>
      <c r="AU61" s="692"/>
    </row>
    <row r="62" spans="1:55" ht="15" thickBot="1">
      <c r="A62" s="731" t="s">
        <v>983</v>
      </c>
      <c r="J62" s="699">
        <f>SUM(J60:J61)</f>
        <v>0</v>
      </c>
      <c r="L62" s="699">
        <f>SUM(L60:L61)</f>
        <v>0</v>
      </c>
      <c r="N62" s="699">
        <f>SUM(N60:N61)</f>
        <v>0</v>
      </c>
      <c r="U62" s="699">
        <f>SUM(U60:U61)</f>
        <v>0</v>
      </c>
      <c r="Y62" s="699">
        <f>SUM(Y60:Y61)</f>
        <v>0</v>
      </c>
      <c r="AC62" s="699">
        <f>SUM(AC60:AC61)</f>
        <v>0</v>
      </c>
      <c r="AG62" s="699">
        <f>SUM(AG60:AG61)</f>
        <v>0</v>
      </c>
      <c r="AK62" s="699">
        <f>SUM(AK60:AK61)</f>
        <v>0</v>
      </c>
      <c r="AO62" s="699">
        <f>SUM(AO60:AO61)</f>
        <v>0</v>
      </c>
      <c r="AP62" s="714"/>
      <c r="AQ62" s="714"/>
      <c r="AR62" s="714"/>
      <c r="AS62" s="699">
        <f>SUM(AS60:AS61)</f>
        <v>0</v>
      </c>
      <c r="AU62" s="699">
        <f>SUM(AU60:AU61)</f>
        <v>0</v>
      </c>
    </row>
    <row r="63" spans="1:55" ht="15" thickTop="1">
      <c r="A63" s="733" t="s">
        <v>984</v>
      </c>
      <c r="J63" s="734">
        <f>IFERROR(J59/J62,0)</f>
        <v>0</v>
      </c>
      <c r="L63" s="734">
        <f>IFERROR(L59/L62,0)</f>
        <v>0</v>
      </c>
      <c r="N63" s="734">
        <f>IFERROR(N59/N62,0)</f>
        <v>0</v>
      </c>
      <c r="U63" s="734">
        <f>IFERROR(U59/U62,0)</f>
        <v>0</v>
      </c>
      <c r="Y63" s="734">
        <f>IFERROR(Y59/Y62,0)</f>
        <v>0</v>
      </c>
      <c r="AC63" s="734">
        <f>IFERROR(AC59/AC62,0)</f>
        <v>0</v>
      </c>
      <c r="AG63" s="734">
        <f>IFERROR(AG59/AG62,0)</f>
        <v>0</v>
      </c>
      <c r="AK63" s="734">
        <f>IFERROR(AK59/AK62,0)</f>
        <v>0</v>
      </c>
      <c r="AO63" s="734">
        <f>IFERROR(AO59/AO62,0)</f>
        <v>0</v>
      </c>
      <c r="AP63" s="802"/>
      <c r="AQ63" s="802"/>
      <c r="AR63" s="802"/>
      <c r="AS63" s="734">
        <f>IFERROR(AS59/AS62,0)</f>
        <v>0</v>
      </c>
      <c r="AU63" s="734">
        <f>IFERROR(AU59/AU62,0)</f>
        <v>0</v>
      </c>
    </row>
    <row r="64" spans="1:55" ht="11.25" customHeight="1">
      <c r="A64" s="729" t="s">
        <v>985</v>
      </c>
      <c r="J64" s="735">
        <f>IFERROR(J62/(J56+J62),0)</f>
        <v>0</v>
      </c>
      <c r="L64" s="735">
        <f>IFERROR(L62/(L56+L62),0)</f>
        <v>0</v>
      </c>
      <c r="N64" s="735">
        <f>IFERROR(N62/(N56+N62),0)</f>
        <v>0</v>
      </c>
      <c r="U64" s="735">
        <f>IFERROR(U62/(U56+U62),0)</f>
        <v>0</v>
      </c>
      <c r="Y64" s="735">
        <f>IFERROR(Y62/(Y56+Y62),0)</f>
        <v>0</v>
      </c>
      <c r="AC64" s="735">
        <f>IFERROR(AC62/(AC56+AC62),0)</f>
        <v>0</v>
      </c>
      <c r="AG64" s="735">
        <f>IFERROR(AG62/(AG56+AG62),0)</f>
        <v>0</v>
      </c>
      <c r="AK64" s="735">
        <f>IFERROR(AK62/(AK56+AK62),0)</f>
        <v>0</v>
      </c>
      <c r="AO64" s="735">
        <f>IFERROR(AO62/(AO56+AO62),0)</f>
        <v>0</v>
      </c>
      <c r="AP64" s="735"/>
      <c r="AQ64" s="735"/>
      <c r="AR64" s="735"/>
      <c r="AS64" s="735">
        <f>IFERROR(AS62/(AS56+AS62),0)</f>
        <v>0</v>
      </c>
      <c r="AU64" s="735">
        <f>IFERROR(AU62/(AU56+AU62),0)</f>
        <v>0</v>
      </c>
    </row>
    <row r="65" spans="1:48">
      <c r="A65" s="729" t="s">
        <v>986</v>
      </c>
      <c r="J65" s="692"/>
      <c r="L65" s="692"/>
      <c r="N65" s="692"/>
      <c r="U65" s="692"/>
      <c r="Y65" s="692"/>
      <c r="AC65" s="692"/>
      <c r="AG65" s="692"/>
      <c r="AK65" s="692"/>
      <c r="AO65" s="692"/>
      <c r="AP65" s="692"/>
      <c r="AQ65" s="692"/>
      <c r="AR65" s="692"/>
      <c r="AS65" s="692"/>
      <c r="AU65" s="692"/>
    </row>
    <row r="66" spans="1:48" ht="13.05" customHeight="1">
      <c r="A66" s="736" t="s">
        <v>987</v>
      </c>
      <c r="J66" s="737">
        <f>IFERROR(J59/J65,0)</f>
        <v>0</v>
      </c>
      <c r="L66" s="737">
        <f>IFERROR(L59/L65,0)</f>
        <v>0</v>
      </c>
      <c r="N66" s="737">
        <f>IFERROR(N59/N65,0)</f>
        <v>0</v>
      </c>
      <c r="U66" s="737">
        <f>IFERROR(U59/U65,0)</f>
        <v>0</v>
      </c>
      <c r="Y66" s="737">
        <f>IFERROR(Y59/Y65,0)</f>
        <v>0</v>
      </c>
      <c r="AC66" s="737">
        <f>IFERROR(AC59/AC65,0)</f>
        <v>0</v>
      </c>
      <c r="AG66" s="737">
        <f>IFERROR(AG59/AG65,0)</f>
        <v>0</v>
      </c>
      <c r="AK66" s="737">
        <f>IFERROR(AK59/AK65,0)</f>
        <v>0</v>
      </c>
      <c r="AO66" s="737">
        <f>IFERROR(AO59/AO65,0)</f>
        <v>0</v>
      </c>
      <c r="AP66" s="803"/>
      <c r="AQ66" s="803"/>
      <c r="AR66" s="803"/>
      <c r="AS66" s="737">
        <f>IFERROR(AS59/AS65,0)</f>
        <v>0</v>
      </c>
      <c r="AU66" s="737"/>
    </row>
    <row r="67" spans="1:48" ht="12.75" customHeight="1">
      <c r="A67" s="738" t="s">
        <v>988</v>
      </c>
      <c r="J67" s="739">
        <v>0</v>
      </c>
      <c r="L67" s="739">
        <f>+J68</f>
        <v>0</v>
      </c>
      <c r="N67" s="739">
        <f>+L68</f>
        <v>0</v>
      </c>
      <c r="U67" s="739">
        <f>+N68</f>
        <v>1</v>
      </c>
      <c r="Y67" s="739">
        <f>+U68</f>
        <v>1</v>
      </c>
      <c r="AC67" s="739">
        <f>+Y68</f>
        <v>1</v>
      </c>
      <c r="AG67" s="739">
        <f>+AC68</f>
        <v>1</v>
      </c>
      <c r="AK67" s="739">
        <f>+AG68</f>
        <v>1</v>
      </c>
      <c r="AO67" s="739">
        <f>+AK68</f>
        <v>1</v>
      </c>
      <c r="AP67" s="739"/>
      <c r="AQ67" s="739"/>
      <c r="AR67" s="739"/>
      <c r="AS67" s="739">
        <f>+AM68</f>
        <v>0</v>
      </c>
      <c r="AU67" s="739"/>
    </row>
    <row r="68" spans="1:48" ht="12.75" customHeight="1">
      <c r="A68" s="738" t="s">
        <v>989</v>
      </c>
      <c r="J68" s="740">
        <v>0</v>
      </c>
      <c r="L68" s="740">
        <f>+J68+L25-L56-L60</f>
        <v>0</v>
      </c>
      <c r="N68" s="740">
        <f>+L68+N25-N56-N60+1</f>
        <v>1</v>
      </c>
      <c r="U68" s="740">
        <f>+N68+U25-U56-U60</f>
        <v>1</v>
      </c>
      <c r="Y68" s="740">
        <f>+U68+Y25-Y56-Y60</f>
        <v>1</v>
      </c>
      <c r="AC68" s="740">
        <f>+Y68+AC25-AC56-AC60</f>
        <v>1</v>
      </c>
      <c r="AG68" s="740">
        <f>+AC68+AG25-AG56-AG60</f>
        <v>1</v>
      </c>
      <c r="AK68" s="740">
        <f>+AG68+AK25-AK56-AK60</f>
        <v>1</v>
      </c>
      <c r="AO68" s="740">
        <f>+AK68+AO25-AO56-AO60</f>
        <v>1</v>
      </c>
      <c r="AP68" s="741"/>
      <c r="AQ68" s="741"/>
      <c r="AR68" s="741"/>
      <c r="AS68" s="740">
        <f>+AM68+AS25-AS56-AS60</f>
        <v>0</v>
      </c>
      <c r="AU68" s="740"/>
    </row>
    <row r="69" spans="1:48" ht="12.75" customHeight="1">
      <c r="A69" s="738" t="s">
        <v>990</v>
      </c>
      <c r="J69" s="741"/>
      <c r="L69" s="741"/>
      <c r="N69" s="741"/>
      <c r="U69" s="741"/>
      <c r="Y69" s="741"/>
      <c r="AC69" s="741"/>
      <c r="AG69" s="741"/>
      <c r="AK69" s="741"/>
      <c r="AO69" s="741"/>
      <c r="AP69" s="741"/>
      <c r="AQ69" s="741"/>
      <c r="AR69" s="741"/>
      <c r="AS69" s="741"/>
      <c r="AU69" s="741"/>
    </row>
    <row r="70" spans="1:48" ht="12.75" customHeight="1">
      <c r="A70" s="742" t="s">
        <v>991</v>
      </c>
      <c r="J70" s="743">
        <f>IFERROR(J69/((J56+J62)/365),0)</f>
        <v>0</v>
      </c>
      <c r="L70" s="743">
        <f>IFERROR(L69/((L56+L62)/365),0)</f>
        <v>0</v>
      </c>
      <c r="N70" s="743">
        <f>IFERROR(N69/((N56+N62)/365),0)</f>
        <v>0</v>
      </c>
      <c r="U70" s="743">
        <f>IFERROR(U69/((U56+U62)/365),0)</f>
        <v>0</v>
      </c>
      <c r="Y70" s="743">
        <f>IFERROR(Y69/((Y56+Y62)/365),0)</f>
        <v>0</v>
      </c>
      <c r="AC70" s="743">
        <f>IFERROR(AC69/((AC56+AC62)/365),0)</f>
        <v>0</v>
      </c>
      <c r="AG70" s="743">
        <f>IFERROR(AG69/((AG56+AG62)/365),0)</f>
        <v>0</v>
      </c>
      <c r="AK70" s="743">
        <f>IFERROR(AK69/((AK56+AK62)/365),0)</f>
        <v>0</v>
      </c>
      <c r="AO70" s="743">
        <f>IFERROR(AO69/((AO56+AO62)/365),0)</f>
        <v>0</v>
      </c>
      <c r="AP70" s="804"/>
      <c r="AQ70" s="804"/>
      <c r="AR70" s="804"/>
      <c r="AS70" s="743">
        <f>IFERROR(AS69/((AS56+AS62)/365),0)</f>
        <v>0</v>
      </c>
      <c r="AU70" s="743"/>
    </row>
    <row r="71" spans="1:48">
      <c r="A71" s="729" t="s">
        <v>992</v>
      </c>
      <c r="J71" s="692">
        <f>+J25</f>
        <v>0</v>
      </c>
      <c r="L71" s="692">
        <f>+L25</f>
        <v>0</v>
      </c>
      <c r="N71" s="692">
        <f>+N25</f>
        <v>0</v>
      </c>
      <c r="U71" s="692">
        <f>+U25</f>
        <v>0</v>
      </c>
      <c r="Y71" s="692">
        <f>+Y25</f>
        <v>0</v>
      </c>
      <c r="AC71" s="692">
        <f>+AC25</f>
        <v>0</v>
      </c>
      <c r="AG71" s="692">
        <f>+AG25</f>
        <v>0</v>
      </c>
      <c r="AK71" s="692">
        <f>+AK25</f>
        <v>0</v>
      </c>
      <c r="AO71" s="692">
        <f>+AO25</f>
        <v>0</v>
      </c>
      <c r="AP71" s="692"/>
      <c r="AQ71" s="692"/>
      <c r="AR71" s="692"/>
      <c r="AS71" s="692">
        <f>+AS25</f>
        <v>0</v>
      </c>
      <c r="AU71" s="692"/>
    </row>
    <row r="72" spans="1:48">
      <c r="A72" s="729" t="s">
        <v>993</v>
      </c>
      <c r="J72" s="692">
        <f>-J24</f>
        <v>0</v>
      </c>
      <c r="L72" s="692">
        <f>-L24</f>
        <v>0</v>
      </c>
      <c r="N72" s="692">
        <f>-N24</f>
        <v>0</v>
      </c>
      <c r="U72" s="692">
        <f>-U24</f>
        <v>0</v>
      </c>
      <c r="Y72" s="692">
        <f>-Y24</f>
        <v>0</v>
      </c>
      <c r="AC72" s="692">
        <f>-AC24</f>
        <v>0</v>
      </c>
      <c r="AG72" s="692">
        <f>-AG24</f>
        <v>0</v>
      </c>
      <c r="AK72" s="692">
        <f>-AK24</f>
        <v>0</v>
      </c>
      <c r="AO72" s="692">
        <f>-AO24</f>
        <v>0</v>
      </c>
      <c r="AP72" s="692"/>
      <c r="AQ72" s="692"/>
      <c r="AR72" s="692"/>
      <c r="AS72" s="692">
        <f>-AS24</f>
        <v>0</v>
      </c>
      <c r="AU72" s="692"/>
    </row>
    <row r="73" spans="1:48" ht="15" thickBot="1">
      <c r="A73" s="729" t="s">
        <v>994</v>
      </c>
      <c r="J73" s="744">
        <f>+J72+J71</f>
        <v>0</v>
      </c>
      <c r="L73" s="744">
        <f>+L72+L71</f>
        <v>0</v>
      </c>
      <c r="N73" s="744">
        <f>+N72+N71</f>
        <v>0</v>
      </c>
      <c r="U73" s="744">
        <f>+U72+U71</f>
        <v>0</v>
      </c>
      <c r="Y73" s="744">
        <f>+Y72+Y71</f>
        <v>0</v>
      </c>
      <c r="AC73" s="744">
        <f>+AC72+AC71</f>
        <v>0</v>
      </c>
      <c r="AG73" s="744">
        <f>+AG72+AG71</f>
        <v>0</v>
      </c>
      <c r="AK73" s="744">
        <f>+AK72+AK71</f>
        <v>0</v>
      </c>
      <c r="AO73" s="744">
        <f>+AO72+AO71</f>
        <v>0</v>
      </c>
      <c r="AP73" s="692"/>
      <c r="AQ73" s="692"/>
      <c r="AR73" s="692"/>
      <c r="AS73" s="744">
        <f>+AS72+AS71</f>
        <v>0</v>
      </c>
      <c r="AU73" s="744"/>
    </row>
    <row r="74" spans="1:48">
      <c r="A74" s="729" t="s">
        <v>995</v>
      </c>
      <c r="J74" s="692">
        <f>+J49+J62</f>
        <v>0</v>
      </c>
      <c r="L74" s="692">
        <f>+L49+L62</f>
        <v>0</v>
      </c>
      <c r="N74" s="692">
        <f>+N49+N62</f>
        <v>0</v>
      </c>
      <c r="U74" s="692">
        <f>+U49+U62</f>
        <v>0</v>
      </c>
      <c r="Y74" s="692">
        <f>+Y49+Y62</f>
        <v>0</v>
      </c>
      <c r="AC74" s="692">
        <f>+AC49+AC62</f>
        <v>0</v>
      </c>
      <c r="AG74" s="692">
        <f>+AG49+AG62</f>
        <v>0</v>
      </c>
      <c r="AK74" s="692">
        <f>+AK49+AK62</f>
        <v>0</v>
      </c>
      <c r="AO74" s="692">
        <f>+AO49+AO62</f>
        <v>0</v>
      </c>
      <c r="AP74" s="692"/>
      <c r="AQ74" s="692"/>
      <c r="AR74" s="692"/>
      <c r="AS74" s="692">
        <f>+AS49+AS62</f>
        <v>0</v>
      </c>
      <c r="AU74" s="692"/>
    </row>
    <row r="75" spans="1:48" ht="12.75" customHeight="1">
      <c r="A75" s="742" t="s">
        <v>996</v>
      </c>
      <c r="J75" s="745">
        <f>IFERROR(+J74/J73,0)</f>
        <v>0</v>
      </c>
      <c r="L75" s="745">
        <f>IFERROR(+L74/L73,0)</f>
        <v>0</v>
      </c>
      <c r="N75" s="745">
        <f>IFERROR(+N74/N73,0)</f>
        <v>0</v>
      </c>
      <c r="U75" s="745">
        <f>IFERROR(+U74/U73,0)</f>
        <v>0</v>
      </c>
      <c r="Y75" s="745">
        <f>IFERROR(+Y74/Y73,0)</f>
        <v>0</v>
      </c>
      <c r="AC75" s="745">
        <f>IFERROR(+AC74/AC73,0)</f>
        <v>0</v>
      </c>
      <c r="AG75" s="745">
        <f>IFERROR(+AG74/AG73,0)</f>
        <v>0</v>
      </c>
      <c r="AK75" s="745">
        <f>IFERROR(+AK74/AK73,0)</f>
        <v>0</v>
      </c>
      <c r="AO75" s="745">
        <f>IFERROR(+AO74/AO73,0)</f>
        <v>0</v>
      </c>
      <c r="AP75" s="805"/>
      <c r="AQ75" s="805"/>
      <c r="AR75" s="805"/>
      <c r="AS75" s="745">
        <f>IFERROR(+AS74/AS73,0)</f>
        <v>0</v>
      </c>
      <c r="AU75" s="745">
        <f>IFERROR(+AU74/AU73,0)</f>
        <v>0</v>
      </c>
    </row>
    <row r="76" spans="1:48" ht="12.75" customHeight="1">
      <c r="A76" s="742" t="s">
        <v>997</v>
      </c>
      <c r="J76" s="745">
        <f>IFERROR(+J62/J73,0)</f>
        <v>0</v>
      </c>
      <c r="L76" s="745" t="e">
        <f>+L62/L73</f>
        <v>#DIV/0!</v>
      </c>
      <c r="N76" s="745" t="e">
        <f>+N62/N73</f>
        <v>#DIV/0!</v>
      </c>
      <c r="U76" s="745" t="e">
        <f>+U62/U73</f>
        <v>#DIV/0!</v>
      </c>
      <c r="Y76" s="745" t="e">
        <f>+Y62/Y73</f>
        <v>#DIV/0!</v>
      </c>
      <c r="AC76" s="745" t="e">
        <f>+AC62/AC73</f>
        <v>#DIV/0!</v>
      </c>
      <c r="AG76" s="745" t="e">
        <f>+AG62/AG73</f>
        <v>#DIV/0!</v>
      </c>
      <c r="AK76" s="745" t="e">
        <f>+AK62/AK73</f>
        <v>#DIV/0!</v>
      </c>
      <c r="AO76" s="745" t="e">
        <f>+AO62/AO73</f>
        <v>#DIV/0!</v>
      </c>
      <c r="AP76" s="805"/>
      <c r="AQ76" s="805"/>
      <c r="AR76" s="805"/>
      <c r="AS76" s="745" t="e">
        <f>+AS62/AS73</f>
        <v>#DIV/0!</v>
      </c>
      <c r="AU76" s="745"/>
    </row>
    <row r="77" spans="1:48">
      <c r="A77" s="684"/>
      <c r="J77" s="684"/>
      <c r="L77" s="684"/>
      <c r="N77" s="684"/>
      <c r="U77" s="684"/>
      <c r="Y77" s="684"/>
      <c r="AC77" s="684"/>
      <c r="AG77" s="684"/>
      <c r="AK77" s="684"/>
      <c r="AO77" s="684"/>
      <c r="AP77" s="684"/>
      <c r="AQ77" s="684"/>
      <c r="AR77" s="684"/>
      <c r="AS77" s="684"/>
      <c r="AU77" s="684"/>
      <c r="AV77" s="684"/>
    </row>
    <row r="78" spans="1:48">
      <c r="A78" s="729"/>
      <c r="J78" s="746">
        <f>+J25-J56-J60</f>
        <v>0</v>
      </c>
      <c r="L78" s="746">
        <f>+L25-L56-L60</f>
        <v>0</v>
      </c>
      <c r="N78" s="746">
        <f>+N25-N56-N60</f>
        <v>0</v>
      </c>
      <c r="U78" s="689" t="s">
        <v>998</v>
      </c>
      <c r="Y78" s="703"/>
      <c r="AC78" s="703"/>
      <c r="AG78" s="703"/>
      <c r="AK78" s="703"/>
      <c r="AO78" s="703"/>
      <c r="AP78" s="703"/>
      <c r="AQ78" s="703"/>
      <c r="AR78" s="703"/>
      <c r="AS78" s="703"/>
      <c r="AU78" s="684"/>
    </row>
    <row r="79" spans="1:48">
      <c r="A79" s="747" t="s">
        <v>999</v>
      </c>
      <c r="J79" s="748"/>
      <c r="L79" s="748"/>
      <c r="N79" s="748"/>
      <c r="U79" s="749"/>
      <c r="AU79" s="697">
        <f>+AU25-AU56-AU60</f>
        <v>0</v>
      </c>
    </row>
    <row r="80" spans="1:48">
      <c r="A80" s="671" t="s">
        <v>1000</v>
      </c>
    </row>
    <row r="81" spans="1:37">
      <c r="A81" s="750" t="s">
        <v>1001</v>
      </c>
      <c r="J81" s="748"/>
      <c r="L81" s="748"/>
      <c r="N81" s="748"/>
      <c r="U81" s="749"/>
    </row>
    <row r="82" spans="1:37">
      <c r="A82" s="750" t="s">
        <v>1002</v>
      </c>
      <c r="J82" s="748"/>
      <c r="L82" s="748"/>
      <c r="N82" s="748"/>
      <c r="U82" s="749"/>
    </row>
    <row r="83" spans="1:37">
      <c r="A83" s="750"/>
      <c r="J83" s="748"/>
      <c r="L83" s="748"/>
      <c r="N83" s="748"/>
      <c r="U83" s="749"/>
    </row>
    <row r="84" spans="1:37">
      <c r="A84" s="747" t="s">
        <v>1003</v>
      </c>
      <c r="J84" s="748"/>
      <c r="L84" s="748"/>
      <c r="N84" s="748"/>
      <c r="U84" s="748"/>
    </row>
    <row r="85" spans="1:37" ht="11.25" customHeight="1">
      <c r="A85" s="806" t="s">
        <v>1004</v>
      </c>
      <c r="J85" s="800"/>
      <c r="L85" s="800"/>
      <c r="N85" s="800"/>
      <c r="U85" s="800"/>
      <c r="Y85" s="800"/>
      <c r="AC85" s="800"/>
      <c r="AG85" s="800"/>
      <c r="AK85" s="800"/>
    </row>
    <row r="86" spans="1:37" ht="11.25" customHeight="1">
      <c r="A86" s="800"/>
      <c r="J86" s="800"/>
      <c r="L86" s="800"/>
      <c r="N86" s="800"/>
      <c r="U86" s="800"/>
      <c r="Y86" s="800"/>
      <c r="AC86" s="800"/>
      <c r="AG86" s="800"/>
      <c r="AK86" s="800"/>
    </row>
    <row r="87" spans="1:37" ht="11.25" customHeight="1">
      <c r="A87" s="750" t="s">
        <v>1005</v>
      </c>
      <c r="J87" s="748"/>
      <c r="L87" s="684"/>
      <c r="N87" s="751"/>
      <c r="U87" s="751"/>
      <c r="Y87" s="720"/>
      <c r="AC87" s="720"/>
    </row>
    <row r="88" spans="1:37" ht="11.25" customHeight="1">
      <c r="A88" s="750" t="s">
        <v>1006</v>
      </c>
      <c r="J88" s="748"/>
      <c r="L88" s="684"/>
      <c r="N88" s="751"/>
      <c r="U88" s="751"/>
      <c r="Y88" s="720"/>
      <c r="AC88" s="720"/>
    </row>
    <row r="89" spans="1:37" ht="11.25" customHeight="1">
      <c r="A89" s="750" t="s">
        <v>1007</v>
      </c>
      <c r="J89" s="748"/>
      <c r="L89" s="748"/>
      <c r="N89" s="748"/>
      <c r="U89" s="749"/>
    </row>
    <row r="90" spans="1:37" ht="11.25" customHeight="1">
      <c r="A90" s="750" t="s">
        <v>1008</v>
      </c>
      <c r="J90" s="748"/>
      <c r="L90" s="748"/>
      <c r="N90" s="748"/>
      <c r="U90" s="749"/>
    </row>
    <row r="91" spans="1:37">
      <c r="A91" s="750" t="s">
        <v>1009</v>
      </c>
      <c r="J91" s="748"/>
      <c r="L91" s="748"/>
      <c r="N91" s="748"/>
      <c r="U91" s="749"/>
    </row>
    <row r="92" spans="1:37">
      <c r="A92" s="750" t="s">
        <v>1010</v>
      </c>
    </row>
    <row r="93" spans="1:37">
      <c r="A93" s="750" t="s">
        <v>1011</v>
      </c>
    </row>
    <row r="94" spans="1:37">
      <c r="A94" s="750" t="s">
        <v>1012</v>
      </c>
    </row>
    <row r="96" spans="1:37" ht="15.6">
      <c r="A96" s="752" t="s">
        <v>1013</v>
      </c>
      <c r="J96" s="684"/>
      <c r="L96" s="684"/>
      <c r="N96" s="684"/>
    </row>
    <row r="97" spans="1:33" ht="15.6">
      <c r="A97" s="753" t="s">
        <v>1014</v>
      </c>
      <c r="J97" s="684"/>
      <c r="L97" s="684"/>
      <c r="N97" s="684"/>
    </row>
    <row r="98" spans="1:33">
      <c r="A98" s="754" t="s">
        <v>235</v>
      </c>
      <c r="J98" s="684"/>
      <c r="L98" s="684"/>
      <c r="N98" s="684"/>
    </row>
    <row r="99" spans="1:33" ht="13.95" customHeight="1">
      <c r="A99" s="755" t="s">
        <v>235</v>
      </c>
      <c r="J99" s="756" t="s">
        <v>920</v>
      </c>
      <c r="L99" s="756" t="s">
        <v>920</v>
      </c>
      <c r="N99" s="756" t="s">
        <v>920</v>
      </c>
      <c r="U99" s="756" t="s">
        <v>923</v>
      </c>
      <c r="Y99"/>
      <c r="AC99"/>
      <c r="AG99"/>
    </row>
    <row r="100" spans="1:33" ht="15" thickBot="1">
      <c r="A100" s="755"/>
      <c r="J100" s="759">
        <v>2019</v>
      </c>
      <c r="L100" s="759">
        <v>2020</v>
      </c>
      <c r="N100" s="759">
        <v>2021</v>
      </c>
      <c r="U100" s="760">
        <v>44561</v>
      </c>
      <c r="Y100"/>
      <c r="AC100"/>
      <c r="AG100"/>
    </row>
    <row r="101" spans="1:33">
      <c r="A101" s="758" t="s">
        <v>1015</v>
      </c>
      <c r="J101" s="761" t="s">
        <v>235</v>
      </c>
      <c r="L101" s="761" t="s">
        <v>235</v>
      </c>
      <c r="N101" s="762"/>
      <c r="U101" s="762"/>
      <c r="Y101"/>
      <c r="AC101"/>
      <c r="AG101"/>
    </row>
    <row r="102" spans="1:33">
      <c r="A102" s="763" t="s">
        <v>1016</v>
      </c>
      <c r="J102" s="764"/>
      <c r="L102" s="764"/>
      <c r="N102" s="764"/>
      <c r="U102" s="764"/>
    </row>
    <row r="103" spans="1:33">
      <c r="A103" s="763" t="s">
        <v>1017</v>
      </c>
      <c r="J103" s="764"/>
      <c r="L103" s="764"/>
      <c r="N103" s="764"/>
      <c r="U103" s="764"/>
    </row>
    <row r="104" spans="1:33">
      <c r="A104" s="763" t="s">
        <v>1018</v>
      </c>
      <c r="J104" s="764"/>
      <c r="L104" s="764"/>
      <c r="N104" s="764"/>
      <c r="U104" s="764"/>
    </row>
    <row r="105" spans="1:33">
      <c r="A105" s="763" t="s">
        <v>1019</v>
      </c>
      <c r="J105" s="764"/>
      <c r="L105" s="764"/>
      <c r="N105" s="764"/>
      <c r="U105" s="764"/>
    </row>
    <row r="106" spans="1:33" ht="15" thickBot="1">
      <c r="A106" s="763" t="s">
        <v>1020</v>
      </c>
      <c r="J106" s="766"/>
      <c r="L106" s="766"/>
      <c r="N106" s="766"/>
      <c r="U106" s="766"/>
    </row>
    <row r="107" spans="1:33" ht="15" thickBot="1">
      <c r="A107" s="758" t="s">
        <v>1021</v>
      </c>
      <c r="J107" s="767">
        <f>SUM(J102:J106)</f>
        <v>0</v>
      </c>
      <c r="L107" s="767">
        <f>SUM(L102:L106)</f>
        <v>0</v>
      </c>
      <c r="N107" s="767">
        <f>SUM(N102:N106)</f>
        <v>0</v>
      </c>
      <c r="U107" s="767">
        <f>SUM(U102:U106)</f>
        <v>0</v>
      </c>
    </row>
    <row r="108" spans="1:33" ht="15" thickTop="1">
      <c r="A108" s="757" t="s">
        <v>235</v>
      </c>
      <c r="J108" s="765" t="s">
        <v>235</v>
      </c>
      <c r="L108" s="765" t="s">
        <v>235</v>
      </c>
      <c r="N108" s="765" t="s">
        <v>235</v>
      </c>
      <c r="U108" s="765" t="s">
        <v>235</v>
      </c>
    </row>
    <row r="109" spans="1:33">
      <c r="A109" s="758" t="s">
        <v>1022</v>
      </c>
      <c r="J109" s="765" t="s">
        <v>235</v>
      </c>
      <c r="L109" s="765" t="s">
        <v>235</v>
      </c>
      <c r="N109" s="765" t="s">
        <v>235</v>
      </c>
      <c r="U109" s="765" t="s">
        <v>235</v>
      </c>
    </row>
    <row r="110" spans="1:33">
      <c r="A110" s="763" t="s">
        <v>1023</v>
      </c>
      <c r="J110" s="764"/>
      <c r="L110" s="764"/>
      <c r="N110" s="765"/>
      <c r="U110" s="765"/>
    </row>
    <row r="111" spans="1:33">
      <c r="A111" s="763" t="s">
        <v>1024</v>
      </c>
      <c r="J111" s="764"/>
      <c r="L111" s="764"/>
      <c r="N111" s="764"/>
      <c r="U111" s="764"/>
      <c r="Y111" s="764"/>
    </row>
    <row r="112" spans="1:33">
      <c r="A112" s="763" t="s">
        <v>1025</v>
      </c>
      <c r="J112" s="764"/>
      <c r="L112" s="764"/>
      <c r="N112" s="764"/>
      <c r="U112" s="764"/>
    </row>
    <row r="113" spans="1:33" ht="15" thickBot="1">
      <c r="A113" s="763" t="s">
        <v>1026</v>
      </c>
      <c r="J113" s="766"/>
      <c r="L113" s="766"/>
      <c r="N113" s="766"/>
      <c r="U113" s="766"/>
    </row>
    <row r="114" spans="1:33">
      <c r="A114" s="758" t="s">
        <v>1027</v>
      </c>
      <c r="J114" s="764">
        <f>SUM(J110:J113)</f>
        <v>0</v>
      </c>
      <c r="L114" s="764">
        <f>SUM(L110:L113)</f>
        <v>0</v>
      </c>
      <c r="N114" s="764">
        <f>SUM(N110:N113)</f>
        <v>0</v>
      </c>
      <c r="U114" s="764">
        <f>SUM(U110:U113)</f>
        <v>0</v>
      </c>
    </row>
    <row r="115" spans="1:33">
      <c r="A115" s="757" t="s">
        <v>235</v>
      </c>
      <c r="J115" s="765" t="s">
        <v>235</v>
      </c>
      <c r="L115" s="765" t="s">
        <v>235</v>
      </c>
      <c r="N115" s="765" t="s">
        <v>235</v>
      </c>
      <c r="U115" s="765" t="s">
        <v>235</v>
      </c>
    </row>
    <row r="116" spans="1:33">
      <c r="A116" s="758" t="s">
        <v>1028</v>
      </c>
      <c r="J116" s="765" t="s">
        <v>235</v>
      </c>
      <c r="L116" s="765" t="s">
        <v>235</v>
      </c>
      <c r="N116" s="765" t="s">
        <v>235</v>
      </c>
      <c r="U116" s="765" t="s">
        <v>235</v>
      </c>
    </row>
    <row r="117" spans="1:33">
      <c r="A117" s="763" t="s">
        <v>1029</v>
      </c>
      <c r="J117" s="764"/>
      <c r="L117" s="764"/>
      <c r="N117" s="765"/>
      <c r="U117" s="765"/>
    </row>
    <row r="118" spans="1:33">
      <c r="A118" s="763" t="s">
        <v>1030</v>
      </c>
      <c r="J118" s="764"/>
      <c r="L118" s="764"/>
      <c r="N118" s="764"/>
      <c r="U118" s="764"/>
      <c r="Y118" s="768"/>
    </row>
    <row r="119" spans="1:33">
      <c r="A119" s="763" t="s">
        <v>1031</v>
      </c>
      <c r="J119" s="764"/>
      <c r="L119" s="764"/>
      <c r="N119" s="764"/>
      <c r="U119" s="764"/>
    </row>
    <row r="120" spans="1:33" ht="15" thickBot="1">
      <c r="A120" s="763" t="s">
        <v>1032</v>
      </c>
      <c r="J120" s="766"/>
      <c r="L120" s="766"/>
      <c r="N120" s="766"/>
      <c r="U120" s="766"/>
    </row>
    <row r="121" spans="1:33">
      <c r="A121" s="758" t="s">
        <v>1033</v>
      </c>
      <c r="J121" s="764">
        <f>SUM(J117:J120)</f>
        <v>0</v>
      </c>
      <c r="L121" s="764">
        <f>SUM(L117:L120)</f>
        <v>0</v>
      </c>
      <c r="N121" s="764">
        <f>SUM(N117:N120)</f>
        <v>0</v>
      </c>
      <c r="U121" s="764">
        <f>SUM(U117:U120)</f>
        <v>0</v>
      </c>
      <c r="Y121" s="732">
        <f>+J121-J68</f>
        <v>0</v>
      </c>
      <c r="AC121" s="732">
        <f>+L121-L68</f>
        <v>0</v>
      </c>
      <c r="AG121" s="732">
        <f>+N121-N68</f>
        <v>-1</v>
      </c>
    </row>
    <row r="122" spans="1:33">
      <c r="A122" s="757" t="s">
        <v>235</v>
      </c>
      <c r="J122" s="764" t="s">
        <v>235</v>
      </c>
      <c r="L122" s="764" t="s">
        <v>235</v>
      </c>
      <c r="N122" s="764" t="s">
        <v>235</v>
      </c>
      <c r="U122" s="764" t="s">
        <v>235</v>
      </c>
    </row>
    <row r="123" spans="1:33" ht="15" thickBot="1">
      <c r="A123" s="758" t="s">
        <v>1034</v>
      </c>
      <c r="J123" s="767">
        <f>+J121+J114</f>
        <v>0</v>
      </c>
      <c r="L123" s="767">
        <f>+L121+L114</f>
        <v>0</v>
      </c>
      <c r="N123" s="767">
        <f>+N121+N114</f>
        <v>0</v>
      </c>
      <c r="U123" s="767">
        <f>+U121+U114</f>
        <v>0</v>
      </c>
    </row>
    <row r="124" spans="1:33" ht="15.6" thickTop="1" thickBot="1">
      <c r="A124" s="757" t="s">
        <v>235</v>
      </c>
      <c r="U124" s="671"/>
      <c r="Y124" s="765">
        <f>+J123-J107</f>
        <v>0</v>
      </c>
      <c r="AC124" s="765">
        <f>+L123-L107</f>
        <v>0</v>
      </c>
      <c r="AG124" s="765">
        <f>+N123-N107</f>
        <v>0</v>
      </c>
    </row>
    <row r="125" spans="1:33" ht="15" thickBot="1">
      <c r="A125" s="769" t="s">
        <v>1035</v>
      </c>
      <c r="J125" s="770" t="s">
        <v>235</v>
      </c>
      <c r="L125" s="770" t="s">
        <v>235</v>
      </c>
      <c r="N125" s="771" t="s">
        <v>235</v>
      </c>
      <c r="U125" s="684"/>
    </row>
    <row r="126" spans="1:33">
      <c r="A126" s="772" t="s">
        <v>1016</v>
      </c>
      <c r="J126" s="773">
        <f>+J102</f>
        <v>0</v>
      </c>
      <c r="L126" s="773">
        <f>+L102</f>
        <v>0</v>
      </c>
      <c r="N126" s="774">
        <f>+N102</f>
        <v>0</v>
      </c>
      <c r="U126" s="684"/>
    </row>
    <row r="127" spans="1:33">
      <c r="A127" s="775" t="s">
        <v>1018</v>
      </c>
      <c r="J127" s="776">
        <v>0</v>
      </c>
      <c r="L127" s="776">
        <v>0</v>
      </c>
      <c r="N127" s="777">
        <v>0</v>
      </c>
      <c r="U127" s="684"/>
    </row>
    <row r="128" spans="1:33">
      <c r="A128" s="775" t="s">
        <v>53</v>
      </c>
      <c r="J128" s="778">
        <f>SUM(J126:J127)</f>
        <v>0</v>
      </c>
      <c r="L128" s="778">
        <f>SUM(L126:L127)</f>
        <v>0</v>
      </c>
      <c r="N128" s="781">
        <f>SUM(N126:N127)</f>
        <v>0</v>
      </c>
      <c r="U128" s="684"/>
    </row>
    <row r="129" spans="1:21">
      <c r="A129" s="775" t="s">
        <v>991</v>
      </c>
      <c r="J129" s="778">
        <f>+J70</f>
        <v>0</v>
      </c>
      <c r="L129" s="778">
        <f>+L70</f>
        <v>0</v>
      </c>
      <c r="N129" s="781">
        <f>+N70</f>
        <v>0</v>
      </c>
      <c r="U129" s="684"/>
    </row>
    <row r="130" spans="1:21">
      <c r="A130" s="775" t="s">
        <v>235</v>
      </c>
      <c r="J130" s="778" t="s">
        <v>235</v>
      </c>
      <c r="L130" s="778" t="s">
        <v>235</v>
      </c>
      <c r="N130" s="781" t="s">
        <v>235</v>
      </c>
      <c r="U130" s="684"/>
    </row>
    <row r="131" spans="1:21" ht="15" thickBot="1">
      <c r="A131" s="782" t="s">
        <v>1036</v>
      </c>
      <c r="J131" s="783" t="e">
        <f>+J128/$Y$65</f>
        <v>#DIV/0!</v>
      </c>
      <c r="L131" s="783" t="e">
        <f>+L128/$Y$65</f>
        <v>#DIV/0!</v>
      </c>
      <c r="N131" s="784" t="e">
        <f>+N128/$Y$65</f>
        <v>#DIV/0!</v>
      </c>
      <c r="U131" s="684"/>
    </row>
    <row r="132" spans="1:21">
      <c r="A132" s="785" t="s">
        <v>235</v>
      </c>
      <c r="J132" s="786"/>
      <c r="L132" s="786"/>
      <c r="N132" s="786"/>
      <c r="U132" s="786"/>
    </row>
    <row r="133" spans="1:21">
      <c r="A133" s="785" t="s">
        <v>235</v>
      </c>
      <c r="J133" s="786"/>
      <c r="L133" s="786"/>
      <c r="N133" s="786"/>
      <c r="U133" s="786"/>
    </row>
    <row r="134" spans="1:21">
      <c r="A134" s="785" t="s">
        <v>1037</v>
      </c>
      <c r="J134" s="786"/>
      <c r="L134" s="786"/>
      <c r="N134" s="786"/>
      <c r="U134" s="786"/>
    </row>
    <row r="135" spans="1:21">
      <c r="A135" s="787" t="s">
        <v>1014</v>
      </c>
      <c r="J135" s="786"/>
      <c r="L135" s="786"/>
      <c r="N135" s="786"/>
      <c r="U135" s="786"/>
    </row>
    <row r="136" spans="1:21">
      <c r="A136" s="788" t="s">
        <v>235</v>
      </c>
      <c r="J136" s="786"/>
      <c r="L136" s="786"/>
      <c r="N136" s="786"/>
      <c r="U136" s="786"/>
    </row>
    <row r="137" spans="1:21">
      <c r="A137" s="755" t="s">
        <v>235</v>
      </c>
      <c r="J137" s="780" t="s">
        <v>920</v>
      </c>
      <c r="L137" s="780" t="s">
        <v>920</v>
      </c>
      <c r="N137" s="780" t="s">
        <v>920</v>
      </c>
      <c r="U137" s="756" t="s">
        <v>923</v>
      </c>
    </row>
    <row r="138" spans="1:21" ht="15" thickBot="1">
      <c r="A138" s="755"/>
      <c r="J138" s="789">
        <v>2019</v>
      </c>
      <c r="L138" s="789">
        <v>2020</v>
      </c>
      <c r="N138" s="789">
        <v>2021</v>
      </c>
      <c r="U138" s="760">
        <v>44561</v>
      </c>
    </row>
    <row r="139" spans="1:21">
      <c r="A139" s="758" t="s">
        <v>1038</v>
      </c>
      <c r="J139" s="790" t="s">
        <v>235</v>
      </c>
      <c r="L139" s="790" t="s">
        <v>235</v>
      </c>
      <c r="N139" s="791" t="s">
        <v>235</v>
      </c>
      <c r="U139" s="791" t="s">
        <v>235</v>
      </c>
    </row>
    <row r="140" spans="1:21">
      <c r="A140" s="757" t="s">
        <v>1039</v>
      </c>
      <c r="J140" s="764">
        <f>+J14+J13</f>
        <v>0</v>
      </c>
      <c r="L140" s="764">
        <f>+L14+L13</f>
        <v>0</v>
      </c>
      <c r="N140" s="764">
        <f>+N14+N13</f>
        <v>0</v>
      </c>
      <c r="U140" s="764">
        <f>+AU14+AU13</f>
        <v>0</v>
      </c>
    </row>
    <row r="141" spans="1:21">
      <c r="A141" s="757" t="s">
        <v>1040</v>
      </c>
      <c r="J141" s="764">
        <f>+J11+J12</f>
        <v>0</v>
      </c>
      <c r="L141" s="764">
        <f>+L11+L12</f>
        <v>0</v>
      </c>
      <c r="N141" s="764">
        <f>+N11+N12</f>
        <v>0</v>
      </c>
      <c r="U141" s="764">
        <f>+AU11+AU12</f>
        <v>0</v>
      </c>
    </row>
    <row r="142" spans="1:21">
      <c r="A142" s="763" t="s">
        <v>1041</v>
      </c>
      <c r="J142" s="764">
        <f>+J18+J19+J20</f>
        <v>0</v>
      </c>
      <c r="L142" s="764">
        <f>+L18+L19+L20</f>
        <v>0</v>
      </c>
      <c r="N142" s="764">
        <f>+N18+N19+N20</f>
        <v>0</v>
      </c>
      <c r="U142" s="764">
        <f>+AU18+AU19+AU20</f>
        <v>0</v>
      </c>
    </row>
    <row r="143" spans="1:21">
      <c r="A143" s="763" t="s">
        <v>1042</v>
      </c>
      <c r="J143" s="764">
        <v>0</v>
      </c>
      <c r="L143" s="764">
        <v>0</v>
      </c>
      <c r="N143" s="764">
        <v>0</v>
      </c>
      <c r="U143" s="764">
        <v>0</v>
      </c>
    </row>
    <row r="144" spans="1:21">
      <c r="A144" s="757" t="s">
        <v>1043</v>
      </c>
      <c r="J144" s="764">
        <f>+J15+J21+J22+J23</f>
        <v>0</v>
      </c>
      <c r="L144" s="764">
        <f>+L15+L21+L22+L23</f>
        <v>0</v>
      </c>
      <c r="N144" s="764">
        <f>+N15+N21+N22+N23</f>
        <v>0</v>
      </c>
      <c r="U144" s="764">
        <f>+AU15+AU21+AU22+AU23</f>
        <v>0</v>
      </c>
    </row>
    <row r="145" spans="1:33" ht="15" thickBot="1">
      <c r="A145" s="757" t="s">
        <v>1044</v>
      </c>
      <c r="J145" s="766">
        <v>0</v>
      </c>
      <c r="L145" s="766">
        <v>0</v>
      </c>
      <c r="N145" s="766">
        <v>0</v>
      </c>
      <c r="U145" s="766">
        <v>0</v>
      </c>
    </row>
    <row r="146" spans="1:33" ht="15" thickBot="1">
      <c r="A146" s="792" t="s">
        <v>992</v>
      </c>
      <c r="J146" s="767">
        <f>SUM(J140:J145)</f>
        <v>0</v>
      </c>
      <c r="L146" s="767">
        <f>SUM(L140:L145)</f>
        <v>0</v>
      </c>
      <c r="N146" s="767">
        <f>SUM(N140:N145)</f>
        <v>0</v>
      </c>
      <c r="U146" s="767">
        <f>SUM(U140:U145)</f>
        <v>0</v>
      </c>
      <c r="Y146" s="732">
        <f>+J146-J71</f>
        <v>0</v>
      </c>
      <c r="AC146" s="732">
        <f>+L146-L71</f>
        <v>0</v>
      </c>
      <c r="AG146" s="732">
        <f>+O146-O71</f>
        <v>0</v>
      </c>
    </row>
    <row r="147" spans="1:33" ht="15" thickTop="1">
      <c r="A147" s="757" t="s">
        <v>235</v>
      </c>
      <c r="J147" s="765" t="s">
        <v>235</v>
      </c>
      <c r="L147" s="765" t="s">
        <v>235</v>
      </c>
      <c r="N147" s="765" t="s">
        <v>235</v>
      </c>
      <c r="U147" s="765" t="s">
        <v>235</v>
      </c>
    </row>
    <row r="148" spans="1:33">
      <c r="A148" s="758" t="s">
        <v>1045</v>
      </c>
      <c r="J148" s="765" t="s">
        <v>235</v>
      </c>
      <c r="L148" s="765" t="s">
        <v>235</v>
      </c>
      <c r="N148" s="779" t="s">
        <v>235</v>
      </c>
      <c r="U148" s="779" t="s">
        <v>235</v>
      </c>
    </row>
    <row r="149" spans="1:33">
      <c r="A149" s="757" t="s">
        <v>1046</v>
      </c>
      <c r="J149" s="764">
        <f>+J35+J55</f>
        <v>0</v>
      </c>
      <c r="L149" s="764">
        <f>+L35+L55</f>
        <v>0</v>
      </c>
      <c r="N149" s="764">
        <f>+N35+N55</f>
        <v>0</v>
      </c>
      <c r="U149" s="764">
        <f>+AU35+AU55</f>
        <v>0</v>
      </c>
    </row>
    <row r="150" spans="1:33">
      <c r="A150" s="757" t="s">
        <v>1047</v>
      </c>
      <c r="J150" s="764">
        <f>+J41+J49+J62</f>
        <v>0</v>
      </c>
      <c r="L150" s="764">
        <f>+L41+L49+L62</f>
        <v>0</v>
      </c>
      <c r="N150" s="764">
        <f>+N41+N49+N62</f>
        <v>0</v>
      </c>
      <c r="U150" s="764">
        <f>+AU41+AU49+AU62</f>
        <v>0</v>
      </c>
    </row>
    <row r="151" spans="1:33">
      <c r="A151" s="757" t="s">
        <v>1048</v>
      </c>
      <c r="J151" s="764">
        <v>0</v>
      </c>
      <c r="L151" s="764">
        <v>0</v>
      </c>
      <c r="N151" s="764">
        <v>0</v>
      </c>
      <c r="U151" s="764">
        <v>0</v>
      </c>
    </row>
    <row r="152" spans="1:33">
      <c r="A152" s="757" t="s">
        <v>1049</v>
      </c>
      <c r="J152" s="764">
        <v>0</v>
      </c>
      <c r="L152" s="764">
        <v>0</v>
      </c>
      <c r="N152" s="764">
        <v>0</v>
      </c>
      <c r="U152" s="764">
        <v>0</v>
      </c>
    </row>
    <row r="153" spans="1:33" ht="15" thickBot="1">
      <c r="A153" s="757" t="s">
        <v>1050</v>
      </c>
      <c r="J153" s="766">
        <v>0</v>
      </c>
      <c r="L153" s="766">
        <v>0</v>
      </c>
      <c r="N153" s="766">
        <v>0</v>
      </c>
      <c r="U153" s="766">
        <v>0</v>
      </c>
    </row>
    <row r="154" spans="1:33">
      <c r="A154" s="792" t="s">
        <v>1051</v>
      </c>
      <c r="J154" s="764">
        <f>SUM(J149:J153)</f>
        <v>0</v>
      </c>
      <c r="L154" s="764">
        <f>SUM(L149:L153)</f>
        <v>0</v>
      </c>
      <c r="N154" s="764">
        <f>SUM(N149:N153)</f>
        <v>0</v>
      </c>
      <c r="U154" s="764">
        <f>SUM(U149:U153)</f>
        <v>0</v>
      </c>
      <c r="Y154" s="732"/>
    </row>
    <row r="155" spans="1:33">
      <c r="A155" s="757" t="s">
        <v>235</v>
      </c>
      <c r="J155" s="765"/>
      <c r="L155" s="765" t="s">
        <v>235</v>
      </c>
      <c r="N155" s="779" t="s">
        <v>235</v>
      </c>
      <c r="U155" s="779" t="s">
        <v>235</v>
      </c>
    </row>
    <row r="156" spans="1:33">
      <c r="A156" s="758" t="s">
        <v>1052</v>
      </c>
      <c r="J156" s="765">
        <f>+J146-J154</f>
        <v>0</v>
      </c>
      <c r="L156" s="765">
        <f>+L146-L154</f>
        <v>0</v>
      </c>
      <c r="N156" s="765">
        <f>+N146-N154</f>
        <v>0</v>
      </c>
      <c r="U156" s="765">
        <f>+U146-U154</f>
        <v>0</v>
      </c>
    </row>
    <row r="157" spans="1:33">
      <c r="A157" s="763" t="s">
        <v>235</v>
      </c>
      <c r="J157" s="765" t="s">
        <v>235</v>
      </c>
      <c r="L157" s="765" t="s">
        <v>235</v>
      </c>
      <c r="N157" s="779" t="s">
        <v>235</v>
      </c>
      <c r="U157" s="779" t="s">
        <v>235</v>
      </c>
    </row>
    <row r="158" spans="1:33">
      <c r="A158" s="757" t="s">
        <v>1053</v>
      </c>
      <c r="J158" s="765">
        <v>0</v>
      </c>
      <c r="L158" s="765">
        <v>0</v>
      </c>
      <c r="N158" s="779">
        <v>0</v>
      </c>
      <c r="U158" s="779">
        <v>0</v>
      </c>
    </row>
    <row r="159" spans="1:33">
      <c r="A159" s="757" t="s">
        <v>1054</v>
      </c>
      <c r="J159" s="764">
        <v>0</v>
      </c>
      <c r="L159" s="764">
        <v>0</v>
      </c>
      <c r="N159" s="779">
        <v>0</v>
      </c>
      <c r="U159" s="779">
        <v>0</v>
      </c>
    </row>
    <row r="160" spans="1:33" ht="15" thickBot="1">
      <c r="A160" s="757" t="s">
        <v>1055</v>
      </c>
      <c r="J160" s="766">
        <v>0</v>
      </c>
      <c r="L160" s="766">
        <v>0</v>
      </c>
      <c r="N160" s="766">
        <v>0</v>
      </c>
      <c r="U160" s="766">
        <v>0</v>
      </c>
    </row>
    <row r="161" spans="1:33">
      <c r="A161" s="757" t="s">
        <v>1056</v>
      </c>
      <c r="J161" s="764">
        <f>SUM(J158:J160)</f>
        <v>0</v>
      </c>
      <c r="L161" s="764">
        <f>SUM(L158:L160)</f>
        <v>0</v>
      </c>
      <c r="N161" s="764">
        <f>SUM(N158:N160)</f>
        <v>0</v>
      </c>
      <c r="U161" s="764">
        <f>SUM(U158:U160)</f>
        <v>0</v>
      </c>
    </row>
    <row r="162" spans="1:33">
      <c r="A162" s="757" t="s">
        <v>1057</v>
      </c>
      <c r="J162" s="764">
        <f>+J156</f>
        <v>0</v>
      </c>
      <c r="L162" s="764">
        <f>+L156</f>
        <v>0</v>
      </c>
      <c r="N162" s="764">
        <f>+N156</f>
        <v>0</v>
      </c>
      <c r="U162" s="764">
        <f>+U156</f>
        <v>0</v>
      </c>
    </row>
    <row r="163" spans="1:33">
      <c r="A163" s="763" t="s">
        <v>235</v>
      </c>
      <c r="J163" s="764" t="s">
        <v>235</v>
      </c>
      <c r="L163" s="764" t="s">
        <v>235</v>
      </c>
      <c r="N163" s="779" t="s">
        <v>235</v>
      </c>
      <c r="U163" s="779" t="s">
        <v>235</v>
      </c>
    </row>
    <row r="164" spans="1:33">
      <c r="A164" s="757" t="s">
        <v>1058</v>
      </c>
      <c r="J164" s="764">
        <f>+J67</f>
        <v>0</v>
      </c>
      <c r="L164" s="764">
        <f>+J165</f>
        <v>0</v>
      </c>
      <c r="N164" s="779">
        <f>+L165</f>
        <v>0</v>
      </c>
      <c r="U164" s="779">
        <f>+S165</f>
        <v>0</v>
      </c>
    </row>
    <row r="165" spans="1:33">
      <c r="A165" s="757" t="s">
        <v>1059</v>
      </c>
      <c r="J165" s="764">
        <f>+J164+J162</f>
        <v>0</v>
      </c>
      <c r="L165" s="764">
        <f>+L164+L162</f>
        <v>0</v>
      </c>
      <c r="N165" s="764">
        <f>+N164+N162</f>
        <v>0</v>
      </c>
      <c r="U165" s="764">
        <f>+U164+U162</f>
        <v>0</v>
      </c>
      <c r="Y165" s="732"/>
      <c r="AC165" s="732"/>
      <c r="AG165" s="732"/>
    </row>
    <row r="166" spans="1:33">
      <c r="A166" s="763" t="s">
        <v>235</v>
      </c>
      <c r="J166" s="765" t="s">
        <v>235</v>
      </c>
      <c r="L166" s="765" t="s">
        <v>235</v>
      </c>
      <c r="N166" s="779" t="s">
        <v>235</v>
      </c>
      <c r="U166" s="779" t="s">
        <v>235</v>
      </c>
    </row>
    <row r="167" spans="1:33" ht="15" thickBot="1">
      <c r="A167" s="758" t="s">
        <v>1060</v>
      </c>
      <c r="J167" s="779" t="s">
        <v>235</v>
      </c>
      <c r="L167" s="779" t="s">
        <v>235</v>
      </c>
      <c r="N167" s="779" t="s">
        <v>235</v>
      </c>
      <c r="U167" s="779" t="s">
        <v>235</v>
      </c>
    </row>
    <row r="168" spans="1:33">
      <c r="A168" s="772" t="s">
        <v>1052</v>
      </c>
      <c r="J168" s="773">
        <f>+J156</f>
        <v>0</v>
      </c>
      <c r="L168" s="773">
        <f>+L156</f>
        <v>0</v>
      </c>
      <c r="N168" s="774">
        <f>+N156</f>
        <v>0</v>
      </c>
      <c r="U168" s="774">
        <f>+U156</f>
        <v>0</v>
      </c>
    </row>
    <row r="169" spans="1:33">
      <c r="A169" s="775" t="s">
        <v>1061</v>
      </c>
      <c r="J169" s="778">
        <v>0</v>
      </c>
      <c r="L169" s="778">
        <v>0</v>
      </c>
      <c r="N169" s="781">
        <v>0</v>
      </c>
      <c r="U169" s="781">
        <v>0</v>
      </c>
    </row>
    <row r="170" spans="1:33">
      <c r="A170" s="775" t="s">
        <v>1062</v>
      </c>
      <c r="J170" s="776">
        <v>0</v>
      </c>
      <c r="L170" s="776">
        <v>0</v>
      </c>
      <c r="N170" s="777">
        <v>0</v>
      </c>
      <c r="U170" s="777">
        <v>0</v>
      </c>
    </row>
    <row r="171" spans="1:33">
      <c r="A171" s="775" t="s">
        <v>1063</v>
      </c>
      <c r="J171" s="778">
        <f>+J168</f>
        <v>0</v>
      </c>
      <c r="L171" s="778">
        <f>+L168</f>
        <v>0</v>
      </c>
      <c r="N171" s="781">
        <f>+N168</f>
        <v>0</v>
      </c>
      <c r="U171" s="781">
        <f>+U168</f>
        <v>0</v>
      </c>
    </row>
    <row r="172" spans="1:33">
      <c r="A172" s="793" t="s">
        <v>235</v>
      </c>
      <c r="J172" s="778" t="s">
        <v>235</v>
      </c>
      <c r="L172" s="778" t="s">
        <v>235</v>
      </c>
      <c r="N172" s="781" t="s">
        <v>235</v>
      </c>
      <c r="U172" s="781" t="s">
        <v>235</v>
      </c>
    </row>
    <row r="173" spans="1:33">
      <c r="A173" s="775" t="s">
        <v>1064</v>
      </c>
      <c r="J173" s="778"/>
      <c r="L173" s="778"/>
      <c r="N173" s="781"/>
      <c r="U173" s="781"/>
    </row>
    <row r="174" spans="1:33" ht="15" thickBot="1">
      <c r="A174" s="782" t="s">
        <v>1065</v>
      </c>
      <c r="J174" s="783" t="e">
        <f>+J171/J173</f>
        <v>#DIV/0!</v>
      </c>
      <c r="L174" s="783" t="e">
        <f>+L171/L173</f>
        <v>#DIV/0!</v>
      </c>
      <c r="N174" s="784" t="e">
        <f>+N171/N173</f>
        <v>#DIV/0!</v>
      </c>
      <c r="U174" s="784" t="e">
        <f>+U171/U173</f>
        <v>#DIV/0!</v>
      </c>
    </row>
    <row r="175" spans="1:33">
      <c r="A175" s="794"/>
      <c r="J175" s="795"/>
      <c r="L175" s="796"/>
      <c r="N175" s="796"/>
    </row>
  </sheetData>
  <pageMargins left="0.25" right="0.25" top="0.25" bottom="0.25" header="0.3" footer="0.3"/>
  <pageSetup scale="80" fitToHeight="0" orientation="landscape" r:id="rId1"/>
  <rowBreaks count="1" manualBreakCount="1">
    <brk id="56" max="66"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1"/>
  <dimension ref="A1:R37"/>
  <sheetViews>
    <sheetView showGridLines="0" zoomScale="90" zoomScaleNormal="100" workbookViewId="0">
      <selection activeCell="C4" sqref="C4"/>
    </sheetView>
  </sheetViews>
  <sheetFormatPr defaultRowHeight="13.2"/>
  <cols>
    <col min="1" max="1" width="4.21875" style="30" customWidth="1"/>
    <col min="2" max="2" width="2.5546875" style="2" customWidth="1"/>
    <col min="3" max="4" width="9.21875" style="2"/>
    <col min="5" max="5" width="7.21875" style="2" customWidth="1"/>
    <col min="6" max="6" width="8.21875" style="2" customWidth="1"/>
    <col min="7" max="8" width="10.21875" style="2" customWidth="1"/>
    <col min="9" max="9" width="3.77734375" style="2" customWidth="1"/>
    <col min="10" max="10" width="9.21875" style="2"/>
    <col min="11" max="11" width="6.21875" style="2" customWidth="1"/>
    <col min="12" max="12" width="5.5546875" style="2" customWidth="1"/>
    <col min="13" max="13" width="10.77734375" style="2" customWidth="1"/>
    <col min="14" max="14" width="8.21875" style="2" customWidth="1"/>
    <col min="15" max="15" width="12.21875" style="2" customWidth="1"/>
    <col min="16" max="16" width="10.21875" style="2" customWidth="1"/>
    <col min="17" max="17" width="9.21875" style="32" customWidth="1"/>
    <col min="18" max="256" width="9.21875" style="2"/>
    <col min="257" max="257" width="4.21875" style="2" customWidth="1"/>
    <col min="258" max="258" width="2.5546875" style="2" customWidth="1"/>
    <col min="259" max="260" width="9.21875" style="2"/>
    <col min="261" max="261" width="7.21875" style="2" customWidth="1"/>
    <col min="262" max="262" width="8.21875" style="2" customWidth="1"/>
    <col min="263" max="264" width="10.21875" style="2" customWidth="1"/>
    <col min="265" max="265" width="3.77734375" style="2" customWidth="1"/>
    <col min="266" max="266" width="9.21875" style="2"/>
    <col min="267" max="267" width="6.21875" style="2" customWidth="1"/>
    <col min="268" max="268" width="5.5546875" style="2" customWidth="1"/>
    <col min="269" max="269" width="10.77734375" style="2" customWidth="1"/>
    <col min="270" max="270" width="8.21875" style="2" customWidth="1"/>
    <col min="271" max="271" width="12.21875" style="2" customWidth="1"/>
    <col min="272" max="272" width="10.21875" style="2" customWidth="1"/>
    <col min="273" max="273" width="9.21875" style="2" customWidth="1"/>
    <col min="274" max="512" width="9.21875" style="2"/>
    <col min="513" max="513" width="4.21875" style="2" customWidth="1"/>
    <col min="514" max="514" width="2.5546875" style="2" customWidth="1"/>
    <col min="515" max="516" width="9.21875" style="2"/>
    <col min="517" max="517" width="7.21875" style="2" customWidth="1"/>
    <col min="518" max="518" width="8.21875" style="2" customWidth="1"/>
    <col min="519" max="520" width="10.21875" style="2" customWidth="1"/>
    <col min="521" max="521" width="3.77734375" style="2" customWidth="1"/>
    <col min="522" max="522" width="9.21875" style="2"/>
    <col min="523" max="523" width="6.21875" style="2" customWidth="1"/>
    <col min="524" max="524" width="5.5546875" style="2" customWidth="1"/>
    <col min="525" max="525" width="10.77734375" style="2" customWidth="1"/>
    <col min="526" max="526" width="8.21875" style="2" customWidth="1"/>
    <col min="527" max="527" width="12.21875" style="2" customWidth="1"/>
    <col min="528" max="528" width="10.21875" style="2" customWidth="1"/>
    <col min="529" max="529" width="9.21875" style="2" customWidth="1"/>
    <col min="530" max="768" width="9.21875" style="2"/>
    <col min="769" max="769" width="4.21875" style="2" customWidth="1"/>
    <col min="770" max="770" width="2.5546875" style="2" customWidth="1"/>
    <col min="771" max="772" width="9.21875" style="2"/>
    <col min="773" max="773" width="7.21875" style="2" customWidth="1"/>
    <col min="774" max="774" width="8.21875" style="2" customWidth="1"/>
    <col min="775" max="776" width="10.21875" style="2" customWidth="1"/>
    <col min="777" max="777" width="3.77734375" style="2" customWidth="1"/>
    <col min="778" max="778" width="9.21875" style="2"/>
    <col min="779" max="779" width="6.21875" style="2" customWidth="1"/>
    <col min="780" max="780" width="5.5546875" style="2" customWidth="1"/>
    <col min="781" max="781" width="10.77734375" style="2" customWidth="1"/>
    <col min="782" max="782" width="8.21875" style="2" customWidth="1"/>
    <col min="783" max="783" width="12.21875" style="2" customWidth="1"/>
    <col min="784" max="784" width="10.21875" style="2" customWidth="1"/>
    <col min="785" max="785" width="9.21875" style="2" customWidth="1"/>
    <col min="786" max="1024" width="9.21875" style="2"/>
    <col min="1025" max="1025" width="4.21875" style="2" customWidth="1"/>
    <col min="1026" max="1026" width="2.5546875" style="2" customWidth="1"/>
    <col min="1027" max="1028" width="9.21875" style="2"/>
    <col min="1029" max="1029" width="7.21875" style="2" customWidth="1"/>
    <col min="1030" max="1030" width="8.21875" style="2" customWidth="1"/>
    <col min="1031" max="1032" width="10.21875" style="2" customWidth="1"/>
    <col min="1033" max="1033" width="3.77734375" style="2" customWidth="1"/>
    <col min="1034" max="1034" width="9.21875" style="2"/>
    <col min="1035" max="1035" width="6.21875" style="2" customWidth="1"/>
    <col min="1036" max="1036" width="5.5546875" style="2" customWidth="1"/>
    <col min="1037" max="1037" width="10.77734375" style="2" customWidth="1"/>
    <col min="1038" max="1038" width="8.21875" style="2" customWidth="1"/>
    <col min="1039" max="1039" width="12.21875" style="2" customWidth="1"/>
    <col min="1040" max="1040" width="10.21875" style="2" customWidth="1"/>
    <col min="1041" max="1041" width="9.21875" style="2" customWidth="1"/>
    <col min="1042" max="1280" width="9.21875" style="2"/>
    <col min="1281" max="1281" width="4.21875" style="2" customWidth="1"/>
    <col min="1282" max="1282" width="2.5546875" style="2" customWidth="1"/>
    <col min="1283" max="1284" width="9.21875" style="2"/>
    <col min="1285" max="1285" width="7.21875" style="2" customWidth="1"/>
    <col min="1286" max="1286" width="8.21875" style="2" customWidth="1"/>
    <col min="1287" max="1288" width="10.21875" style="2" customWidth="1"/>
    <col min="1289" max="1289" width="3.77734375" style="2" customWidth="1"/>
    <col min="1290" max="1290" width="9.21875" style="2"/>
    <col min="1291" max="1291" width="6.21875" style="2" customWidth="1"/>
    <col min="1292" max="1292" width="5.5546875" style="2" customWidth="1"/>
    <col min="1293" max="1293" width="10.77734375" style="2" customWidth="1"/>
    <col min="1294" max="1294" width="8.21875" style="2" customWidth="1"/>
    <col min="1295" max="1295" width="12.21875" style="2" customWidth="1"/>
    <col min="1296" max="1296" width="10.21875" style="2" customWidth="1"/>
    <col min="1297" max="1297" width="9.21875" style="2" customWidth="1"/>
    <col min="1298" max="1536" width="9.21875" style="2"/>
    <col min="1537" max="1537" width="4.21875" style="2" customWidth="1"/>
    <col min="1538" max="1538" width="2.5546875" style="2" customWidth="1"/>
    <col min="1539" max="1540" width="9.21875" style="2"/>
    <col min="1541" max="1541" width="7.21875" style="2" customWidth="1"/>
    <col min="1542" max="1542" width="8.21875" style="2" customWidth="1"/>
    <col min="1543" max="1544" width="10.21875" style="2" customWidth="1"/>
    <col min="1545" max="1545" width="3.77734375" style="2" customWidth="1"/>
    <col min="1546" max="1546" width="9.21875" style="2"/>
    <col min="1547" max="1547" width="6.21875" style="2" customWidth="1"/>
    <col min="1548" max="1548" width="5.5546875" style="2" customWidth="1"/>
    <col min="1549" max="1549" width="10.77734375" style="2" customWidth="1"/>
    <col min="1550" max="1550" width="8.21875" style="2" customWidth="1"/>
    <col min="1551" max="1551" width="12.21875" style="2" customWidth="1"/>
    <col min="1552" max="1552" width="10.21875" style="2" customWidth="1"/>
    <col min="1553" max="1553" width="9.21875" style="2" customWidth="1"/>
    <col min="1554" max="1792" width="9.21875" style="2"/>
    <col min="1793" max="1793" width="4.21875" style="2" customWidth="1"/>
    <col min="1794" max="1794" width="2.5546875" style="2" customWidth="1"/>
    <col min="1795" max="1796" width="9.21875" style="2"/>
    <col min="1797" max="1797" width="7.21875" style="2" customWidth="1"/>
    <col min="1798" max="1798" width="8.21875" style="2" customWidth="1"/>
    <col min="1799" max="1800" width="10.21875" style="2" customWidth="1"/>
    <col min="1801" max="1801" width="3.77734375" style="2" customWidth="1"/>
    <col min="1802" max="1802" width="9.21875" style="2"/>
    <col min="1803" max="1803" width="6.21875" style="2" customWidth="1"/>
    <col min="1804" max="1804" width="5.5546875" style="2" customWidth="1"/>
    <col min="1805" max="1805" width="10.77734375" style="2" customWidth="1"/>
    <col min="1806" max="1806" width="8.21875" style="2" customWidth="1"/>
    <col min="1807" max="1807" width="12.21875" style="2" customWidth="1"/>
    <col min="1808" max="1808" width="10.21875" style="2" customWidth="1"/>
    <col min="1809" max="1809" width="9.21875" style="2" customWidth="1"/>
    <col min="1810" max="2048" width="9.21875" style="2"/>
    <col min="2049" max="2049" width="4.21875" style="2" customWidth="1"/>
    <col min="2050" max="2050" width="2.5546875" style="2" customWidth="1"/>
    <col min="2051" max="2052" width="9.21875" style="2"/>
    <col min="2053" max="2053" width="7.21875" style="2" customWidth="1"/>
    <col min="2054" max="2054" width="8.21875" style="2" customWidth="1"/>
    <col min="2055" max="2056" width="10.21875" style="2" customWidth="1"/>
    <col min="2057" max="2057" width="3.77734375" style="2" customWidth="1"/>
    <col min="2058" max="2058" width="9.21875" style="2"/>
    <col min="2059" max="2059" width="6.21875" style="2" customWidth="1"/>
    <col min="2060" max="2060" width="5.5546875" style="2" customWidth="1"/>
    <col min="2061" max="2061" width="10.77734375" style="2" customWidth="1"/>
    <col min="2062" max="2062" width="8.21875" style="2" customWidth="1"/>
    <col min="2063" max="2063" width="12.21875" style="2" customWidth="1"/>
    <col min="2064" max="2064" width="10.21875" style="2" customWidth="1"/>
    <col min="2065" max="2065" width="9.21875" style="2" customWidth="1"/>
    <col min="2066" max="2304" width="9.21875" style="2"/>
    <col min="2305" max="2305" width="4.21875" style="2" customWidth="1"/>
    <col min="2306" max="2306" width="2.5546875" style="2" customWidth="1"/>
    <col min="2307" max="2308" width="9.21875" style="2"/>
    <col min="2309" max="2309" width="7.21875" style="2" customWidth="1"/>
    <col min="2310" max="2310" width="8.21875" style="2" customWidth="1"/>
    <col min="2311" max="2312" width="10.21875" style="2" customWidth="1"/>
    <col min="2313" max="2313" width="3.77734375" style="2" customWidth="1"/>
    <col min="2314" max="2314" width="9.21875" style="2"/>
    <col min="2315" max="2315" width="6.21875" style="2" customWidth="1"/>
    <col min="2316" max="2316" width="5.5546875" style="2" customWidth="1"/>
    <col min="2317" max="2317" width="10.77734375" style="2" customWidth="1"/>
    <col min="2318" max="2318" width="8.21875" style="2" customWidth="1"/>
    <col min="2319" max="2319" width="12.21875" style="2" customWidth="1"/>
    <col min="2320" max="2320" width="10.21875" style="2" customWidth="1"/>
    <col min="2321" max="2321" width="9.21875" style="2" customWidth="1"/>
    <col min="2322" max="2560" width="9.21875" style="2"/>
    <col min="2561" max="2561" width="4.21875" style="2" customWidth="1"/>
    <col min="2562" max="2562" width="2.5546875" style="2" customWidth="1"/>
    <col min="2563" max="2564" width="9.21875" style="2"/>
    <col min="2565" max="2565" width="7.21875" style="2" customWidth="1"/>
    <col min="2566" max="2566" width="8.21875" style="2" customWidth="1"/>
    <col min="2567" max="2568" width="10.21875" style="2" customWidth="1"/>
    <col min="2569" max="2569" width="3.77734375" style="2" customWidth="1"/>
    <col min="2570" max="2570" width="9.21875" style="2"/>
    <col min="2571" max="2571" width="6.21875" style="2" customWidth="1"/>
    <col min="2572" max="2572" width="5.5546875" style="2" customWidth="1"/>
    <col min="2573" max="2573" width="10.77734375" style="2" customWidth="1"/>
    <col min="2574" max="2574" width="8.21875" style="2" customWidth="1"/>
    <col min="2575" max="2575" width="12.21875" style="2" customWidth="1"/>
    <col min="2576" max="2576" width="10.21875" style="2" customWidth="1"/>
    <col min="2577" max="2577" width="9.21875" style="2" customWidth="1"/>
    <col min="2578" max="2816" width="9.21875" style="2"/>
    <col min="2817" max="2817" width="4.21875" style="2" customWidth="1"/>
    <col min="2818" max="2818" width="2.5546875" style="2" customWidth="1"/>
    <col min="2819" max="2820" width="9.21875" style="2"/>
    <col min="2821" max="2821" width="7.21875" style="2" customWidth="1"/>
    <col min="2822" max="2822" width="8.21875" style="2" customWidth="1"/>
    <col min="2823" max="2824" width="10.21875" style="2" customWidth="1"/>
    <col min="2825" max="2825" width="3.77734375" style="2" customWidth="1"/>
    <col min="2826" max="2826" width="9.21875" style="2"/>
    <col min="2827" max="2827" width="6.21875" style="2" customWidth="1"/>
    <col min="2828" max="2828" width="5.5546875" style="2" customWidth="1"/>
    <col min="2829" max="2829" width="10.77734375" style="2" customWidth="1"/>
    <col min="2830" max="2830" width="8.21875" style="2" customWidth="1"/>
    <col min="2831" max="2831" width="12.21875" style="2" customWidth="1"/>
    <col min="2832" max="2832" width="10.21875" style="2" customWidth="1"/>
    <col min="2833" max="2833" width="9.21875" style="2" customWidth="1"/>
    <col min="2834" max="3072" width="9.21875" style="2"/>
    <col min="3073" max="3073" width="4.21875" style="2" customWidth="1"/>
    <col min="3074" max="3074" width="2.5546875" style="2" customWidth="1"/>
    <col min="3075" max="3076" width="9.21875" style="2"/>
    <col min="3077" max="3077" width="7.21875" style="2" customWidth="1"/>
    <col min="3078" max="3078" width="8.21875" style="2" customWidth="1"/>
    <col min="3079" max="3080" width="10.21875" style="2" customWidth="1"/>
    <col min="3081" max="3081" width="3.77734375" style="2" customWidth="1"/>
    <col min="3082" max="3082" width="9.21875" style="2"/>
    <col min="3083" max="3083" width="6.21875" style="2" customWidth="1"/>
    <col min="3084" max="3084" width="5.5546875" style="2" customWidth="1"/>
    <col min="3085" max="3085" width="10.77734375" style="2" customWidth="1"/>
    <col min="3086" max="3086" width="8.21875" style="2" customWidth="1"/>
    <col min="3087" max="3087" width="12.21875" style="2" customWidth="1"/>
    <col min="3088" max="3088" width="10.21875" style="2" customWidth="1"/>
    <col min="3089" max="3089" width="9.21875" style="2" customWidth="1"/>
    <col min="3090" max="3328" width="9.21875" style="2"/>
    <col min="3329" max="3329" width="4.21875" style="2" customWidth="1"/>
    <col min="3330" max="3330" width="2.5546875" style="2" customWidth="1"/>
    <col min="3331" max="3332" width="9.21875" style="2"/>
    <col min="3333" max="3333" width="7.21875" style="2" customWidth="1"/>
    <col min="3334" max="3334" width="8.21875" style="2" customWidth="1"/>
    <col min="3335" max="3336" width="10.21875" style="2" customWidth="1"/>
    <col min="3337" max="3337" width="3.77734375" style="2" customWidth="1"/>
    <col min="3338" max="3338" width="9.21875" style="2"/>
    <col min="3339" max="3339" width="6.21875" style="2" customWidth="1"/>
    <col min="3340" max="3340" width="5.5546875" style="2" customWidth="1"/>
    <col min="3341" max="3341" width="10.77734375" style="2" customWidth="1"/>
    <col min="3342" max="3342" width="8.21875" style="2" customWidth="1"/>
    <col min="3343" max="3343" width="12.21875" style="2" customWidth="1"/>
    <col min="3344" max="3344" width="10.21875" style="2" customWidth="1"/>
    <col min="3345" max="3345" width="9.21875" style="2" customWidth="1"/>
    <col min="3346" max="3584" width="9.21875" style="2"/>
    <col min="3585" max="3585" width="4.21875" style="2" customWidth="1"/>
    <col min="3586" max="3586" width="2.5546875" style="2" customWidth="1"/>
    <col min="3587" max="3588" width="9.21875" style="2"/>
    <col min="3589" max="3589" width="7.21875" style="2" customWidth="1"/>
    <col min="3590" max="3590" width="8.21875" style="2" customWidth="1"/>
    <col min="3591" max="3592" width="10.21875" style="2" customWidth="1"/>
    <col min="3593" max="3593" width="3.77734375" style="2" customWidth="1"/>
    <col min="3594" max="3594" width="9.21875" style="2"/>
    <col min="3595" max="3595" width="6.21875" style="2" customWidth="1"/>
    <col min="3596" max="3596" width="5.5546875" style="2" customWidth="1"/>
    <col min="3597" max="3597" width="10.77734375" style="2" customWidth="1"/>
    <col min="3598" max="3598" width="8.21875" style="2" customWidth="1"/>
    <col min="3599" max="3599" width="12.21875" style="2" customWidth="1"/>
    <col min="3600" max="3600" width="10.21875" style="2" customWidth="1"/>
    <col min="3601" max="3601" width="9.21875" style="2" customWidth="1"/>
    <col min="3602" max="3840" width="9.21875" style="2"/>
    <col min="3841" max="3841" width="4.21875" style="2" customWidth="1"/>
    <col min="3842" max="3842" width="2.5546875" style="2" customWidth="1"/>
    <col min="3843" max="3844" width="9.21875" style="2"/>
    <col min="3845" max="3845" width="7.21875" style="2" customWidth="1"/>
    <col min="3846" max="3846" width="8.21875" style="2" customWidth="1"/>
    <col min="3847" max="3848" width="10.21875" style="2" customWidth="1"/>
    <col min="3849" max="3849" width="3.77734375" style="2" customWidth="1"/>
    <col min="3850" max="3850" width="9.21875" style="2"/>
    <col min="3851" max="3851" width="6.21875" style="2" customWidth="1"/>
    <col min="3852" max="3852" width="5.5546875" style="2" customWidth="1"/>
    <col min="3853" max="3853" width="10.77734375" style="2" customWidth="1"/>
    <col min="3854" max="3854" width="8.21875" style="2" customWidth="1"/>
    <col min="3855" max="3855" width="12.21875" style="2" customWidth="1"/>
    <col min="3856" max="3856" width="10.21875" style="2" customWidth="1"/>
    <col min="3857" max="3857" width="9.21875" style="2" customWidth="1"/>
    <col min="3858" max="4096" width="9.21875" style="2"/>
    <col min="4097" max="4097" width="4.21875" style="2" customWidth="1"/>
    <col min="4098" max="4098" width="2.5546875" style="2" customWidth="1"/>
    <col min="4099" max="4100" width="9.21875" style="2"/>
    <col min="4101" max="4101" width="7.21875" style="2" customWidth="1"/>
    <col min="4102" max="4102" width="8.21875" style="2" customWidth="1"/>
    <col min="4103" max="4104" width="10.21875" style="2" customWidth="1"/>
    <col min="4105" max="4105" width="3.77734375" style="2" customWidth="1"/>
    <col min="4106" max="4106" width="9.21875" style="2"/>
    <col min="4107" max="4107" width="6.21875" style="2" customWidth="1"/>
    <col min="4108" max="4108" width="5.5546875" style="2" customWidth="1"/>
    <col min="4109" max="4109" width="10.77734375" style="2" customWidth="1"/>
    <col min="4110" max="4110" width="8.21875" style="2" customWidth="1"/>
    <col min="4111" max="4111" width="12.21875" style="2" customWidth="1"/>
    <col min="4112" max="4112" width="10.21875" style="2" customWidth="1"/>
    <col min="4113" max="4113" width="9.21875" style="2" customWidth="1"/>
    <col min="4114" max="4352" width="9.21875" style="2"/>
    <col min="4353" max="4353" width="4.21875" style="2" customWidth="1"/>
    <col min="4354" max="4354" width="2.5546875" style="2" customWidth="1"/>
    <col min="4355" max="4356" width="9.21875" style="2"/>
    <col min="4357" max="4357" width="7.21875" style="2" customWidth="1"/>
    <col min="4358" max="4358" width="8.21875" style="2" customWidth="1"/>
    <col min="4359" max="4360" width="10.21875" style="2" customWidth="1"/>
    <col min="4361" max="4361" width="3.77734375" style="2" customWidth="1"/>
    <col min="4362" max="4362" width="9.21875" style="2"/>
    <col min="4363" max="4363" width="6.21875" style="2" customWidth="1"/>
    <col min="4364" max="4364" width="5.5546875" style="2" customWidth="1"/>
    <col min="4365" max="4365" width="10.77734375" style="2" customWidth="1"/>
    <col min="4366" max="4366" width="8.21875" style="2" customWidth="1"/>
    <col min="4367" max="4367" width="12.21875" style="2" customWidth="1"/>
    <col min="4368" max="4368" width="10.21875" style="2" customWidth="1"/>
    <col min="4369" max="4369" width="9.21875" style="2" customWidth="1"/>
    <col min="4370" max="4608" width="9.21875" style="2"/>
    <col min="4609" max="4609" width="4.21875" style="2" customWidth="1"/>
    <col min="4610" max="4610" width="2.5546875" style="2" customWidth="1"/>
    <col min="4611" max="4612" width="9.21875" style="2"/>
    <col min="4613" max="4613" width="7.21875" style="2" customWidth="1"/>
    <col min="4614" max="4614" width="8.21875" style="2" customWidth="1"/>
    <col min="4615" max="4616" width="10.21875" style="2" customWidth="1"/>
    <col min="4617" max="4617" width="3.77734375" style="2" customWidth="1"/>
    <col min="4618" max="4618" width="9.21875" style="2"/>
    <col min="4619" max="4619" width="6.21875" style="2" customWidth="1"/>
    <col min="4620" max="4620" width="5.5546875" style="2" customWidth="1"/>
    <col min="4621" max="4621" width="10.77734375" style="2" customWidth="1"/>
    <col min="4622" max="4622" width="8.21875" style="2" customWidth="1"/>
    <col min="4623" max="4623" width="12.21875" style="2" customWidth="1"/>
    <col min="4624" max="4624" width="10.21875" style="2" customWidth="1"/>
    <col min="4625" max="4625" width="9.21875" style="2" customWidth="1"/>
    <col min="4626" max="4864" width="9.21875" style="2"/>
    <col min="4865" max="4865" width="4.21875" style="2" customWidth="1"/>
    <col min="4866" max="4866" width="2.5546875" style="2" customWidth="1"/>
    <col min="4867" max="4868" width="9.21875" style="2"/>
    <col min="4869" max="4869" width="7.21875" style="2" customWidth="1"/>
    <col min="4870" max="4870" width="8.21875" style="2" customWidth="1"/>
    <col min="4871" max="4872" width="10.21875" style="2" customWidth="1"/>
    <col min="4873" max="4873" width="3.77734375" style="2" customWidth="1"/>
    <col min="4874" max="4874" width="9.21875" style="2"/>
    <col min="4875" max="4875" width="6.21875" style="2" customWidth="1"/>
    <col min="4876" max="4876" width="5.5546875" style="2" customWidth="1"/>
    <col min="4877" max="4877" width="10.77734375" style="2" customWidth="1"/>
    <col min="4878" max="4878" width="8.21875" style="2" customWidth="1"/>
    <col min="4879" max="4879" width="12.21875" style="2" customWidth="1"/>
    <col min="4880" max="4880" width="10.21875" style="2" customWidth="1"/>
    <col min="4881" max="4881" width="9.21875" style="2" customWidth="1"/>
    <col min="4882" max="5120" width="9.21875" style="2"/>
    <col min="5121" max="5121" width="4.21875" style="2" customWidth="1"/>
    <col min="5122" max="5122" width="2.5546875" style="2" customWidth="1"/>
    <col min="5123" max="5124" width="9.21875" style="2"/>
    <col min="5125" max="5125" width="7.21875" style="2" customWidth="1"/>
    <col min="5126" max="5126" width="8.21875" style="2" customWidth="1"/>
    <col min="5127" max="5128" width="10.21875" style="2" customWidth="1"/>
    <col min="5129" max="5129" width="3.77734375" style="2" customWidth="1"/>
    <col min="5130" max="5130" width="9.21875" style="2"/>
    <col min="5131" max="5131" width="6.21875" style="2" customWidth="1"/>
    <col min="5132" max="5132" width="5.5546875" style="2" customWidth="1"/>
    <col min="5133" max="5133" width="10.77734375" style="2" customWidth="1"/>
    <col min="5134" max="5134" width="8.21875" style="2" customWidth="1"/>
    <col min="5135" max="5135" width="12.21875" style="2" customWidth="1"/>
    <col min="5136" max="5136" width="10.21875" style="2" customWidth="1"/>
    <col min="5137" max="5137" width="9.21875" style="2" customWidth="1"/>
    <col min="5138" max="5376" width="9.21875" style="2"/>
    <col min="5377" max="5377" width="4.21875" style="2" customWidth="1"/>
    <col min="5378" max="5378" width="2.5546875" style="2" customWidth="1"/>
    <col min="5379" max="5380" width="9.21875" style="2"/>
    <col min="5381" max="5381" width="7.21875" style="2" customWidth="1"/>
    <col min="5382" max="5382" width="8.21875" style="2" customWidth="1"/>
    <col min="5383" max="5384" width="10.21875" style="2" customWidth="1"/>
    <col min="5385" max="5385" width="3.77734375" style="2" customWidth="1"/>
    <col min="5386" max="5386" width="9.21875" style="2"/>
    <col min="5387" max="5387" width="6.21875" style="2" customWidth="1"/>
    <col min="5388" max="5388" width="5.5546875" style="2" customWidth="1"/>
    <col min="5389" max="5389" width="10.77734375" style="2" customWidth="1"/>
    <col min="5390" max="5390" width="8.21875" style="2" customWidth="1"/>
    <col min="5391" max="5391" width="12.21875" style="2" customWidth="1"/>
    <col min="5392" max="5392" width="10.21875" style="2" customWidth="1"/>
    <col min="5393" max="5393" width="9.21875" style="2" customWidth="1"/>
    <col min="5394" max="5632" width="9.21875" style="2"/>
    <col min="5633" max="5633" width="4.21875" style="2" customWidth="1"/>
    <col min="5634" max="5634" width="2.5546875" style="2" customWidth="1"/>
    <col min="5635" max="5636" width="9.21875" style="2"/>
    <col min="5637" max="5637" width="7.21875" style="2" customWidth="1"/>
    <col min="5638" max="5638" width="8.21875" style="2" customWidth="1"/>
    <col min="5639" max="5640" width="10.21875" style="2" customWidth="1"/>
    <col min="5641" max="5641" width="3.77734375" style="2" customWidth="1"/>
    <col min="5642" max="5642" width="9.21875" style="2"/>
    <col min="5643" max="5643" width="6.21875" style="2" customWidth="1"/>
    <col min="5644" max="5644" width="5.5546875" style="2" customWidth="1"/>
    <col min="5645" max="5645" width="10.77734375" style="2" customWidth="1"/>
    <col min="5646" max="5646" width="8.21875" style="2" customWidth="1"/>
    <col min="5647" max="5647" width="12.21875" style="2" customWidth="1"/>
    <col min="5648" max="5648" width="10.21875" style="2" customWidth="1"/>
    <col min="5649" max="5649" width="9.21875" style="2" customWidth="1"/>
    <col min="5650" max="5888" width="9.21875" style="2"/>
    <col min="5889" max="5889" width="4.21875" style="2" customWidth="1"/>
    <col min="5890" max="5890" width="2.5546875" style="2" customWidth="1"/>
    <col min="5891" max="5892" width="9.21875" style="2"/>
    <col min="5893" max="5893" width="7.21875" style="2" customWidth="1"/>
    <col min="5894" max="5894" width="8.21875" style="2" customWidth="1"/>
    <col min="5895" max="5896" width="10.21875" style="2" customWidth="1"/>
    <col min="5897" max="5897" width="3.77734375" style="2" customWidth="1"/>
    <col min="5898" max="5898" width="9.21875" style="2"/>
    <col min="5899" max="5899" width="6.21875" style="2" customWidth="1"/>
    <col min="5900" max="5900" width="5.5546875" style="2" customWidth="1"/>
    <col min="5901" max="5901" width="10.77734375" style="2" customWidth="1"/>
    <col min="5902" max="5902" width="8.21875" style="2" customWidth="1"/>
    <col min="5903" max="5903" width="12.21875" style="2" customWidth="1"/>
    <col min="5904" max="5904" width="10.21875" style="2" customWidth="1"/>
    <col min="5905" max="5905" width="9.21875" style="2" customWidth="1"/>
    <col min="5906" max="6144" width="9.21875" style="2"/>
    <col min="6145" max="6145" width="4.21875" style="2" customWidth="1"/>
    <col min="6146" max="6146" width="2.5546875" style="2" customWidth="1"/>
    <col min="6147" max="6148" width="9.21875" style="2"/>
    <col min="6149" max="6149" width="7.21875" style="2" customWidth="1"/>
    <col min="6150" max="6150" width="8.21875" style="2" customWidth="1"/>
    <col min="6151" max="6152" width="10.21875" style="2" customWidth="1"/>
    <col min="6153" max="6153" width="3.77734375" style="2" customWidth="1"/>
    <col min="6154" max="6154" width="9.21875" style="2"/>
    <col min="6155" max="6155" width="6.21875" style="2" customWidth="1"/>
    <col min="6156" max="6156" width="5.5546875" style="2" customWidth="1"/>
    <col min="6157" max="6157" width="10.77734375" style="2" customWidth="1"/>
    <col min="6158" max="6158" width="8.21875" style="2" customWidth="1"/>
    <col min="6159" max="6159" width="12.21875" style="2" customWidth="1"/>
    <col min="6160" max="6160" width="10.21875" style="2" customWidth="1"/>
    <col min="6161" max="6161" width="9.21875" style="2" customWidth="1"/>
    <col min="6162" max="6400" width="9.21875" style="2"/>
    <col min="6401" max="6401" width="4.21875" style="2" customWidth="1"/>
    <col min="6402" max="6402" width="2.5546875" style="2" customWidth="1"/>
    <col min="6403" max="6404" width="9.21875" style="2"/>
    <col min="6405" max="6405" width="7.21875" style="2" customWidth="1"/>
    <col min="6406" max="6406" width="8.21875" style="2" customWidth="1"/>
    <col min="6407" max="6408" width="10.21875" style="2" customWidth="1"/>
    <col min="6409" max="6409" width="3.77734375" style="2" customWidth="1"/>
    <col min="6410" max="6410" width="9.21875" style="2"/>
    <col min="6411" max="6411" width="6.21875" style="2" customWidth="1"/>
    <col min="6412" max="6412" width="5.5546875" style="2" customWidth="1"/>
    <col min="6413" max="6413" width="10.77734375" style="2" customWidth="1"/>
    <col min="6414" max="6414" width="8.21875" style="2" customWidth="1"/>
    <col min="6415" max="6415" width="12.21875" style="2" customWidth="1"/>
    <col min="6416" max="6416" width="10.21875" style="2" customWidth="1"/>
    <col min="6417" max="6417" width="9.21875" style="2" customWidth="1"/>
    <col min="6418" max="6656" width="9.21875" style="2"/>
    <col min="6657" max="6657" width="4.21875" style="2" customWidth="1"/>
    <col min="6658" max="6658" width="2.5546875" style="2" customWidth="1"/>
    <col min="6659" max="6660" width="9.21875" style="2"/>
    <col min="6661" max="6661" width="7.21875" style="2" customWidth="1"/>
    <col min="6662" max="6662" width="8.21875" style="2" customWidth="1"/>
    <col min="6663" max="6664" width="10.21875" style="2" customWidth="1"/>
    <col min="6665" max="6665" width="3.77734375" style="2" customWidth="1"/>
    <col min="6666" max="6666" width="9.21875" style="2"/>
    <col min="6667" max="6667" width="6.21875" style="2" customWidth="1"/>
    <col min="6668" max="6668" width="5.5546875" style="2" customWidth="1"/>
    <col min="6669" max="6669" width="10.77734375" style="2" customWidth="1"/>
    <col min="6670" max="6670" width="8.21875" style="2" customWidth="1"/>
    <col min="6671" max="6671" width="12.21875" style="2" customWidth="1"/>
    <col min="6672" max="6672" width="10.21875" style="2" customWidth="1"/>
    <col min="6673" max="6673" width="9.21875" style="2" customWidth="1"/>
    <col min="6674" max="6912" width="9.21875" style="2"/>
    <col min="6913" max="6913" width="4.21875" style="2" customWidth="1"/>
    <col min="6914" max="6914" width="2.5546875" style="2" customWidth="1"/>
    <col min="6915" max="6916" width="9.21875" style="2"/>
    <col min="6917" max="6917" width="7.21875" style="2" customWidth="1"/>
    <col min="6918" max="6918" width="8.21875" style="2" customWidth="1"/>
    <col min="6919" max="6920" width="10.21875" style="2" customWidth="1"/>
    <col min="6921" max="6921" width="3.77734375" style="2" customWidth="1"/>
    <col min="6922" max="6922" width="9.21875" style="2"/>
    <col min="6923" max="6923" width="6.21875" style="2" customWidth="1"/>
    <col min="6924" max="6924" width="5.5546875" style="2" customWidth="1"/>
    <col min="6925" max="6925" width="10.77734375" style="2" customWidth="1"/>
    <col min="6926" max="6926" width="8.21875" style="2" customWidth="1"/>
    <col min="6927" max="6927" width="12.21875" style="2" customWidth="1"/>
    <col min="6928" max="6928" width="10.21875" style="2" customWidth="1"/>
    <col min="6929" max="6929" width="9.21875" style="2" customWidth="1"/>
    <col min="6930" max="7168" width="9.21875" style="2"/>
    <col min="7169" max="7169" width="4.21875" style="2" customWidth="1"/>
    <col min="7170" max="7170" width="2.5546875" style="2" customWidth="1"/>
    <col min="7171" max="7172" width="9.21875" style="2"/>
    <col min="7173" max="7173" width="7.21875" style="2" customWidth="1"/>
    <col min="7174" max="7174" width="8.21875" style="2" customWidth="1"/>
    <col min="7175" max="7176" width="10.21875" style="2" customWidth="1"/>
    <col min="7177" max="7177" width="3.77734375" style="2" customWidth="1"/>
    <col min="7178" max="7178" width="9.21875" style="2"/>
    <col min="7179" max="7179" width="6.21875" style="2" customWidth="1"/>
    <col min="7180" max="7180" width="5.5546875" style="2" customWidth="1"/>
    <col min="7181" max="7181" width="10.77734375" style="2" customWidth="1"/>
    <col min="7182" max="7182" width="8.21875" style="2" customWidth="1"/>
    <col min="7183" max="7183" width="12.21875" style="2" customWidth="1"/>
    <col min="7184" max="7184" width="10.21875" style="2" customWidth="1"/>
    <col min="7185" max="7185" width="9.21875" style="2" customWidth="1"/>
    <col min="7186" max="7424" width="9.21875" style="2"/>
    <col min="7425" max="7425" width="4.21875" style="2" customWidth="1"/>
    <col min="7426" max="7426" width="2.5546875" style="2" customWidth="1"/>
    <col min="7427" max="7428" width="9.21875" style="2"/>
    <col min="7429" max="7429" width="7.21875" style="2" customWidth="1"/>
    <col min="7430" max="7430" width="8.21875" style="2" customWidth="1"/>
    <col min="7431" max="7432" width="10.21875" style="2" customWidth="1"/>
    <col min="7433" max="7433" width="3.77734375" style="2" customWidth="1"/>
    <col min="7434" max="7434" width="9.21875" style="2"/>
    <col min="7435" max="7435" width="6.21875" style="2" customWidth="1"/>
    <col min="7436" max="7436" width="5.5546875" style="2" customWidth="1"/>
    <col min="7437" max="7437" width="10.77734375" style="2" customWidth="1"/>
    <col min="7438" max="7438" width="8.21875" style="2" customWidth="1"/>
    <col min="7439" max="7439" width="12.21875" style="2" customWidth="1"/>
    <col min="7440" max="7440" width="10.21875" style="2" customWidth="1"/>
    <col min="7441" max="7441" width="9.21875" style="2" customWidth="1"/>
    <col min="7442" max="7680" width="9.21875" style="2"/>
    <col min="7681" max="7681" width="4.21875" style="2" customWidth="1"/>
    <col min="7682" max="7682" width="2.5546875" style="2" customWidth="1"/>
    <col min="7683" max="7684" width="9.21875" style="2"/>
    <col min="7685" max="7685" width="7.21875" style="2" customWidth="1"/>
    <col min="7686" max="7686" width="8.21875" style="2" customWidth="1"/>
    <col min="7687" max="7688" width="10.21875" style="2" customWidth="1"/>
    <col min="7689" max="7689" width="3.77734375" style="2" customWidth="1"/>
    <col min="7690" max="7690" width="9.21875" style="2"/>
    <col min="7691" max="7691" width="6.21875" style="2" customWidth="1"/>
    <col min="7692" max="7692" width="5.5546875" style="2" customWidth="1"/>
    <col min="7693" max="7693" width="10.77734375" style="2" customWidth="1"/>
    <col min="7694" max="7694" width="8.21875" style="2" customWidth="1"/>
    <col min="7695" max="7695" width="12.21875" style="2" customWidth="1"/>
    <col min="7696" max="7696" width="10.21875" style="2" customWidth="1"/>
    <col min="7697" max="7697" width="9.21875" style="2" customWidth="1"/>
    <col min="7698" max="7936" width="9.21875" style="2"/>
    <col min="7937" max="7937" width="4.21875" style="2" customWidth="1"/>
    <col min="7938" max="7938" width="2.5546875" style="2" customWidth="1"/>
    <col min="7939" max="7940" width="9.21875" style="2"/>
    <col min="7941" max="7941" width="7.21875" style="2" customWidth="1"/>
    <col min="7942" max="7942" width="8.21875" style="2" customWidth="1"/>
    <col min="7943" max="7944" width="10.21875" style="2" customWidth="1"/>
    <col min="7945" max="7945" width="3.77734375" style="2" customWidth="1"/>
    <col min="7946" max="7946" width="9.21875" style="2"/>
    <col min="7947" max="7947" width="6.21875" style="2" customWidth="1"/>
    <col min="7948" max="7948" width="5.5546875" style="2" customWidth="1"/>
    <col min="7949" max="7949" width="10.77734375" style="2" customWidth="1"/>
    <col min="7950" max="7950" width="8.21875" style="2" customWidth="1"/>
    <col min="7951" max="7951" width="12.21875" style="2" customWidth="1"/>
    <col min="7952" max="7952" width="10.21875" style="2" customWidth="1"/>
    <col min="7953" max="7953" width="9.21875" style="2" customWidth="1"/>
    <col min="7954" max="8192" width="9.21875" style="2"/>
    <col min="8193" max="8193" width="4.21875" style="2" customWidth="1"/>
    <col min="8194" max="8194" width="2.5546875" style="2" customWidth="1"/>
    <col min="8195" max="8196" width="9.21875" style="2"/>
    <col min="8197" max="8197" width="7.21875" style="2" customWidth="1"/>
    <col min="8198" max="8198" width="8.21875" style="2" customWidth="1"/>
    <col min="8199" max="8200" width="10.21875" style="2" customWidth="1"/>
    <col min="8201" max="8201" width="3.77734375" style="2" customWidth="1"/>
    <col min="8202" max="8202" width="9.21875" style="2"/>
    <col min="8203" max="8203" width="6.21875" style="2" customWidth="1"/>
    <col min="8204" max="8204" width="5.5546875" style="2" customWidth="1"/>
    <col min="8205" max="8205" width="10.77734375" style="2" customWidth="1"/>
    <col min="8206" max="8206" width="8.21875" style="2" customWidth="1"/>
    <col min="8207" max="8207" width="12.21875" style="2" customWidth="1"/>
    <col min="8208" max="8208" width="10.21875" style="2" customWidth="1"/>
    <col min="8209" max="8209" width="9.21875" style="2" customWidth="1"/>
    <col min="8210" max="8448" width="9.21875" style="2"/>
    <col min="8449" max="8449" width="4.21875" style="2" customWidth="1"/>
    <col min="8450" max="8450" width="2.5546875" style="2" customWidth="1"/>
    <col min="8451" max="8452" width="9.21875" style="2"/>
    <col min="8453" max="8453" width="7.21875" style="2" customWidth="1"/>
    <col min="8454" max="8454" width="8.21875" style="2" customWidth="1"/>
    <col min="8455" max="8456" width="10.21875" style="2" customWidth="1"/>
    <col min="8457" max="8457" width="3.77734375" style="2" customWidth="1"/>
    <col min="8458" max="8458" width="9.21875" style="2"/>
    <col min="8459" max="8459" width="6.21875" style="2" customWidth="1"/>
    <col min="8460" max="8460" width="5.5546875" style="2" customWidth="1"/>
    <col min="8461" max="8461" width="10.77734375" style="2" customWidth="1"/>
    <col min="8462" max="8462" width="8.21875" style="2" customWidth="1"/>
    <col min="8463" max="8463" width="12.21875" style="2" customWidth="1"/>
    <col min="8464" max="8464" width="10.21875" style="2" customWidth="1"/>
    <col min="8465" max="8465" width="9.21875" style="2" customWidth="1"/>
    <col min="8466" max="8704" width="9.21875" style="2"/>
    <col min="8705" max="8705" width="4.21875" style="2" customWidth="1"/>
    <col min="8706" max="8706" width="2.5546875" style="2" customWidth="1"/>
    <col min="8707" max="8708" width="9.21875" style="2"/>
    <col min="8709" max="8709" width="7.21875" style="2" customWidth="1"/>
    <col min="8710" max="8710" width="8.21875" style="2" customWidth="1"/>
    <col min="8711" max="8712" width="10.21875" style="2" customWidth="1"/>
    <col min="8713" max="8713" width="3.77734375" style="2" customWidth="1"/>
    <col min="8714" max="8714" width="9.21875" style="2"/>
    <col min="8715" max="8715" width="6.21875" style="2" customWidth="1"/>
    <col min="8716" max="8716" width="5.5546875" style="2" customWidth="1"/>
    <col min="8717" max="8717" width="10.77734375" style="2" customWidth="1"/>
    <col min="8718" max="8718" width="8.21875" style="2" customWidth="1"/>
    <col min="8719" max="8719" width="12.21875" style="2" customWidth="1"/>
    <col min="8720" max="8720" width="10.21875" style="2" customWidth="1"/>
    <col min="8721" max="8721" width="9.21875" style="2" customWidth="1"/>
    <col min="8722" max="8960" width="9.21875" style="2"/>
    <col min="8961" max="8961" width="4.21875" style="2" customWidth="1"/>
    <col min="8962" max="8962" width="2.5546875" style="2" customWidth="1"/>
    <col min="8963" max="8964" width="9.21875" style="2"/>
    <col min="8965" max="8965" width="7.21875" style="2" customWidth="1"/>
    <col min="8966" max="8966" width="8.21875" style="2" customWidth="1"/>
    <col min="8967" max="8968" width="10.21875" style="2" customWidth="1"/>
    <col min="8969" max="8969" width="3.77734375" style="2" customWidth="1"/>
    <col min="8970" max="8970" width="9.21875" style="2"/>
    <col min="8971" max="8971" width="6.21875" style="2" customWidth="1"/>
    <col min="8972" max="8972" width="5.5546875" style="2" customWidth="1"/>
    <col min="8973" max="8973" width="10.77734375" style="2" customWidth="1"/>
    <col min="8974" max="8974" width="8.21875" style="2" customWidth="1"/>
    <col min="8975" max="8975" width="12.21875" style="2" customWidth="1"/>
    <col min="8976" max="8976" width="10.21875" style="2" customWidth="1"/>
    <col min="8977" max="8977" width="9.21875" style="2" customWidth="1"/>
    <col min="8978" max="9216" width="9.21875" style="2"/>
    <col min="9217" max="9217" width="4.21875" style="2" customWidth="1"/>
    <col min="9218" max="9218" width="2.5546875" style="2" customWidth="1"/>
    <col min="9219" max="9220" width="9.21875" style="2"/>
    <col min="9221" max="9221" width="7.21875" style="2" customWidth="1"/>
    <col min="9222" max="9222" width="8.21875" style="2" customWidth="1"/>
    <col min="9223" max="9224" width="10.21875" style="2" customWidth="1"/>
    <col min="9225" max="9225" width="3.77734375" style="2" customWidth="1"/>
    <col min="9226" max="9226" width="9.21875" style="2"/>
    <col min="9227" max="9227" width="6.21875" style="2" customWidth="1"/>
    <col min="9228" max="9228" width="5.5546875" style="2" customWidth="1"/>
    <col min="9229" max="9229" width="10.77734375" style="2" customWidth="1"/>
    <col min="9230" max="9230" width="8.21875" style="2" customWidth="1"/>
    <col min="9231" max="9231" width="12.21875" style="2" customWidth="1"/>
    <col min="9232" max="9232" width="10.21875" style="2" customWidth="1"/>
    <col min="9233" max="9233" width="9.21875" style="2" customWidth="1"/>
    <col min="9234" max="9472" width="9.21875" style="2"/>
    <col min="9473" max="9473" width="4.21875" style="2" customWidth="1"/>
    <col min="9474" max="9474" width="2.5546875" style="2" customWidth="1"/>
    <col min="9475" max="9476" width="9.21875" style="2"/>
    <col min="9477" max="9477" width="7.21875" style="2" customWidth="1"/>
    <col min="9478" max="9478" width="8.21875" style="2" customWidth="1"/>
    <col min="9479" max="9480" width="10.21875" style="2" customWidth="1"/>
    <col min="9481" max="9481" width="3.77734375" style="2" customWidth="1"/>
    <col min="9482" max="9482" width="9.21875" style="2"/>
    <col min="9483" max="9483" width="6.21875" style="2" customWidth="1"/>
    <col min="9484" max="9484" width="5.5546875" style="2" customWidth="1"/>
    <col min="9485" max="9485" width="10.77734375" style="2" customWidth="1"/>
    <col min="9486" max="9486" width="8.21875" style="2" customWidth="1"/>
    <col min="9487" max="9487" width="12.21875" style="2" customWidth="1"/>
    <col min="9488" max="9488" width="10.21875" style="2" customWidth="1"/>
    <col min="9489" max="9489" width="9.21875" style="2" customWidth="1"/>
    <col min="9490" max="9728" width="9.21875" style="2"/>
    <col min="9729" max="9729" width="4.21875" style="2" customWidth="1"/>
    <col min="9730" max="9730" width="2.5546875" style="2" customWidth="1"/>
    <col min="9731" max="9732" width="9.21875" style="2"/>
    <col min="9733" max="9733" width="7.21875" style="2" customWidth="1"/>
    <col min="9734" max="9734" width="8.21875" style="2" customWidth="1"/>
    <col min="9735" max="9736" width="10.21875" style="2" customWidth="1"/>
    <col min="9737" max="9737" width="3.77734375" style="2" customWidth="1"/>
    <col min="9738" max="9738" width="9.21875" style="2"/>
    <col min="9739" max="9739" width="6.21875" style="2" customWidth="1"/>
    <col min="9740" max="9740" width="5.5546875" style="2" customWidth="1"/>
    <col min="9741" max="9741" width="10.77734375" style="2" customWidth="1"/>
    <col min="9742" max="9742" width="8.21875" style="2" customWidth="1"/>
    <col min="9743" max="9743" width="12.21875" style="2" customWidth="1"/>
    <col min="9744" max="9744" width="10.21875" style="2" customWidth="1"/>
    <col min="9745" max="9745" width="9.21875" style="2" customWidth="1"/>
    <col min="9746" max="9984" width="9.21875" style="2"/>
    <col min="9985" max="9985" width="4.21875" style="2" customWidth="1"/>
    <col min="9986" max="9986" width="2.5546875" style="2" customWidth="1"/>
    <col min="9987" max="9988" width="9.21875" style="2"/>
    <col min="9989" max="9989" width="7.21875" style="2" customWidth="1"/>
    <col min="9990" max="9990" width="8.21875" style="2" customWidth="1"/>
    <col min="9991" max="9992" width="10.21875" style="2" customWidth="1"/>
    <col min="9993" max="9993" width="3.77734375" style="2" customWidth="1"/>
    <col min="9994" max="9994" width="9.21875" style="2"/>
    <col min="9995" max="9995" width="6.21875" style="2" customWidth="1"/>
    <col min="9996" max="9996" width="5.5546875" style="2" customWidth="1"/>
    <col min="9997" max="9997" width="10.77734375" style="2" customWidth="1"/>
    <col min="9998" max="9998" width="8.21875" style="2" customWidth="1"/>
    <col min="9999" max="9999" width="12.21875" style="2" customWidth="1"/>
    <col min="10000" max="10000" width="10.21875" style="2" customWidth="1"/>
    <col min="10001" max="10001" width="9.21875" style="2" customWidth="1"/>
    <col min="10002" max="10240" width="9.21875" style="2"/>
    <col min="10241" max="10241" width="4.21875" style="2" customWidth="1"/>
    <col min="10242" max="10242" width="2.5546875" style="2" customWidth="1"/>
    <col min="10243" max="10244" width="9.21875" style="2"/>
    <col min="10245" max="10245" width="7.21875" style="2" customWidth="1"/>
    <col min="10246" max="10246" width="8.21875" style="2" customWidth="1"/>
    <col min="10247" max="10248" width="10.21875" style="2" customWidth="1"/>
    <col min="10249" max="10249" width="3.77734375" style="2" customWidth="1"/>
    <col min="10250" max="10250" width="9.21875" style="2"/>
    <col min="10251" max="10251" width="6.21875" style="2" customWidth="1"/>
    <col min="10252" max="10252" width="5.5546875" style="2" customWidth="1"/>
    <col min="10253" max="10253" width="10.77734375" style="2" customWidth="1"/>
    <col min="10254" max="10254" width="8.21875" style="2" customWidth="1"/>
    <col min="10255" max="10255" width="12.21875" style="2" customWidth="1"/>
    <col min="10256" max="10256" width="10.21875" style="2" customWidth="1"/>
    <col min="10257" max="10257" width="9.21875" style="2" customWidth="1"/>
    <col min="10258" max="10496" width="9.21875" style="2"/>
    <col min="10497" max="10497" width="4.21875" style="2" customWidth="1"/>
    <col min="10498" max="10498" width="2.5546875" style="2" customWidth="1"/>
    <col min="10499" max="10500" width="9.21875" style="2"/>
    <col min="10501" max="10501" width="7.21875" style="2" customWidth="1"/>
    <col min="10502" max="10502" width="8.21875" style="2" customWidth="1"/>
    <col min="10503" max="10504" width="10.21875" style="2" customWidth="1"/>
    <col min="10505" max="10505" width="3.77734375" style="2" customWidth="1"/>
    <col min="10506" max="10506" width="9.21875" style="2"/>
    <col min="10507" max="10507" width="6.21875" style="2" customWidth="1"/>
    <col min="10508" max="10508" width="5.5546875" style="2" customWidth="1"/>
    <col min="10509" max="10509" width="10.77734375" style="2" customWidth="1"/>
    <col min="10510" max="10510" width="8.21875" style="2" customWidth="1"/>
    <col min="10511" max="10511" width="12.21875" style="2" customWidth="1"/>
    <col min="10512" max="10512" width="10.21875" style="2" customWidth="1"/>
    <col min="10513" max="10513" width="9.21875" style="2" customWidth="1"/>
    <col min="10514" max="10752" width="9.21875" style="2"/>
    <col min="10753" max="10753" width="4.21875" style="2" customWidth="1"/>
    <col min="10754" max="10754" width="2.5546875" style="2" customWidth="1"/>
    <col min="10755" max="10756" width="9.21875" style="2"/>
    <col min="10757" max="10757" width="7.21875" style="2" customWidth="1"/>
    <col min="10758" max="10758" width="8.21875" style="2" customWidth="1"/>
    <col min="10759" max="10760" width="10.21875" style="2" customWidth="1"/>
    <col min="10761" max="10761" width="3.77734375" style="2" customWidth="1"/>
    <col min="10762" max="10762" width="9.21875" style="2"/>
    <col min="10763" max="10763" width="6.21875" style="2" customWidth="1"/>
    <col min="10764" max="10764" width="5.5546875" style="2" customWidth="1"/>
    <col min="10765" max="10765" width="10.77734375" style="2" customWidth="1"/>
    <col min="10766" max="10766" width="8.21875" style="2" customWidth="1"/>
    <col min="10767" max="10767" width="12.21875" style="2" customWidth="1"/>
    <col min="10768" max="10768" width="10.21875" style="2" customWidth="1"/>
    <col min="10769" max="10769" width="9.21875" style="2" customWidth="1"/>
    <col min="10770" max="11008" width="9.21875" style="2"/>
    <col min="11009" max="11009" width="4.21875" style="2" customWidth="1"/>
    <col min="11010" max="11010" width="2.5546875" style="2" customWidth="1"/>
    <col min="11011" max="11012" width="9.21875" style="2"/>
    <col min="11013" max="11013" width="7.21875" style="2" customWidth="1"/>
    <col min="11014" max="11014" width="8.21875" style="2" customWidth="1"/>
    <col min="11015" max="11016" width="10.21875" style="2" customWidth="1"/>
    <col min="11017" max="11017" width="3.77734375" style="2" customWidth="1"/>
    <col min="11018" max="11018" width="9.21875" style="2"/>
    <col min="11019" max="11019" width="6.21875" style="2" customWidth="1"/>
    <col min="11020" max="11020" width="5.5546875" style="2" customWidth="1"/>
    <col min="11021" max="11021" width="10.77734375" style="2" customWidth="1"/>
    <col min="11022" max="11022" width="8.21875" style="2" customWidth="1"/>
    <col min="11023" max="11023" width="12.21875" style="2" customWidth="1"/>
    <col min="11024" max="11024" width="10.21875" style="2" customWidth="1"/>
    <col min="11025" max="11025" width="9.21875" style="2" customWidth="1"/>
    <col min="11026" max="11264" width="9.21875" style="2"/>
    <col min="11265" max="11265" width="4.21875" style="2" customWidth="1"/>
    <col min="11266" max="11266" width="2.5546875" style="2" customWidth="1"/>
    <col min="11267" max="11268" width="9.21875" style="2"/>
    <col min="11269" max="11269" width="7.21875" style="2" customWidth="1"/>
    <col min="11270" max="11270" width="8.21875" style="2" customWidth="1"/>
    <col min="11271" max="11272" width="10.21875" style="2" customWidth="1"/>
    <col min="11273" max="11273" width="3.77734375" style="2" customWidth="1"/>
    <col min="11274" max="11274" width="9.21875" style="2"/>
    <col min="11275" max="11275" width="6.21875" style="2" customWidth="1"/>
    <col min="11276" max="11276" width="5.5546875" style="2" customWidth="1"/>
    <col min="11277" max="11277" width="10.77734375" style="2" customWidth="1"/>
    <col min="11278" max="11278" width="8.21875" style="2" customWidth="1"/>
    <col min="11279" max="11279" width="12.21875" style="2" customWidth="1"/>
    <col min="11280" max="11280" width="10.21875" style="2" customWidth="1"/>
    <col min="11281" max="11281" width="9.21875" style="2" customWidth="1"/>
    <col min="11282" max="11520" width="9.21875" style="2"/>
    <col min="11521" max="11521" width="4.21875" style="2" customWidth="1"/>
    <col min="11522" max="11522" width="2.5546875" style="2" customWidth="1"/>
    <col min="11523" max="11524" width="9.21875" style="2"/>
    <col min="11525" max="11525" width="7.21875" style="2" customWidth="1"/>
    <col min="11526" max="11526" width="8.21875" style="2" customWidth="1"/>
    <col min="11527" max="11528" width="10.21875" style="2" customWidth="1"/>
    <col min="11529" max="11529" width="3.77734375" style="2" customWidth="1"/>
    <col min="11530" max="11530" width="9.21875" style="2"/>
    <col min="11531" max="11531" width="6.21875" style="2" customWidth="1"/>
    <col min="11532" max="11532" width="5.5546875" style="2" customWidth="1"/>
    <col min="11533" max="11533" width="10.77734375" style="2" customWidth="1"/>
    <col min="11534" max="11534" width="8.21875" style="2" customWidth="1"/>
    <col min="11535" max="11535" width="12.21875" style="2" customWidth="1"/>
    <col min="11536" max="11536" width="10.21875" style="2" customWidth="1"/>
    <col min="11537" max="11537" width="9.21875" style="2" customWidth="1"/>
    <col min="11538" max="11776" width="9.21875" style="2"/>
    <col min="11777" max="11777" width="4.21875" style="2" customWidth="1"/>
    <col min="11778" max="11778" width="2.5546875" style="2" customWidth="1"/>
    <col min="11779" max="11780" width="9.21875" style="2"/>
    <col min="11781" max="11781" width="7.21875" style="2" customWidth="1"/>
    <col min="11782" max="11782" width="8.21875" style="2" customWidth="1"/>
    <col min="11783" max="11784" width="10.21875" style="2" customWidth="1"/>
    <col min="11785" max="11785" width="3.77734375" style="2" customWidth="1"/>
    <col min="11786" max="11786" width="9.21875" style="2"/>
    <col min="11787" max="11787" width="6.21875" style="2" customWidth="1"/>
    <col min="11788" max="11788" width="5.5546875" style="2" customWidth="1"/>
    <col min="11789" max="11789" width="10.77734375" style="2" customWidth="1"/>
    <col min="11790" max="11790" width="8.21875" style="2" customWidth="1"/>
    <col min="11791" max="11791" width="12.21875" style="2" customWidth="1"/>
    <col min="11792" max="11792" width="10.21875" style="2" customWidth="1"/>
    <col min="11793" max="11793" width="9.21875" style="2" customWidth="1"/>
    <col min="11794" max="12032" width="9.21875" style="2"/>
    <col min="12033" max="12033" width="4.21875" style="2" customWidth="1"/>
    <col min="12034" max="12034" width="2.5546875" style="2" customWidth="1"/>
    <col min="12035" max="12036" width="9.21875" style="2"/>
    <col min="12037" max="12037" width="7.21875" style="2" customWidth="1"/>
    <col min="12038" max="12038" width="8.21875" style="2" customWidth="1"/>
    <col min="12039" max="12040" width="10.21875" style="2" customWidth="1"/>
    <col min="12041" max="12041" width="3.77734375" style="2" customWidth="1"/>
    <col min="12042" max="12042" width="9.21875" style="2"/>
    <col min="12043" max="12043" width="6.21875" style="2" customWidth="1"/>
    <col min="12044" max="12044" width="5.5546875" style="2" customWidth="1"/>
    <col min="12045" max="12045" width="10.77734375" style="2" customWidth="1"/>
    <col min="12046" max="12046" width="8.21875" style="2" customWidth="1"/>
    <col min="12047" max="12047" width="12.21875" style="2" customWidth="1"/>
    <col min="12048" max="12048" width="10.21875" style="2" customWidth="1"/>
    <col min="12049" max="12049" width="9.21875" style="2" customWidth="1"/>
    <col min="12050" max="12288" width="9.21875" style="2"/>
    <col min="12289" max="12289" width="4.21875" style="2" customWidth="1"/>
    <col min="12290" max="12290" width="2.5546875" style="2" customWidth="1"/>
    <col min="12291" max="12292" width="9.21875" style="2"/>
    <col min="12293" max="12293" width="7.21875" style="2" customWidth="1"/>
    <col min="12294" max="12294" width="8.21875" style="2" customWidth="1"/>
    <col min="12295" max="12296" width="10.21875" style="2" customWidth="1"/>
    <col min="12297" max="12297" width="3.77734375" style="2" customWidth="1"/>
    <col min="12298" max="12298" width="9.21875" style="2"/>
    <col min="12299" max="12299" width="6.21875" style="2" customWidth="1"/>
    <col min="12300" max="12300" width="5.5546875" style="2" customWidth="1"/>
    <col min="12301" max="12301" width="10.77734375" style="2" customWidth="1"/>
    <col min="12302" max="12302" width="8.21875" style="2" customWidth="1"/>
    <col min="12303" max="12303" width="12.21875" style="2" customWidth="1"/>
    <col min="12304" max="12304" width="10.21875" style="2" customWidth="1"/>
    <col min="12305" max="12305" width="9.21875" style="2" customWidth="1"/>
    <col min="12306" max="12544" width="9.21875" style="2"/>
    <col min="12545" max="12545" width="4.21875" style="2" customWidth="1"/>
    <col min="12546" max="12546" width="2.5546875" style="2" customWidth="1"/>
    <col min="12547" max="12548" width="9.21875" style="2"/>
    <col min="12549" max="12549" width="7.21875" style="2" customWidth="1"/>
    <col min="12550" max="12550" width="8.21875" style="2" customWidth="1"/>
    <col min="12551" max="12552" width="10.21875" style="2" customWidth="1"/>
    <col min="12553" max="12553" width="3.77734375" style="2" customWidth="1"/>
    <col min="12554" max="12554" width="9.21875" style="2"/>
    <col min="12555" max="12555" width="6.21875" style="2" customWidth="1"/>
    <col min="12556" max="12556" width="5.5546875" style="2" customWidth="1"/>
    <col min="12557" max="12557" width="10.77734375" style="2" customWidth="1"/>
    <col min="12558" max="12558" width="8.21875" style="2" customWidth="1"/>
    <col min="12559" max="12559" width="12.21875" style="2" customWidth="1"/>
    <col min="12560" max="12560" width="10.21875" style="2" customWidth="1"/>
    <col min="12561" max="12561" width="9.21875" style="2" customWidth="1"/>
    <col min="12562" max="12800" width="9.21875" style="2"/>
    <col min="12801" max="12801" width="4.21875" style="2" customWidth="1"/>
    <col min="12802" max="12802" width="2.5546875" style="2" customWidth="1"/>
    <col min="12803" max="12804" width="9.21875" style="2"/>
    <col min="12805" max="12805" width="7.21875" style="2" customWidth="1"/>
    <col min="12806" max="12806" width="8.21875" style="2" customWidth="1"/>
    <col min="12807" max="12808" width="10.21875" style="2" customWidth="1"/>
    <col min="12809" max="12809" width="3.77734375" style="2" customWidth="1"/>
    <col min="12810" max="12810" width="9.21875" style="2"/>
    <col min="12811" max="12811" width="6.21875" style="2" customWidth="1"/>
    <col min="12812" max="12812" width="5.5546875" style="2" customWidth="1"/>
    <col min="12813" max="12813" width="10.77734375" style="2" customWidth="1"/>
    <col min="12814" max="12814" width="8.21875" style="2" customWidth="1"/>
    <col min="12815" max="12815" width="12.21875" style="2" customWidth="1"/>
    <col min="12816" max="12816" width="10.21875" style="2" customWidth="1"/>
    <col min="12817" max="12817" width="9.21875" style="2" customWidth="1"/>
    <col min="12818" max="13056" width="9.21875" style="2"/>
    <col min="13057" max="13057" width="4.21875" style="2" customWidth="1"/>
    <col min="13058" max="13058" width="2.5546875" style="2" customWidth="1"/>
    <col min="13059" max="13060" width="9.21875" style="2"/>
    <col min="13061" max="13061" width="7.21875" style="2" customWidth="1"/>
    <col min="13062" max="13062" width="8.21875" style="2" customWidth="1"/>
    <col min="13063" max="13064" width="10.21875" style="2" customWidth="1"/>
    <col min="13065" max="13065" width="3.77734375" style="2" customWidth="1"/>
    <col min="13066" max="13066" width="9.21875" style="2"/>
    <col min="13067" max="13067" width="6.21875" style="2" customWidth="1"/>
    <col min="13068" max="13068" width="5.5546875" style="2" customWidth="1"/>
    <col min="13069" max="13069" width="10.77734375" style="2" customWidth="1"/>
    <col min="13070" max="13070" width="8.21875" style="2" customWidth="1"/>
    <col min="13071" max="13071" width="12.21875" style="2" customWidth="1"/>
    <col min="13072" max="13072" width="10.21875" style="2" customWidth="1"/>
    <col min="13073" max="13073" width="9.21875" style="2" customWidth="1"/>
    <col min="13074" max="13312" width="9.21875" style="2"/>
    <col min="13313" max="13313" width="4.21875" style="2" customWidth="1"/>
    <col min="13314" max="13314" width="2.5546875" style="2" customWidth="1"/>
    <col min="13315" max="13316" width="9.21875" style="2"/>
    <col min="13317" max="13317" width="7.21875" style="2" customWidth="1"/>
    <col min="13318" max="13318" width="8.21875" style="2" customWidth="1"/>
    <col min="13319" max="13320" width="10.21875" style="2" customWidth="1"/>
    <col min="13321" max="13321" width="3.77734375" style="2" customWidth="1"/>
    <col min="13322" max="13322" width="9.21875" style="2"/>
    <col min="13323" max="13323" width="6.21875" style="2" customWidth="1"/>
    <col min="13324" max="13324" width="5.5546875" style="2" customWidth="1"/>
    <col min="13325" max="13325" width="10.77734375" style="2" customWidth="1"/>
    <col min="13326" max="13326" width="8.21875" style="2" customWidth="1"/>
    <col min="13327" max="13327" width="12.21875" style="2" customWidth="1"/>
    <col min="13328" max="13328" width="10.21875" style="2" customWidth="1"/>
    <col min="13329" max="13329" width="9.21875" style="2" customWidth="1"/>
    <col min="13330" max="13568" width="9.21875" style="2"/>
    <col min="13569" max="13569" width="4.21875" style="2" customWidth="1"/>
    <col min="13570" max="13570" width="2.5546875" style="2" customWidth="1"/>
    <col min="13571" max="13572" width="9.21875" style="2"/>
    <col min="13573" max="13573" width="7.21875" style="2" customWidth="1"/>
    <col min="13574" max="13574" width="8.21875" style="2" customWidth="1"/>
    <col min="13575" max="13576" width="10.21875" style="2" customWidth="1"/>
    <col min="13577" max="13577" width="3.77734375" style="2" customWidth="1"/>
    <col min="13578" max="13578" width="9.21875" style="2"/>
    <col min="13579" max="13579" width="6.21875" style="2" customWidth="1"/>
    <col min="13580" max="13580" width="5.5546875" style="2" customWidth="1"/>
    <col min="13581" max="13581" width="10.77734375" style="2" customWidth="1"/>
    <col min="13582" max="13582" width="8.21875" style="2" customWidth="1"/>
    <col min="13583" max="13583" width="12.21875" style="2" customWidth="1"/>
    <col min="13584" max="13584" width="10.21875" style="2" customWidth="1"/>
    <col min="13585" max="13585" width="9.21875" style="2" customWidth="1"/>
    <col min="13586" max="13824" width="9.21875" style="2"/>
    <col min="13825" max="13825" width="4.21875" style="2" customWidth="1"/>
    <col min="13826" max="13826" width="2.5546875" style="2" customWidth="1"/>
    <col min="13827" max="13828" width="9.21875" style="2"/>
    <col min="13829" max="13829" width="7.21875" style="2" customWidth="1"/>
    <col min="13830" max="13830" width="8.21875" style="2" customWidth="1"/>
    <col min="13831" max="13832" width="10.21875" style="2" customWidth="1"/>
    <col min="13833" max="13833" width="3.77734375" style="2" customWidth="1"/>
    <col min="13834" max="13834" width="9.21875" style="2"/>
    <col min="13835" max="13835" width="6.21875" style="2" customWidth="1"/>
    <col min="13836" max="13836" width="5.5546875" style="2" customWidth="1"/>
    <col min="13837" max="13837" width="10.77734375" style="2" customWidth="1"/>
    <col min="13838" max="13838" width="8.21875" style="2" customWidth="1"/>
    <col min="13839" max="13839" width="12.21875" style="2" customWidth="1"/>
    <col min="13840" max="13840" width="10.21875" style="2" customWidth="1"/>
    <col min="13841" max="13841" width="9.21875" style="2" customWidth="1"/>
    <col min="13842" max="14080" width="9.21875" style="2"/>
    <col min="14081" max="14081" width="4.21875" style="2" customWidth="1"/>
    <col min="14082" max="14082" width="2.5546875" style="2" customWidth="1"/>
    <col min="14083" max="14084" width="9.21875" style="2"/>
    <col min="14085" max="14085" width="7.21875" style="2" customWidth="1"/>
    <col min="14086" max="14086" width="8.21875" style="2" customWidth="1"/>
    <col min="14087" max="14088" width="10.21875" style="2" customWidth="1"/>
    <col min="14089" max="14089" width="3.77734375" style="2" customWidth="1"/>
    <col min="14090" max="14090" width="9.21875" style="2"/>
    <col min="14091" max="14091" width="6.21875" style="2" customWidth="1"/>
    <col min="14092" max="14092" width="5.5546875" style="2" customWidth="1"/>
    <col min="14093" max="14093" width="10.77734375" style="2" customWidth="1"/>
    <col min="14094" max="14094" width="8.21875" style="2" customWidth="1"/>
    <col min="14095" max="14095" width="12.21875" style="2" customWidth="1"/>
    <col min="14096" max="14096" width="10.21875" style="2" customWidth="1"/>
    <col min="14097" max="14097" width="9.21875" style="2" customWidth="1"/>
    <col min="14098" max="14336" width="9.21875" style="2"/>
    <col min="14337" max="14337" width="4.21875" style="2" customWidth="1"/>
    <col min="14338" max="14338" width="2.5546875" style="2" customWidth="1"/>
    <col min="14339" max="14340" width="9.21875" style="2"/>
    <col min="14341" max="14341" width="7.21875" style="2" customWidth="1"/>
    <col min="14342" max="14342" width="8.21875" style="2" customWidth="1"/>
    <col min="14343" max="14344" width="10.21875" style="2" customWidth="1"/>
    <col min="14345" max="14345" width="3.77734375" style="2" customWidth="1"/>
    <col min="14346" max="14346" width="9.21875" style="2"/>
    <col min="14347" max="14347" width="6.21875" style="2" customWidth="1"/>
    <col min="14348" max="14348" width="5.5546875" style="2" customWidth="1"/>
    <col min="14349" max="14349" width="10.77734375" style="2" customWidth="1"/>
    <col min="14350" max="14350" width="8.21875" style="2" customWidth="1"/>
    <col min="14351" max="14351" width="12.21875" style="2" customWidth="1"/>
    <col min="14352" max="14352" width="10.21875" style="2" customWidth="1"/>
    <col min="14353" max="14353" width="9.21875" style="2" customWidth="1"/>
    <col min="14354" max="14592" width="9.21875" style="2"/>
    <col min="14593" max="14593" width="4.21875" style="2" customWidth="1"/>
    <col min="14594" max="14594" width="2.5546875" style="2" customWidth="1"/>
    <col min="14595" max="14596" width="9.21875" style="2"/>
    <col min="14597" max="14597" width="7.21875" style="2" customWidth="1"/>
    <col min="14598" max="14598" width="8.21875" style="2" customWidth="1"/>
    <col min="14599" max="14600" width="10.21875" style="2" customWidth="1"/>
    <col min="14601" max="14601" width="3.77734375" style="2" customWidth="1"/>
    <col min="14602" max="14602" width="9.21875" style="2"/>
    <col min="14603" max="14603" width="6.21875" style="2" customWidth="1"/>
    <col min="14604" max="14604" width="5.5546875" style="2" customWidth="1"/>
    <col min="14605" max="14605" width="10.77734375" style="2" customWidth="1"/>
    <col min="14606" max="14606" width="8.21875" style="2" customWidth="1"/>
    <col min="14607" max="14607" width="12.21875" style="2" customWidth="1"/>
    <col min="14608" max="14608" width="10.21875" style="2" customWidth="1"/>
    <col min="14609" max="14609" width="9.21875" style="2" customWidth="1"/>
    <col min="14610" max="14848" width="9.21875" style="2"/>
    <col min="14849" max="14849" width="4.21875" style="2" customWidth="1"/>
    <col min="14850" max="14850" width="2.5546875" style="2" customWidth="1"/>
    <col min="14851" max="14852" width="9.21875" style="2"/>
    <col min="14853" max="14853" width="7.21875" style="2" customWidth="1"/>
    <col min="14854" max="14854" width="8.21875" style="2" customWidth="1"/>
    <col min="14855" max="14856" width="10.21875" style="2" customWidth="1"/>
    <col min="14857" max="14857" width="3.77734375" style="2" customWidth="1"/>
    <col min="14858" max="14858" width="9.21875" style="2"/>
    <col min="14859" max="14859" width="6.21875" style="2" customWidth="1"/>
    <col min="14860" max="14860" width="5.5546875" style="2" customWidth="1"/>
    <col min="14861" max="14861" width="10.77734375" style="2" customWidth="1"/>
    <col min="14862" max="14862" width="8.21875" style="2" customWidth="1"/>
    <col min="14863" max="14863" width="12.21875" style="2" customWidth="1"/>
    <col min="14864" max="14864" width="10.21875" style="2" customWidth="1"/>
    <col min="14865" max="14865" width="9.21875" style="2" customWidth="1"/>
    <col min="14866" max="15104" width="9.21875" style="2"/>
    <col min="15105" max="15105" width="4.21875" style="2" customWidth="1"/>
    <col min="15106" max="15106" width="2.5546875" style="2" customWidth="1"/>
    <col min="15107" max="15108" width="9.21875" style="2"/>
    <col min="15109" max="15109" width="7.21875" style="2" customWidth="1"/>
    <col min="15110" max="15110" width="8.21875" style="2" customWidth="1"/>
    <col min="15111" max="15112" width="10.21875" style="2" customWidth="1"/>
    <col min="15113" max="15113" width="3.77734375" style="2" customWidth="1"/>
    <col min="15114" max="15114" width="9.21875" style="2"/>
    <col min="15115" max="15115" width="6.21875" style="2" customWidth="1"/>
    <col min="15116" max="15116" width="5.5546875" style="2" customWidth="1"/>
    <col min="15117" max="15117" width="10.77734375" style="2" customWidth="1"/>
    <col min="15118" max="15118" width="8.21875" style="2" customWidth="1"/>
    <col min="15119" max="15119" width="12.21875" style="2" customWidth="1"/>
    <col min="15120" max="15120" width="10.21875" style="2" customWidth="1"/>
    <col min="15121" max="15121" width="9.21875" style="2" customWidth="1"/>
    <col min="15122" max="15360" width="9.21875" style="2"/>
    <col min="15361" max="15361" width="4.21875" style="2" customWidth="1"/>
    <col min="15362" max="15362" width="2.5546875" style="2" customWidth="1"/>
    <col min="15363" max="15364" width="9.21875" style="2"/>
    <col min="15365" max="15365" width="7.21875" style="2" customWidth="1"/>
    <col min="15366" max="15366" width="8.21875" style="2" customWidth="1"/>
    <col min="15367" max="15368" width="10.21875" style="2" customWidth="1"/>
    <col min="15369" max="15369" width="3.77734375" style="2" customWidth="1"/>
    <col min="15370" max="15370" width="9.21875" style="2"/>
    <col min="15371" max="15371" width="6.21875" style="2" customWidth="1"/>
    <col min="15372" max="15372" width="5.5546875" style="2" customWidth="1"/>
    <col min="15373" max="15373" width="10.77734375" style="2" customWidth="1"/>
    <col min="15374" max="15374" width="8.21875" style="2" customWidth="1"/>
    <col min="15375" max="15375" width="12.21875" style="2" customWidth="1"/>
    <col min="15376" max="15376" width="10.21875" style="2" customWidth="1"/>
    <col min="15377" max="15377" width="9.21875" style="2" customWidth="1"/>
    <col min="15378" max="15616" width="9.21875" style="2"/>
    <col min="15617" max="15617" width="4.21875" style="2" customWidth="1"/>
    <col min="15618" max="15618" width="2.5546875" style="2" customWidth="1"/>
    <col min="15619" max="15620" width="9.21875" style="2"/>
    <col min="15621" max="15621" width="7.21875" style="2" customWidth="1"/>
    <col min="15622" max="15622" width="8.21875" style="2" customWidth="1"/>
    <col min="15623" max="15624" width="10.21875" style="2" customWidth="1"/>
    <col min="15625" max="15625" width="3.77734375" style="2" customWidth="1"/>
    <col min="15626" max="15626" width="9.21875" style="2"/>
    <col min="15627" max="15627" width="6.21875" style="2" customWidth="1"/>
    <col min="15628" max="15628" width="5.5546875" style="2" customWidth="1"/>
    <col min="15629" max="15629" width="10.77734375" style="2" customWidth="1"/>
    <col min="15630" max="15630" width="8.21875" style="2" customWidth="1"/>
    <col min="15631" max="15631" width="12.21875" style="2" customWidth="1"/>
    <col min="15632" max="15632" width="10.21875" style="2" customWidth="1"/>
    <col min="15633" max="15633" width="9.21875" style="2" customWidth="1"/>
    <col min="15634" max="15872" width="9.21875" style="2"/>
    <col min="15873" max="15873" width="4.21875" style="2" customWidth="1"/>
    <col min="15874" max="15874" width="2.5546875" style="2" customWidth="1"/>
    <col min="15875" max="15876" width="9.21875" style="2"/>
    <col min="15877" max="15877" width="7.21875" style="2" customWidth="1"/>
    <col min="15878" max="15878" width="8.21875" style="2" customWidth="1"/>
    <col min="15879" max="15880" width="10.21875" style="2" customWidth="1"/>
    <col min="15881" max="15881" width="3.77734375" style="2" customWidth="1"/>
    <col min="15882" max="15882" width="9.21875" style="2"/>
    <col min="15883" max="15883" width="6.21875" style="2" customWidth="1"/>
    <col min="15884" max="15884" width="5.5546875" style="2" customWidth="1"/>
    <col min="15885" max="15885" width="10.77734375" style="2" customWidth="1"/>
    <col min="15886" max="15886" width="8.21875" style="2" customWidth="1"/>
    <col min="15887" max="15887" width="12.21875" style="2" customWidth="1"/>
    <col min="15888" max="15888" width="10.21875" style="2" customWidth="1"/>
    <col min="15889" max="15889" width="9.21875" style="2" customWidth="1"/>
    <col min="15890" max="16128" width="9.21875" style="2"/>
    <col min="16129" max="16129" width="4.21875" style="2" customWidth="1"/>
    <col min="16130" max="16130" width="2.5546875" style="2" customWidth="1"/>
    <col min="16131" max="16132" width="9.21875" style="2"/>
    <col min="16133" max="16133" width="7.21875" style="2" customWidth="1"/>
    <col min="16134" max="16134" width="8.21875" style="2" customWidth="1"/>
    <col min="16135" max="16136" width="10.21875" style="2" customWidth="1"/>
    <col min="16137" max="16137" width="3.77734375" style="2" customWidth="1"/>
    <col min="16138" max="16138" width="9.21875" style="2"/>
    <col min="16139" max="16139" width="6.21875" style="2" customWidth="1"/>
    <col min="16140" max="16140" width="5.5546875" style="2" customWidth="1"/>
    <col min="16141" max="16141" width="10.77734375" style="2" customWidth="1"/>
    <col min="16142" max="16142" width="8.21875" style="2" customWidth="1"/>
    <col min="16143" max="16143" width="12.21875" style="2" customWidth="1"/>
    <col min="16144" max="16144" width="10.21875" style="2" customWidth="1"/>
    <col min="16145" max="16145" width="9.21875" style="2" customWidth="1"/>
    <col min="16146" max="16384" width="9.21875" style="2"/>
  </cols>
  <sheetData>
    <row r="1" spans="1:18" ht="15.6">
      <c r="A1" s="1220" t="s">
        <v>20</v>
      </c>
      <c r="B1" s="1220"/>
      <c r="C1" s="1220"/>
      <c r="D1" s="1220"/>
      <c r="E1" s="1220"/>
      <c r="F1" s="1220"/>
      <c r="G1" s="1220"/>
      <c r="H1" s="1220"/>
      <c r="I1" s="1220"/>
      <c r="J1" s="1220"/>
      <c r="K1" s="1220"/>
      <c r="L1" s="1220"/>
      <c r="M1" s="1220"/>
      <c r="N1" s="1220"/>
      <c r="O1" s="1220"/>
      <c r="P1" s="49"/>
      <c r="Q1" s="50"/>
      <c r="R1" s="49"/>
    </row>
    <row r="2" spans="1:18" ht="15.6">
      <c r="A2" s="1220" t="s">
        <v>42</v>
      </c>
      <c r="B2" s="1220"/>
      <c r="C2" s="1220"/>
      <c r="D2" s="1220"/>
      <c r="E2" s="1220"/>
      <c r="F2" s="1220"/>
      <c r="G2" s="1220"/>
      <c r="H2" s="1220"/>
      <c r="I2" s="1220"/>
      <c r="J2" s="1220"/>
      <c r="K2" s="1220"/>
      <c r="L2" s="1220"/>
      <c r="M2" s="1220"/>
      <c r="N2" s="1220"/>
      <c r="O2" s="1220"/>
    </row>
    <row r="3" spans="1:18" ht="15" customHeight="1">
      <c r="A3" s="1225" t="s">
        <v>48</v>
      </c>
      <c r="B3" s="1225"/>
      <c r="C3" s="1225"/>
      <c r="D3" s="1225"/>
      <c r="E3" s="1225"/>
      <c r="F3" s="1225"/>
      <c r="G3" s="1225"/>
      <c r="H3" s="1225"/>
      <c r="I3" s="1225"/>
      <c r="J3" s="1225"/>
      <c r="K3" s="1225"/>
      <c r="L3" s="1225"/>
      <c r="M3" s="1225"/>
      <c r="N3" s="1225"/>
      <c r="O3" s="1225"/>
    </row>
    <row r="4" spans="1:18" ht="7.5" customHeight="1"/>
    <row r="5" spans="1:18" ht="39" customHeight="1">
      <c r="A5" s="33" t="s">
        <v>22</v>
      </c>
      <c r="F5" s="34" t="s">
        <v>23</v>
      </c>
      <c r="H5" s="35" t="s">
        <v>24</v>
      </c>
      <c r="I5" s="36"/>
      <c r="J5" s="1221" t="s">
        <v>25</v>
      </c>
      <c r="K5" s="1217"/>
      <c r="M5" s="3" t="s">
        <v>26</v>
      </c>
      <c r="O5" s="37" t="s">
        <v>27</v>
      </c>
    </row>
    <row r="6" spans="1:18" ht="6.75" customHeight="1"/>
    <row r="7" spans="1:18" ht="15">
      <c r="B7" s="5" t="s">
        <v>6</v>
      </c>
      <c r="F7" s="38">
        <f>IF('Input (4)'!$G$4=0," ",'Input (4)'!$G$4)</f>
        <v>19</v>
      </c>
      <c r="G7" s="39"/>
      <c r="J7" s="1222">
        <f>IF('Input (4)'!G4=0,"0",'Input (4)'!G4)</f>
        <v>19</v>
      </c>
      <c r="K7" s="1222"/>
      <c r="L7" s="40" t="s">
        <v>28</v>
      </c>
      <c r="M7" s="41">
        <f>IF('Input (4)'!G4=0,0,LOOKUP(J7,'criteria (4)'!$A$3:$A$10,'criteria (4)'!$B$3:$B$10))</f>
        <v>40</v>
      </c>
      <c r="N7" s="42" t="s">
        <v>29</v>
      </c>
      <c r="O7" s="38">
        <f>IF(Q7=0,0,IF(Q7&lt;LOOKUP(J7,'criteria (4)'!$A$3:$A$10,'criteria (4)'!$C$3:$C$10),LOOKUP(J7,'criteria (4)'!$A$3:$A$10,'criteria (4)'!$C$3:$C$10),IF(LOOKUP(J7,'criteria (4)'!$A$3:$A$10,'criteria (4)'!$C$3:$C$10)=0,0,Q7)))</f>
        <v>0.6</v>
      </c>
      <c r="P7" s="28" t="str">
        <f>IF('Input (4)'!G4=0," ",IF(O7=0,"ADD to 1-6",IF(O7=Q7," ","Minimum")))</f>
        <v>Minimum</v>
      </c>
      <c r="Q7" s="32">
        <f>ROUND(IF('Input (4)'!G4=0,0,IF(M7=0,0,(J7/M7))),2)</f>
        <v>0.48</v>
      </c>
    </row>
    <row r="8" spans="1:18" ht="6.75" customHeight="1">
      <c r="J8" s="43"/>
      <c r="K8" s="43"/>
      <c r="O8" s="43"/>
    </row>
    <row r="9" spans="1:18">
      <c r="B9" s="5" t="s">
        <v>7</v>
      </c>
      <c r="J9" s="43"/>
      <c r="K9" s="43"/>
      <c r="O9" s="43"/>
    </row>
    <row r="10" spans="1:18">
      <c r="B10" s="28" t="s">
        <v>30</v>
      </c>
      <c r="J10" s="43"/>
      <c r="K10" s="43"/>
      <c r="O10" s="43"/>
    </row>
    <row r="11" spans="1:18" ht="16.5" customHeight="1">
      <c r="C11" s="12" t="s">
        <v>8</v>
      </c>
      <c r="F11" s="41" t="str">
        <f>IF(J11=0," ",IF($J$16&gt;300," ",'Input (4)'!G7))</f>
        <v xml:space="preserve"> </v>
      </c>
      <c r="G11" s="44" t="s">
        <v>31</v>
      </c>
      <c r="H11" s="38" t="str">
        <f>IF(J11=0," ",'C (4)'!H25)</f>
        <v xml:space="preserve"> </v>
      </c>
      <c r="I11" s="42" t="s">
        <v>29</v>
      </c>
      <c r="J11" s="1222">
        <f>IF('Input (4)'!G7=0,0,IF(SUM('Input (4)'!G7-'C (4)'!H25)+SUM('Input (4)'!G8-'C (4)'!H26)&gt;299.99,SUM('Input (4)'!G7-'C (4)'!H25),0))</f>
        <v>0</v>
      </c>
      <c r="K11" s="1222"/>
      <c r="L11" s="40" t="s">
        <v>28</v>
      </c>
      <c r="M11" s="41">
        <f>IF(SUM('Input (4)'!$G$7-'C (4)'!$H$25)+SUM('Input (4)'!$G$8-'C (4)'!$H$26)&gt;299.99,20,0)</f>
        <v>0</v>
      </c>
      <c r="N11" s="42" t="s">
        <v>29</v>
      </c>
      <c r="O11" s="38">
        <f>ROUND(IF(SUM('Input (4)'!$G$7-'C (4)'!$H$25)+SUM('Input (4)'!$G$8-'C (4)'!$H$26)&lt;299.99,0,IF(Q11+Q13&lt;15,0,(J11/M11))),2)</f>
        <v>0</v>
      </c>
      <c r="P11" s="2" t="str">
        <f>IF(O11=0," ",IF(O11=Q11," ","Minimum"))</f>
        <v xml:space="preserve"> </v>
      </c>
      <c r="Q11" s="32">
        <f>ROUND(IF(SUM('Input (4)'!$G$7-'C (4)'!$H$25)+SUM('Input (4)'!$G$8-'C (4)'!$H$26)&lt;299.99,0,(J11/M11)),2)</f>
        <v>0</v>
      </c>
    </row>
    <row r="12" spans="1:18" ht="9" customHeight="1">
      <c r="B12" s="12"/>
      <c r="J12" s="43"/>
      <c r="K12" s="43"/>
      <c r="O12" s="43"/>
    </row>
    <row r="13" spans="1:18" ht="15">
      <c r="C13" s="12" t="s">
        <v>9</v>
      </c>
      <c r="F13" s="41" t="str">
        <f>IF(J13=0," ",IF($J$16&gt;300," ",'Input (4)'!G8))</f>
        <v xml:space="preserve"> </v>
      </c>
      <c r="G13" s="44" t="s">
        <v>31</v>
      </c>
      <c r="H13" s="38" t="str">
        <f>IF(J13=0," ",'C (4)'!H26)</f>
        <v xml:space="preserve"> </v>
      </c>
      <c r="I13" s="42" t="s">
        <v>29</v>
      </c>
      <c r="J13" s="1222">
        <f>IF('Input (4)'!G8=0,0,IF(SUM('Input (4)'!G7-'C (4)'!H25)+SUM('Input (4)'!G8-'C (4)'!H26)&gt;299.99,SUM('Input (4)'!G8-'C (4)'!H26),0))</f>
        <v>0</v>
      </c>
      <c r="K13" s="1222"/>
      <c r="L13" s="40" t="s">
        <v>28</v>
      </c>
      <c r="M13" s="41">
        <f>IF(SUM('Input (4)'!$G$7-'C (4)'!$H$25)+SUM('Input (4)'!$G$8-'C (4)'!$H$26)&gt;299.99,23,0)</f>
        <v>0</v>
      </c>
      <c r="N13" s="42" t="s">
        <v>29</v>
      </c>
      <c r="O13" s="38">
        <f>ROUND(IF(SUM('Input (4)'!$G$7-'C (4)'!$H$25)+SUM('Input (4)'!$G$8-'C (4)'!$H$26)&lt;299.99,0,IF(Q11+Q13&lt;15,0,($J$13/$M$13))),2)</f>
        <v>0</v>
      </c>
      <c r="P13" s="2" t="str">
        <f>IF(O13=0," ",IF(O13=Q13," ","Minimum"))</f>
        <v xml:space="preserve"> </v>
      </c>
      <c r="Q13" s="32">
        <f>ROUND(IF(SUM('Input (4)'!$G$7-'C (4)'!$H$25)+SUM('Input (4)'!$G$8-'C (4)'!$H$26)&lt;299.99,0,($J$13/$M$13)),2)</f>
        <v>0</v>
      </c>
    </row>
    <row r="14" spans="1:18" ht="15">
      <c r="B14" s="5" t="s">
        <v>7</v>
      </c>
      <c r="F14" s="36"/>
      <c r="G14" s="44"/>
      <c r="H14" s="39"/>
      <c r="I14" s="42"/>
      <c r="O14" s="39" t="str">
        <f>IF(P14="Minimum",15," ")</f>
        <v xml:space="preserve"> </v>
      </c>
      <c r="P14" s="2" t="str">
        <f>IF(Q11+Q13=0," ",IF(Q11+Q13&lt;15,"Minimum"," "))</f>
        <v xml:space="preserve"> </v>
      </c>
    </row>
    <row r="15" spans="1:18">
      <c r="B15" s="28" t="s">
        <v>32</v>
      </c>
      <c r="O15" s="43"/>
    </row>
    <row r="16" spans="1:18" ht="15">
      <c r="C16" s="12" t="s">
        <v>33</v>
      </c>
      <c r="F16" s="41">
        <f>IF(J16=0," ",IF(J16&lt;300,SUM('Input (4)'!G7+'Input (4)'!G8)," "))</f>
        <v>98.8</v>
      </c>
      <c r="G16" s="44" t="s">
        <v>31</v>
      </c>
      <c r="H16" s="38">
        <f>IF(J16=0," ",'C (4)'!H22)</f>
        <v>7.4399999999999995</v>
      </c>
      <c r="I16" s="42" t="s">
        <v>29</v>
      </c>
      <c r="J16" s="1222">
        <f>IF('Input (4)'!G9=0,0,IF(SUM('Input (4)'!G7-'C (4)'!H25)+SUM('Input (4)'!G8-'C (4)'!H26)&lt;300,IF(P7="ADD to 1-6",SUM('Input (4)'!G7-'C (4)'!H25)+SUM('Input (4)'!G8-'C (4)'!H26)+'Input (4)'!G4,SUM('Input (4)'!G7-'C (4)'!H25)+SUM('Input (4)'!G8-'C (4)'!H26)),0))</f>
        <v>91.359999999999985</v>
      </c>
      <c r="K16" s="1222"/>
      <c r="L16" s="40" t="s">
        <v>28</v>
      </c>
      <c r="M16" s="41">
        <f>IF(SUM('Input (4)'!$G$7-'C (4)'!$H$25)+SUM('Input (4)'!$G$8-'C (4)'!$H$26)&lt;299.99,LOOKUP(J16,'criteria (4)'!$M$3:$M$11,'criteria (4)'!$N$3:$N$11),0)</f>
        <v>16</v>
      </c>
      <c r="N16" s="42" t="s">
        <v>29</v>
      </c>
      <c r="O16" s="38">
        <f>IF(Q16=0,0,IF(Q16&lt;LOOKUP(J16,'criteria (4)'!$M$3:$M$10,'criteria (4)'!$O$3:$O$10),LOOKUP(J16,'criteria (4)'!$M$3:$M$10,'criteria (4)'!$O$3:$O$10),Q16))</f>
        <v>5.71</v>
      </c>
      <c r="P16" s="2" t="str">
        <f>IF(O16=0," ",IF(O16=Q16," ","Minimum"))</f>
        <v xml:space="preserve"> </v>
      </c>
      <c r="Q16" s="32">
        <f>ROUND(IF('Input (4)'!G9=0,0,IF(SUM('Input (4)'!$G$7-'C (4)'!$H$25)+SUM('Input (4)'!$G$8-'C (4)'!$H$26)&gt;299.99,0,(J16/M16))),2)</f>
        <v>5.71</v>
      </c>
    </row>
    <row r="17" spans="1:17" ht="6" customHeight="1">
      <c r="J17" s="43"/>
      <c r="K17" s="43"/>
      <c r="O17" s="43"/>
    </row>
    <row r="18" spans="1:17" ht="15">
      <c r="B18" s="5" t="s">
        <v>10</v>
      </c>
      <c r="F18" s="41">
        <f>IF(J18=0," ",'Input (4)'!G10)</f>
        <v>123.5</v>
      </c>
      <c r="G18" s="44" t="s">
        <v>31</v>
      </c>
      <c r="H18" s="38"/>
      <c r="I18" s="42" t="s">
        <v>29</v>
      </c>
      <c r="J18" s="1222">
        <f>IF('Input (4)'!G10=0,0,'Input (4)'!G10)</f>
        <v>123.5</v>
      </c>
      <c r="K18" s="1222"/>
      <c r="L18" s="40" t="s">
        <v>28</v>
      </c>
      <c r="M18" s="41">
        <f>IF(J18=0,0,IF(J18&gt;99.99,LOOKUP(J18,'criteria (4)'!Q3:Q10,'criteria (4)'!R3:R10),12))</f>
        <v>12</v>
      </c>
      <c r="N18" s="42" t="s">
        <v>29</v>
      </c>
      <c r="O18" s="38">
        <f>ROUND(IF(J18=0,0,IF(J18&lt;99.99,IF(M18=0,8,(J18/M18)),IF(Q18&lt;LOOKUP(J18,'criteria (4)'!$Q$3:$Q$10,'criteria (4)'!$S$3:$S$10),LOOKUP(J18,'criteria (4)'!$Q$3:$Q$10,'criteria (4)'!$S$3:$S$10),Q18))),2)</f>
        <v>10.29</v>
      </c>
      <c r="P18" s="2" t="str">
        <f>IF(O18=0," ",IF(O18=Q18," ","Minimum"))</f>
        <v xml:space="preserve"> </v>
      </c>
      <c r="Q18" s="32">
        <f>ROUND(IF(M18=0,0,(J18/M18)),2)</f>
        <v>10.29</v>
      </c>
    </row>
    <row r="19" spans="1:17">
      <c r="B19" s="5"/>
      <c r="J19" s="39"/>
      <c r="K19" s="39"/>
      <c r="M19" s="36"/>
      <c r="N19" s="42"/>
      <c r="O19" s="36"/>
    </row>
    <row r="20" spans="1:17" ht="15.6">
      <c r="A20" s="48" t="s">
        <v>43</v>
      </c>
      <c r="J20" s="43"/>
      <c r="K20" s="43"/>
    </row>
    <row r="21" spans="1:17" ht="3.75" customHeight="1">
      <c r="J21" s="43"/>
      <c r="K21" s="43"/>
    </row>
    <row r="22" spans="1:17">
      <c r="B22" s="2" t="s">
        <v>44</v>
      </c>
      <c r="J22" s="1222" t="str">
        <f>IF('C (4)'!H55=0," ",'C (4)'!H55)</f>
        <v xml:space="preserve"> </v>
      </c>
      <c r="K22" s="1222"/>
    </row>
    <row r="23" spans="1:17" ht="6" customHeight="1">
      <c r="J23" s="43"/>
      <c r="K23" s="43"/>
    </row>
    <row r="24" spans="1:17">
      <c r="B24" s="2" t="s">
        <v>45</v>
      </c>
      <c r="J24" s="1222">
        <f>IF('C (4)'!H22=0," ",'C (4)'!H22)</f>
        <v>7.4399999999999995</v>
      </c>
      <c r="K24" s="1222"/>
    </row>
    <row r="25" spans="1:17" ht="6" customHeight="1">
      <c r="J25" s="43"/>
      <c r="K25" s="43"/>
    </row>
    <row r="26" spans="1:17">
      <c r="B26" s="2" t="s">
        <v>46</v>
      </c>
      <c r="J26" s="1222">
        <f>0</f>
        <v>0</v>
      </c>
      <c r="K26" s="1222"/>
    </row>
    <row r="27" spans="1:17" ht="6" customHeight="1">
      <c r="J27" s="43"/>
      <c r="K27" s="43"/>
    </row>
    <row r="28" spans="1:17" ht="6" customHeight="1">
      <c r="J28" s="39"/>
      <c r="K28" s="39"/>
    </row>
    <row r="29" spans="1:17" ht="13.5" customHeight="1" thickBot="1">
      <c r="B29" s="46" t="s">
        <v>47</v>
      </c>
      <c r="J29" s="1219">
        <f>SUM(J22:K27)</f>
        <v>7.4399999999999995</v>
      </c>
      <c r="K29" s="1219"/>
      <c r="L29" s="40" t="s">
        <v>28</v>
      </c>
      <c r="M29" s="41">
        <f>IF(SUM('Input (4)'!C4:C10)=0,0,IF(J29&gt;=14,LOOKUP(J29,'criteria (4)'!$U$3:$U$10,'criteria (4)'!$V$3:$V$10),0))</f>
        <v>0</v>
      </c>
      <c r="N29" s="42" t="s">
        <v>29</v>
      </c>
      <c r="O29" s="38">
        <f>IF(J29=0,0,IF(Q29&lt;LOOKUP(J29,'criteria (4)'!$U$3:$U$10,'criteria (4)'!$W$3:$W$10),LOOKUP(J29,'criteria (4)'!$U$3:$U$10,'criteria (4)'!$W$3:$W$10),Q29))</f>
        <v>0.5</v>
      </c>
      <c r="P29" s="2" t="str">
        <f>IF(O29=0," ",IF(O29=Q29," ","Minimum"))</f>
        <v>Minimum</v>
      </c>
      <c r="Q29" s="32">
        <f>ROUND(IF(SUM('Input (4)'!C4:C10)=0,0,IF(M29=0,0,(J29/M29))),2)</f>
        <v>0</v>
      </c>
    </row>
    <row r="30" spans="1:17" ht="12" customHeight="1" thickTop="1">
      <c r="B30" s="1226"/>
      <c r="C30" s="1226"/>
      <c r="D30" s="1226"/>
      <c r="E30" s="1226"/>
      <c r="F30" s="47"/>
      <c r="G30" s="47"/>
      <c r="H30" s="47"/>
      <c r="J30" s="12"/>
      <c r="N30" s="42"/>
      <c r="O30" s="39"/>
      <c r="P30" s="46"/>
    </row>
    <row r="31" spans="1:17" ht="19.5" customHeight="1">
      <c r="A31" s="48" t="s">
        <v>39</v>
      </c>
      <c r="O31" s="43"/>
    </row>
    <row r="32" spans="1:17" ht="15">
      <c r="B32" s="1227" t="str">
        <f>IF('Input (4)'!E14=0," ","Alternative Secondary High School")</f>
        <v xml:space="preserve"> </v>
      </c>
      <c r="C32" s="1227"/>
      <c r="D32" s="1227"/>
      <c r="E32" s="1227"/>
      <c r="F32" s="1227"/>
      <c r="J32" s="1222">
        <f>'Input (4)'!G14</f>
        <v>0</v>
      </c>
      <c r="K32" s="1222"/>
      <c r="L32" s="40" t="s">
        <v>28</v>
      </c>
      <c r="M32" s="41">
        <f>IF(J32=0,0,IF(Q32&lt;1,M18,12))</f>
        <v>0</v>
      </c>
      <c r="N32" s="42" t="s">
        <v>29</v>
      </c>
      <c r="O32" s="38">
        <f>ROUND(IF(J32=0,0,J32/M32),2)</f>
        <v>0</v>
      </c>
      <c r="P32" s="45"/>
      <c r="Q32" s="32">
        <f>ROUND(IF(J32=0,0,J32/12),2)</f>
        <v>0</v>
      </c>
    </row>
    <row r="33" spans="1:17" ht="11.25" customHeight="1">
      <c r="J33" s="43"/>
      <c r="K33" s="43"/>
      <c r="O33" s="43"/>
    </row>
    <row r="34" spans="1:17" ht="11.25" customHeight="1">
      <c r="B34" s="1227" t="str">
        <f>IF('Input (4)'!E15=0," ","Summer Alternative Secondary High School")</f>
        <v xml:space="preserve"> </v>
      </c>
      <c r="C34" s="1227"/>
      <c r="D34" s="1227"/>
      <c r="E34" s="1227"/>
      <c r="F34" s="1227"/>
      <c r="J34" s="1222">
        <f>'Input (4)'!E15</f>
        <v>0</v>
      </c>
      <c r="K34" s="1222"/>
      <c r="L34" s="40" t="s">
        <v>28</v>
      </c>
      <c r="M34" s="41">
        <f>IF(J34=0,0,40)</f>
        <v>0</v>
      </c>
      <c r="N34" s="42" t="s">
        <v>29</v>
      </c>
      <c r="O34" s="38">
        <f>ROUND(IF(J34=0,0,J34/M34),2)</f>
        <v>0</v>
      </c>
      <c r="P34" s="45"/>
      <c r="Q34" s="32">
        <f>ROUND(IF(J34=0,0,J34/12),2)</f>
        <v>0</v>
      </c>
    </row>
    <row r="35" spans="1:17" ht="13.5" customHeight="1">
      <c r="J35" s="36"/>
      <c r="K35" s="36"/>
      <c r="L35" s="40"/>
      <c r="M35" s="36"/>
      <c r="N35" s="42"/>
      <c r="O35" s="36"/>
      <c r="P35" s="46"/>
    </row>
    <row r="36" spans="1:17" ht="18.75" customHeight="1" thickBot="1">
      <c r="A36" s="45"/>
      <c r="B36" s="12" t="s">
        <v>40</v>
      </c>
      <c r="C36" s="46"/>
      <c r="D36" s="46"/>
      <c r="E36" s="46"/>
      <c r="F36" s="46"/>
      <c r="G36" s="46"/>
      <c r="H36" s="46"/>
      <c r="I36" s="46"/>
      <c r="J36" s="46"/>
      <c r="K36" s="46"/>
      <c r="M36" s="36"/>
      <c r="O36" s="52">
        <f>ROUND(IF(SUM(O7:O34)=0,0,SUM(O7:O34)),2)</f>
        <v>17.100000000000001</v>
      </c>
    </row>
    <row r="37" spans="1:17" ht="13.8" thickTop="1">
      <c r="M37" s="1218" t="str">
        <f>IF(O36=0," ",IF(O36&lt;'Best 28 (4)'!O36,"Do Not Use","You May Use this Calculation"))</f>
        <v>You May Use this Calculation</v>
      </c>
      <c r="N37" s="1218"/>
      <c r="O37" s="1218"/>
      <c r="P37" s="1218"/>
    </row>
  </sheetData>
  <sheetProtection password="CDD6" sheet="1" objects="1" scenarios="1"/>
  <mergeCells count="19">
    <mergeCell ref="M37:P37"/>
    <mergeCell ref="J29:K29"/>
    <mergeCell ref="B30:E30"/>
    <mergeCell ref="B32:F32"/>
    <mergeCell ref="J32:K32"/>
    <mergeCell ref="B34:F34"/>
    <mergeCell ref="J34:K34"/>
    <mergeCell ref="J26:K26"/>
    <mergeCell ref="A1:O1"/>
    <mergeCell ref="A2:O2"/>
    <mergeCell ref="A3:O3"/>
    <mergeCell ref="J5:K5"/>
    <mergeCell ref="J7:K7"/>
    <mergeCell ref="J11:K11"/>
    <mergeCell ref="J13:K13"/>
    <mergeCell ref="J16:K16"/>
    <mergeCell ref="J18:K18"/>
    <mergeCell ref="J22:K22"/>
    <mergeCell ref="J24:K24"/>
  </mergeCells>
  <conditionalFormatting sqref="M37:P37">
    <cfRule type="cellIs" dxfId="29" priority="1" stopIfTrue="1" operator="equal">
      <formula>"Do Not Use"</formula>
    </cfRule>
    <cfRule type="cellIs" dxfId="28" priority="2" stopIfTrue="1" operator="equal">
      <formula>"You May Use this Calculation"</formula>
    </cfRule>
  </conditionalFormatting>
  <pageMargins left="0.5" right="0.5" top="0.5" bottom="0.5" header="0.25" footer="0.25"/>
  <pageSetup scale="76" orientation="portrait" r:id="rId1"/>
  <headerFooter alignWithMargins="0">
    <oddFooter>&amp;L&amp;F</oddFooter>
  </headerFooter>
  <colBreaks count="1" manualBreakCount="1">
    <brk id="16"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2"/>
  <dimension ref="A1:K57"/>
  <sheetViews>
    <sheetView showGridLines="0" zoomScaleNormal="100" workbookViewId="0">
      <selection activeCell="C4" sqref="C4"/>
    </sheetView>
  </sheetViews>
  <sheetFormatPr defaultRowHeight="13.2"/>
  <cols>
    <col min="1" max="1" width="6" style="30" customWidth="1"/>
    <col min="2" max="5" width="9.21875" style="2"/>
    <col min="6" max="6" width="17.21875" style="2" customWidth="1"/>
    <col min="7" max="7" width="2.77734375" style="30" customWidth="1"/>
    <col min="8" max="9" width="9.21875" style="2"/>
    <col min="10" max="10" width="6.5546875" style="2" customWidth="1"/>
    <col min="11" max="11" width="10.21875" style="2" bestFit="1" customWidth="1"/>
    <col min="12" max="256" width="9.21875" style="2"/>
    <col min="257" max="257" width="6" style="2" customWidth="1"/>
    <col min="258" max="261" width="9.21875" style="2"/>
    <col min="262" max="262" width="17.21875" style="2" customWidth="1"/>
    <col min="263" max="263" width="2.77734375" style="2" customWidth="1"/>
    <col min="264" max="265" width="9.21875" style="2"/>
    <col min="266" max="266" width="6.5546875" style="2" customWidth="1"/>
    <col min="267" max="267" width="10.21875" style="2" bestFit="1" customWidth="1"/>
    <col min="268" max="512" width="9.21875" style="2"/>
    <col min="513" max="513" width="6" style="2" customWidth="1"/>
    <col min="514" max="517" width="9.21875" style="2"/>
    <col min="518" max="518" width="17.21875" style="2" customWidth="1"/>
    <col min="519" max="519" width="2.77734375" style="2" customWidth="1"/>
    <col min="520" max="521" width="9.21875" style="2"/>
    <col min="522" max="522" width="6.5546875" style="2" customWidth="1"/>
    <col min="523" max="523" width="10.21875" style="2" bestFit="1" customWidth="1"/>
    <col min="524" max="768" width="9.21875" style="2"/>
    <col min="769" max="769" width="6" style="2" customWidth="1"/>
    <col min="770" max="773" width="9.21875" style="2"/>
    <col min="774" max="774" width="17.21875" style="2" customWidth="1"/>
    <col min="775" max="775" width="2.77734375" style="2" customWidth="1"/>
    <col min="776" max="777" width="9.21875" style="2"/>
    <col min="778" max="778" width="6.5546875" style="2" customWidth="1"/>
    <col min="779" max="779" width="10.21875" style="2" bestFit="1" customWidth="1"/>
    <col min="780" max="1024" width="9.21875" style="2"/>
    <col min="1025" max="1025" width="6" style="2" customWidth="1"/>
    <col min="1026" max="1029" width="9.21875" style="2"/>
    <col min="1030" max="1030" width="17.21875" style="2" customWidth="1"/>
    <col min="1031" max="1031" width="2.77734375" style="2" customWidth="1"/>
    <col min="1032" max="1033" width="9.21875" style="2"/>
    <col min="1034" max="1034" width="6.5546875" style="2" customWidth="1"/>
    <col min="1035" max="1035" width="10.21875" style="2" bestFit="1" customWidth="1"/>
    <col min="1036" max="1280" width="9.21875" style="2"/>
    <col min="1281" max="1281" width="6" style="2" customWidth="1"/>
    <col min="1282" max="1285" width="9.21875" style="2"/>
    <col min="1286" max="1286" width="17.21875" style="2" customWidth="1"/>
    <col min="1287" max="1287" width="2.77734375" style="2" customWidth="1"/>
    <col min="1288" max="1289" width="9.21875" style="2"/>
    <col min="1290" max="1290" width="6.5546875" style="2" customWidth="1"/>
    <col min="1291" max="1291" width="10.21875" style="2" bestFit="1" customWidth="1"/>
    <col min="1292" max="1536" width="9.21875" style="2"/>
    <col min="1537" max="1537" width="6" style="2" customWidth="1"/>
    <col min="1538" max="1541" width="9.21875" style="2"/>
    <col min="1542" max="1542" width="17.21875" style="2" customWidth="1"/>
    <col min="1543" max="1543" width="2.77734375" style="2" customWidth="1"/>
    <col min="1544" max="1545" width="9.21875" style="2"/>
    <col min="1546" max="1546" width="6.5546875" style="2" customWidth="1"/>
    <col min="1547" max="1547" width="10.21875" style="2" bestFit="1" customWidth="1"/>
    <col min="1548" max="1792" width="9.21875" style="2"/>
    <col min="1793" max="1793" width="6" style="2" customWidth="1"/>
    <col min="1794" max="1797" width="9.21875" style="2"/>
    <col min="1798" max="1798" width="17.21875" style="2" customWidth="1"/>
    <col min="1799" max="1799" width="2.77734375" style="2" customWidth="1"/>
    <col min="1800" max="1801" width="9.21875" style="2"/>
    <col min="1802" max="1802" width="6.5546875" style="2" customWidth="1"/>
    <col min="1803" max="1803" width="10.21875" style="2" bestFit="1" customWidth="1"/>
    <col min="1804" max="2048" width="9.21875" style="2"/>
    <col min="2049" max="2049" width="6" style="2" customWidth="1"/>
    <col min="2050" max="2053" width="9.21875" style="2"/>
    <col min="2054" max="2054" width="17.21875" style="2" customWidth="1"/>
    <col min="2055" max="2055" width="2.77734375" style="2" customWidth="1"/>
    <col min="2056" max="2057" width="9.21875" style="2"/>
    <col min="2058" max="2058" width="6.5546875" style="2" customWidth="1"/>
    <col min="2059" max="2059" width="10.21875" style="2" bestFit="1" customWidth="1"/>
    <col min="2060" max="2304" width="9.21875" style="2"/>
    <col min="2305" max="2305" width="6" style="2" customWidth="1"/>
    <col min="2306" max="2309" width="9.21875" style="2"/>
    <col min="2310" max="2310" width="17.21875" style="2" customWidth="1"/>
    <col min="2311" max="2311" width="2.77734375" style="2" customWidth="1"/>
    <col min="2312" max="2313" width="9.21875" style="2"/>
    <col min="2314" max="2314" width="6.5546875" style="2" customWidth="1"/>
    <col min="2315" max="2315" width="10.21875" style="2" bestFit="1" customWidth="1"/>
    <col min="2316" max="2560" width="9.21875" style="2"/>
    <col min="2561" max="2561" width="6" style="2" customWidth="1"/>
    <col min="2562" max="2565" width="9.21875" style="2"/>
    <col min="2566" max="2566" width="17.21875" style="2" customWidth="1"/>
    <col min="2567" max="2567" width="2.77734375" style="2" customWidth="1"/>
    <col min="2568" max="2569" width="9.21875" style="2"/>
    <col min="2570" max="2570" width="6.5546875" style="2" customWidth="1"/>
    <col min="2571" max="2571" width="10.21875" style="2" bestFit="1" customWidth="1"/>
    <col min="2572" max="2816" width="9.21875" style="2"/>
    <col min="2817" max="2817" width="6" style="2" customWidth="1"/>
    <col min="2818" max="2821" width="9.21875" style="2"/>
    <col min="2822" max="2822" width="17.21875" style="2" customWidth="1"/>
    <col min="2823" max="2823" width="2.77734375" style="2" customWidth="1"/>
    <col min="2824" max="2825" width="9.21875" style="2"/>
    <col min="2826" max="2826" width="6.5546875" style="2" customWidth="1"/>
    <col min="2827" max="2827" width="10.21875" style="2" bestFit="1" customWidth="1"/>
    <col min="2828" max="3072" width="9.21875" style="2"/>
    <col min="3073" max="3073" width="6" style="2" customWidth="1"/>
    <col min="3074" max="3077" width="9.21875" style="2"/>
    <col min="3078" max="3078" width="17.21875" style="2" customWidth="1"/>
    <col min="3079" max="3079" width="2.77734375" style="2" customWidth="1"/>
    <col min="3080" max="3081" width="9.21875" style="2"/>
    <col min="3082" max="3082" width="6.5546875" style="2" customWidth="1"/>
    <col min="3083" max="3083" width="10.21875" style="2" bestFit="1" customWidth="1"/>
    <col min="3084" max="3328" width="9.21875" style="2"/>
    <col min="3329" max="3329" width="6" style="2" customWidth="1"/>
    <col min="3330" max="3333" width="9.21875" style="2"/>
    <col min="3334" max="3334" width="17.21875" style="2" customWidth="1"/>
    <col min="3335" max="3335" width="2.77734375" style="2" customWidth="1"/>
    <col min="3336" max="3337" width="9.21875" style="2"/>
    <col min="3338" max="3338" width="6.5546875" style="2" customWidth="1"/>
    <col min="3339" max="3339" width="10.21875" style="2" bestFit="1" customWidth="1"/>
    <col min="3340" max="3584" width="9.21875" style="2"/>
    <col min="3585" max="3585" width="6" style="2" customWidth="1"/>
    <col min="3586" max="3589" width="9.21875" style="2"/>
    <col min="3590" max="3590" width="17.21875" style="2" customWidth="1"/>
    <col min="3591" max="3591" width="2.77734375" style="2" customWidth="1"/>
    <col min="3592" max="3593" width="9.21875" style="2"/>
    <col min="3594" max="3594" width="6.5546875" style="2" customWidth="1"/>
    <col min="3595" max="3595" width="10.21875" style="2" bestFit="1" customWidth="1"/>
    <col min="3596" max="3840" width="9.21875" style="2"/>
    <col min="3841" max="3841" width="6" style="2" customWidth="1"/>
    <col min="3842" max="3845" width="9.21875" style="2"/>
    <col min="3846" max="3846" width="17.21875" style="2" customWidth="1"/>
    <col min="3847" max="3847" width="2.77734375" style="2" customWidth="1"/>
    <col min="3848" max="3849" width="9.21875" style="2"/>
    <col min="3850" max="3850" width="6.5546875" style="2" customWidth="1"/>
    <col min="3851" max="3851" width="10.21875" style="2" bestFit="1" customWidth="1"/>
    <col min="3852" max="4096" width="9.21875" style="2"/>
    <col min="4097" max="4097" width="6" style="2" customWidth="1"/>
    <col min="4098" max="4101" width="9.21875" style="2"/>
    <col min="4102" max="4102" width="17.21875" style="2" customWidth="1"/>
    <col min="4103" max="4103" width="2.77734375" style="2" customWidth="1"/>
    <col min="4104" max="4105" width="9.21875" style="2"/>
    <col min="4106" max="4106" width="6.5546875" style="2" customWidth="1"/>
    <col min="4107" max="4107" width="10.21875" style="2" bestFit="1" customWidth="1"/>
    <col min="4108" max="4352" width="9.21875" style="2"/>
    <col min="4353" max="4353" width="6" style="2" customWidth="1"/>
    <col min="4354" max="4357" width="9.21875" style="2"/>
    <col min="4358" max="4358" width="17.21875" style="2" customWidth="1"/>
    <col min="4359" max="4359" width="2.77734375" style="2" customWidth="1"/>
    <col min="4360" max="4361" width="9.21875" style="2"/>
    <col min="4362" max="4362" width="6.5546875" style="2" customWidth="1"/>
    <col min="4363" max="4363" width="10.21875" style="2" bestFit="1" customWidth="1"/>
    <col min="4364" max="4608" width="9.21875" style="2"/>
    <col min="4609" max="4609" width="6" style="2" customWidth="1"/>
    <col min="4610" max="4613" width="9.21875" style="2"/>
    <col min="4614" max="4614" width="17.21875" style="2" customWidth="1"/>
    <col min="4615" max="4615" width="2.77734375" style="2" customWidth="1"/>
    <col min="4616" max="4617" width="9.21875" style="2"/>
    <col min="4618" max="4618" width="6.5546875" style="2" customWidth="1"/>
    <col min="4619" max="4619" width="10.21875" style="2" bestFit="1" customWidth="1"/>
    <col min="4620" max="4864" width="9.21875" style="2"/>
    <col min="4865" max="4865" width="6" style="2" customWidth="1"/>
    <col min="4866" max="4869" width="9.21875" style="2"/>
    <col min="4870" max="4870" width="17.21875" style="2" customWidth="1"/>
    <col min="4871" max="4871" width="2.77734375" style="2" customWidth="1"/>
    <col min="4872" max="4873" width="9.21875" style="2"/>
    <col min="4874" max="4874" width="6.5546875" style="2" customWidth="1"/>
    <col min="4875" max="4875" width="10.21875" style="2" bestFit="1" customWidth="1"/>
    <col min="4876" max="5120" width="9.21875" style="2"/>
    <col min="5121" max="5121" width="6" style="2" customWidth="1"/>
    <col min="5122" max="5125" width="9.21875" style="2"/>
    <col min="5126" max="5126" width="17.21875" style="2" customWidth="1"/>
    <col min="5127" max="5127" width="2.77734375" style="2" customWidth="1"/>
    <col min="5128" max="5129" width="9.21875" style="2"/>
    <col min="5130" max="5130" width="6.5546875" style="2" customWidth="1"/>
    <col min="5131" max="5131" width="10.21875" style="2" bestFit="1" customWidth="1"/>
    <col min="5132" max="5376" width="9.21875" style="2"/>
    <col min="5377" max="5377" width="6" style="2" customWidth="1"/>
    <col min="5378" max="5381" width="9.21875" style="2"/>
    <col min="5382" max="5382" width="17.21875" style="2" customWidth="1"/>
    <col min="5383" max="5383" width="2.77734375" style="2" customWidth="1"/>
    <col min="5384" max="5385" width="9.21875" style="2"/>
    <col min="5386" max="5386" width="6.5546875" style="2" customWidth="1"/>
    <col min="5387" max="5387" width="10.21875" style="2" bestFit="1" customWidth="1"/>
    <col min="5388" max="5632" width="9.21875" style="2"/>
    <col min="5633" max="5633" width="6" style="2" customWidth="1"/>
    <col min="5634" max="5637" width="9.21875" style="2"/>
    <col min="5638" max="5638" width="17.21875" style="2" customWidth="1"/>
    <col min="5639" max="5639" width="2.77734375" style="2" customWidth="1"/>
    <col min="5640" max="5641" width="9.21875" style="2"/>
    <col min="5642" max="5642" width="6.5546875" style="2" customWidth="1"/>
    <col min="5643" max="5643" width="10.21875" style="2" bestFit="1" customWidth="1"/>
    <col min="5644" max="5888" width="9.21875" style="2"/>
    <col min="5889" max="5889" width="6" style="2" customWidth="1"/>
    <col min="5890" max="5893" width="9.21875" style="2"/>
    <col min="5894" max="5894" width="17.21875" style="2" customWidth="1"/>
    <col min="5895" max="5895" width="2.77734375" style="2" customWidth="1"/>
    <col min="5896" max="5897" width="9.21875" style="2"/>
    <col min="5898" max="5898" width="6.5546875" style="2" customWidth="1"/>
    <col min="5899" max="5899" width="10.21875" style="2" bestFit="1" customWidth="1"/>
    <col min="5900" max="6144" width="9.21875" style="2"/>
    <col min="6145" max="6145" width="6" style="2" customWidth="1"/>
    <col min="6146" max="6149" width="9.21875" style="2"/>
    <col min="6150" max="6150" width="17.21875" style="2" customWidth="1"/>
    <col min="6151" max="6151" width="2.77734375" style="2" customWidth="1"/>
    <col min="6152" max="6153" width="9.21875" style="2"/>
    <col min="6154" max="6154" width="6.5546875" style="2" customWidth="1"/>
    <col min="6155" max="6155" width="10.21875" style="2" bestFit="1" customWidth="1"/>
    <col min="6156" max="6400" width="9.21875" style="2"/>
    <col min="6401" max="6401" width="6" style="2" customWidth="1"/>
    <col min="6402" max="6405" width="9.21875" style="2"/>
    <col min="6406" max="6406" width="17.21875" style="2" customWidth="1"/>
    <col min="6407" max="6407" width="2.77734375" style="2" customWidth="1"/>
    <col min="6408" max="6409" width="9.21875" style="2"/>
    <col min="6410" max="6410" width="6.5546875" style="2" customWidth="1"/>
    <col min="6411" max="6411" width="10.21875" style="2" bestFit="1" customWidth="1"/>
    <col min="6412" max="6656" width="9.21875" style="2"/>
    <col min="6657" max="6657" width="6" style="2" customWidth="1"/>
    <col min="6658" max="6661" width="9.21875" style="2"/>
    <col min="6662" max="6662" width="17.21875" style="2" customWidth="1"/>
    <col min="6663" max="6663" width="2.77734375" style="2" customWidth="1"/>
    <col min="6664" max="6665" width="9.21875" style="2"/>
    <col min="6666" max="6666" width="6.5546875" style="2" customWidth="1"/>
    <col min="6667" max="6667" width="10.21875" style="2" bestFit="1" customWidth="1"/>
    <col min="6668" max="6912" width="9.21875" style="2"/>
    <col min="6913" max="6913" width="6" style="2" customWidth="1"/>
    <col min="6914" max="6917" width="9.21875" style="2"/>
    <col min="6918" max="6918" width="17.21875" style="2" customWidth="1"/>
    <col min="6919" max="6919" width="2.77734375" style="2" customWidth="1"/>
    <col min="6920" max="6921" width="9.21875" style="2"/>
    <col min="6922" max="6922" width="6.5546875" style="2" customWidth="1"/>
    <col min="6923" max="6923" width="10.21875" style="2" bestFit="1" customWidth="1"/>
    <col min="6924" max="7168" width="9.21875" style="2"/>
    <col min="7169" max="7169" width="6" style="2" customWidth="1"/>
    <col min="7170" max="7173" width="9.21875" style="2"/>
    <col min="7174" max="7174" width="17.21875" style="2" customWidth="1"/>
    <col min="7175" max="7175" width="2.77734375" style="2" customWidth="1"/>
    <col min="7176" max="7177" width="9.21875" style="2"/>
    <col min="7178" max="7178" width="6.5546875" style="2" customWidth="1"/>
    <col min="7179" max="7179" width="10.21875" style="2" bestFit="1" customWidth="1"/>
    <col min="7180" max="7424" width="9.21875" style="2"/>
    <col min="7425" max="7425" width="6" style="2" customWidth="1"/>
    <col min="7426" max="7429" width="9.21875" style="2"/>
    <col min="7430" max="7430" width="17.21875" style="2" customWidth="1"/>
    <col min="7431" max="7431" width="2.77734375" style="2" customWidth="1"/>
    <col min="7432" max="7433" width="9.21875" style="2"/>
    <col min="7434" max="7434" width="6.5546875" style="2" customWidth="1"/>
    <col min="7435" max="7435" width="10.21875" style="2" bestFit="1" customWidth="1"/>
    <col min="7436" max="7680" width="9.21875" style="2"/>
    <col min="7681" max="7681" width="6" style="2" customWidth="1"/>
    <col min="7682" max="7685" width="9.21875" style="2"/>
    <col min="7686" max="7686" width="17.21875" style="2" customWidth="1"/>
    <col min="7687" max="7687" width="2.77734375" style="2" customWidth="1"/>
    <col min="7688" max="7689" width="9.21875" style="2"/>
    <col min="7690" max="7690" width="6.5546875" style="2" customWidth="1"/>
    <col min="7691" max="7691" width="10.21875" style="2" bestFit="1" customWidth="1"/>
    <col min="7692" max="7936" width="9.21875" style="2"/>
    <col min="7937" max="7937" width="6" style="2" customWidth="1"/>
    <col min="7938" max="7941" width="9.21875" style="2"/>
    <col min="7942" max="7942" width="17.21875" style="2" customWidth="1"/>
    <col min="7943" max="7943" width="2.77734375" style="2" customWidth="1"/>
    <col min="7944" max="7945" width="9.21875" style="2"/>
    <col min="7946" max="7946" width="6.5546875" style="2" customWidth="1"/>
    <col min="7947" max="7947" width="10.21875" style="2" bestFit="1" customWidth="1"/>
    <col min="7948" max="8192" width="9.21875" style="2"/>
    <col min="8193" max="8193" width="6" style="2" customWidth="1"/>
    <col min="8194" max="8197" width="9.21875" style="2"/>
    <col min="8198" max="8198" width="17.21875" style="2" customWidth="1"/>
    <col min="8199" max="8199" width="2.77734375" style="2" customWidth="1"/>
    <col min="8200" max="8201" width="9.21875" style="2"/>
    <col min="8202" max="8202" width="6.5546875" style="2" customWidth="1"/>
    <col min="8203" max="8203" width="10.21875" style="2" bestFit="1" customWidth="1"/>
    <col min="8204" max="8448" width="9.21875" style="2"/>
    <col min="8449" max="8449" width="6" style="2" customWidth="1"/>
    <col min="8450" max="8453" width="9.21875" style="2"/>
    <col min="8454" max="8454" width="17.21875" style="2" customWidth="1"/>
    <col min="8455" max="8455" width="2.77734375" style="2" customWidth="1"/>
    <col min="8456" max="8457" width="9.21875" style="2"/>
    <col min="8458" max="8458" width="6.5546875" style="2" customWidth="1"/>
    <col min="8459" max="8459" width="10.21875" style="2" bestFit="1" customWidth="1"/>
    <col min="8460" max="8704" width="9.21875" style="2"/>
    <col min="8705" max="8705" width="6" style="2" customWidth="1"/>
    <col min="8706" max="8709" width="9.21875" style="2"/>
    <col min="8710" max="8710" width="17.21875" style="2" customWidth="1"/>
    <col min="8711" max="8711" width="2.77734375" style="2" customWidth="1"/>
    <col min="8712" max="8713" width="9.21875" style="2"/>
    <col min="8714" max="8714" width="6.5546875" style="2" customWidth="1"/>
    <col min="8715" max="8715" width="10.21875" style="2" bestFit="1" customWidth="1"/>
    <col min="8716" max="8960" width="9.21875" style="2"/>
    <col min="8961" max="8961" width="6" style="2" customWidth="1"/>
    <col min="8962" max="8965" width="9.21875" style="2"/>
    <col min="8966" max="8966" width="17.21875" style="2" customWidth="1"/>
    <col min="8967" max="8967" width="2.77734375" style="2" customWidth="1"/>
    <col min="8968" max="8969" width="9.21875" style="2"/>
    <col min="8970" max="8970" width="6.5546875" style="2" customWidth="1"/>
    <col min="8971" max="8971" width="10.21875" style="2" bestFit="1" customWidth="1"/>
    <col min="8972" max="9216" width="9.21875" style="2"/>
    <col min="9217" max="9217" width="6" style="2" customWidth="1"/>
    <col min="9218" max="9221" width="9.21875" style="2"/>
    <col min="9222" max="9222" width="17.21875" style="2" customWidth="1"/>
    <col min="9223" max="9223" width="2.77734375" style="2" customWidth="1"/>
    <col min="9224" max="9225" width="9.21875" style="2"/>
    <col min="9226" max="9226" width="6.5546875" style="2" customWidth="1"/>
    <col min="9227" max="9227" width="10.21875" style="2" bestFit="1" customWidth="1"/>
    <col min="9228" max="9472" width="9.21875" style="2"/>
    <col min="9473" max="9473" width="6" style="2" customWidth="1"/>
    <col min="9474" max="9477" width="9.21875" style="2"/>
    <col min="9478" max="9478" width="17.21875" style="2" customWidth="1"/>
    <col min="9479" max="9479" width="2.77734375" style="2" customWidth="1"/>
    <col min="9480" max="9481" width="9.21875" style="2"/>
    <col min="9482" max="9482" width="6.5546875" style="2" customWidth="1"/>
    <col min="9483" max="9483" width="10.21875" style="2" bestFit="1" customWidth="1"/>
    <col min="9484" max="9728" width="9.21875" style="2"/>
    <col min="9729" max="9729" width="6" style="2" customWidth="1"/>
    <col min="9730" max="9733" width="9.21875" style="2"/>
    <col min="9734" max="9734" width="17.21875" style="2" customWidth="1"/>
    <col min="9735" max="9735" width="2.77734375" style="2" customWidth="1"/>
    <col min="9736" max="9737" width="9.21875" style="2"/>
    <col min="9738" max="9738" width="6.5546875" style="2" customWidth="1"/>
    <col min="9739" max="9739" width="10.21875" style="2" bestFit="1" customWidth="1"/>
    <col min="9740" max="9984" width="9.21875" style="2"/>
    <col min="9985" max="9985" width="6" style="2" customWidth="1"/>
    <col min="9986" max="9989" width="9.21875" style="2"/>
    <col min="9990" max="9990" width="17.21875" style="2" customWidth="1"/>
    <col min="9991" max="9991" width="2.77734375" style="2" customWidth="1"/>
    <col min="9992" max="9993" width="9.21875" style="2"/>
    <col min="9994" max="9994" width="6.5546875" style="2" customWidth="1"/>
    <col min="9995" max="9995" width="10.21875" style="2" bestFit="1" customWidth="1"/>
    <col min="9996" max="10240" width="9.21875" style="2"/>
    <col min="10241" max="10241" width="6" style="2" customWidth="1"/>
    <col min="10242" max="10245" width="9.21875" style="2"/>
    <col min="10246" max="10246" width="17.21875" style="2" customWidth="1"/>
    <col min="10247" max="10247" width="2.77734375" style="2" customWidth="1"/>
    <col min="10248" max="10249" width="9.21875" style="2"/>
    <col min="10250" max="10250" width="6.5546875" style="2" customWidth="1"/>
    <col min="10251" max="10251" width="10.21875" style="2" bestFit="1" customWidth="1"/>
    <col min="10252" max="10496" width="9.21875" style="2"/>
    <col min="10497" max="10497" width="6" style="2" customWidth="1"/>
    <col min="10498" max="10501" width="9.21875" style="2"/>
    <col min="10502" max="10502" width="17.21875" style="2" customWidth="1"/>
    <col min="10503" max="10503" width="2.77734375" style="2" customWidth="1"/>
    <col min="10504" max="10505" width="9.21875" style="2"/>
    <col min="10506" max="10506" width="6.5546875" style="2" customWidth="1"/>
    <col min="10507" max="10507" width="10.21875" style="2" bestFit="1" customWidth="1"/>
    <col min="10508" max="10752" width="9.21875" style="2"/>
    <col min="10753" max="10753" width="6" style="2" customWidth="1"/>
    <col min="10754" max="10757" width="9.21875" style="2"/>
    <col min="10758" max="10758" width="17.21875" style="2" customWidth="1"/>
    <col min="10759" max="10759" width="2.77734375" style="2" customWidth="1"/>
    <col min="10760" max="10761" width="9.21875" style="2"/>
    <col min="10762" max="10762" width="6.5546875" style="2" customWidth="1"/>
    <col min="10763" max="10763" width="10.21875" style="2" bestFit="1" customWidth="1"/>
    <col min="10764" max="11008" width="9.21875" style="2"/>
    <col min="11009" max="11009" width="6" style="2" customWidth="1"/>
    <col min="11010" max="11013" width="9.21875" style="2"/>
    <col min="11014" max="11014" width="17.21875" style="2" customWidth="1"/>
    <col min="11015" max="11015" width="2.77734375" style="2" customWidth="1"/>
    <col min="11016" max="11017" width="9.21875" style="2"/>
    <col min="11018" max="11018" width="6.5546875" style="2" customWidth="1"/>
    <col min="11019" max="11019" width="10.21875" style="2" bestFit="1" customWidth="1"/>
    <col min="11020" max="11264" width="9.21875" style="2"/>
    <col min="11265" max="11265" width="6" style="2" customWidth="1"/>
    <col min="11266" max="11269" width="9.21875" style="2"/>
    <col min="11270" max="11270" width="17.21875" style="2" customWidth="1"/>
    <col min="11271" max="11271" width="2.77734375" style="2" customWidth="1"/>
    <col min="11272" max="11273" width="9.21875" style="2"/>
    <col min="11274" max="11274" width="6.5546875" style="2" customWidth="1"/>
    <col min="11275" max="11275" width="10.21875" style="2" bestFit="1" customWidth="1"/>
    <col min="11276" max="11520" width="9.21875" style="2"/>
    <col min="11521" max="11521" width="6" style="2" customWidth="1"/>
    <col min="11522" max="11525" width="9.21875" style="2"/>
    <col min="11526" max="11526" width="17.21875" style="2" customWidth="1"/>
    <col min="11527" max="11527" width="2.77734375" style="2" customWidth="1"/>
    <col min="11528" max="11529" width="9.21875" style="2"/>
    <col min="11530" max="11530" width="6.5546875" style="2" customWidth="1"/>
    <col min="11531" max="11531" width="10.21875" style="2" bestFit="1" customWidth="1"/>
    <col min="11532" max="11776" width="9.21875" style="2"/>
    <col min="11777" max="11777" width="6" style="2" customWidth="1"/>
    <col min="11778" max="11781" width="9.21875" style="2"/>
    <col min="11782" max="11782" width="17.21875" style="2" customWidth="1"/>
    <col min="11783" max="11783" width="2.77734375" style="2" customWidth="1"/>
    <col min="11784" max="11785" width="9.21875" style="2"/>
    <col min="11786" max="11786" width="6.5546875" style="2" customWidth="1"/>
    <col min="11787" max="11787" width="10.21875" style="2" bestFit="1" customWidth="1"/>
    <col min="11788" max="12032" width="9.21875" style="2"/>
    <col min="12033" max="12033" width="6" style="2" customWidth="1"/>
    <col min="12034" max="12037" width="9.21875" style="2"/>
    <col min="12038" max="12038" width="17.21875" style="2" customWidth="1"/>
    <col min="12039" max="12039" width="2.77734375" style="2" customWidth="1"/>
    <col min="12040" max="12041" width="9.21875" style="2"/>
    <col min="12042" max="12042" width="6.5546875" style="2" customWidth="1"/>
    <col min="12043" max="12043" width="10.21875" style="2" bestFit="1" customWidth="1"/>
    <col min="12044" max="12288" width="9.21875" style="2"/>
    <col min="12289" max="12289" width="6" style="2" customWidth="1"/>
    <col min="12290" max="12293" width="9.21875" style="2"/>
    <col min="12294" max="12294" width="17.21875" style="2" customWidth="1"/>
    <col min="12295" max="12295" width="2.77734375" style="2" customWidth="1"/>
    <col min="12296" max="12297" width="9.21875" style="2"/>
    <col min="12298" max="12298" width="6.5546875" style="2" customWidth="1"/>
    <col min="12299" max="12299" width="10.21875" style="2" bestFit="1" customWidth="1"/>
    <col min="12300" max="12544" width="9.21875" style="2"/>
    <col min="12545" max="12545" width="6" style="2" customWidth="1"/>
    <col min="12546" max="12549" width="9.21875" style="2"/>
    <col min="12550" max="12550" width="17.21875" style="2" customWidth="1"/>
    <col min="12551" max="12551" width="2.77734375" style="2" customWidth="1"/>
    <col min="12552" max="12553" width="9.21875" style="2"/>
    <col min="12554" max="12554" width="6.5546875" style="2" customWidth="1"/>
    <col min="12555" max="12555" width="10.21875" style="2" bestFit="1" customWidth="1"/>
    <col min="12556" max="12800" width="9.21875" style="2"/>
    <col min="12801" max="12801" width="6" style="2" customWidth="1"/>
    <col min="12802" max="12805" width="9.21875" style="2"/>
    <col min="12806" max="12806" width="17.21875" style="2" customWidth="1"/>
    <col min="12807" max="12807" width="2.77734375" style="2" customWidth="1"/>
    <col min="12808" max="12809" width="9.21875" style="2"/>
    <col min="12810" max="12810" width="6.5546875" style="2" customWidth="1"/>
    <col min="12811" max="12811" width="10.21875" style="2" bestFit="1" customWidth="1"/>
    <col min="12812" max="13056" width="9.21875" style="2"/>
    <col min="13057" max="13057" width="6" style="2" customWidth="1"/>
    <col min="13058" max="13061" width="9.21875" style="2"/>
    <col min="13062" max="13062" width="17.21875" style="2" customWidth="1"/>
    <col min="13063" max="13063" width="2.77734375" style="2" customWidth="1"/>
    <col min="13064" max="13065" width="9.21875" style="2"/>
    <col min="13066" max="13066" width="6.5546875" style="2" customWidth="1"/>
    <col min="13067" max="13067" width="10.21875" style="2" bestFit="1" customWidth="1"/>
    <col min="13068" max="13312" width="9.21875" style="2"/>
    <col min="13313" max="13313" width="6" style="2" customWidth="1"/>
    <col min="13314" max="13317" width="9.21875" style="2"/>
    <col min="13318" max="13318" width="17.21875" style="2" customWidth="1"/>
    <col min="13319" max="13319" width="2.77734375" style="2" customWidth="1"/>
    <col min="13320" max="13321" width="9.21875" style="2"/>
    <col min="13322" max="13322" width="6.5546875" style="2" customWidth="1"/>
    <col min="13323" max="13323" width="10.21875" style="2" bestFit="1" customWidth="1"/>
    <col min="13324" max="13568" width="9.21875" style="2"/>
    <col min="13569" max="13569" width="6" style="2" customWidth="1"/>
    <col min="13570" max="13573" width="9.21875" style="2"/>
    <col min="13574" max="13574" width="17.21875" style="2" customWidth="1"/>
    <col min="13575" max="13575" width="2.77734375" style="2" customWidth="1"/>
    <col min="13576" max="13577" width="9.21875" style="2"/>
    <col min="13578" max="13578" width="6.5546875" style="2" customWidth="1"/>
    <col min="13579" max="13579" width="10.21875" style="2" bestFit="1" customWidth="1"/>
    <col min="13580" max="13824" width="9.21875" style="2"/>
    <col min="13825" max="13825" width="6" style="2" customWidth="1"/>
    <col min="13826" max="13829" width="9.21875" style="2"/>
    <col min="13830" max="13830" width="17.21875" style="2" customWidth="1"/>
    <col min="13831" max="13831" width="2.77734375" style="2" customWidth="1"/>
    <col min="13832" max="13833" width="9.21875" style="2"/>
    <col min="13834" max="13834" width="6.5546875" style="2" customWidth="1"/>
    <col min="13835" max="13835" width="10.21875" style="2" bestFit="1" customWidth="1"/>
    <col min="13836" max="14080" width="9.21875" style="2"/>
    <col min="14081" max="14081" width="6" style="2" customWidth="1"/>
    <col min="14082" max="14085" width="9.21875" style="2"/>
    <col min="14086" max="14086" width="17.21875" style="2" customWidth="1"/>
    <col min="14087" max="14087" width="2.77734375" style="2" customWidth="1"/>
    <col min="14088" max="14089" width="9.21875" style="2"/>
    <col min="14090" max="14090" width="6.5546875" style="2" customWidth="1"/>
    <col min="14091" max="14091" width="10.21875" style="2" bestFit="1" customWidth="1"/>
    <col min="14092" max="14336" width="9.21875" style="2"/>
    <col min="14337" max="14337" width="6" style="2" customWidth="1"/>
    <col min="14338" max="14341" width="9.21875" style="2"/>
    <col min="14342" max="14342" width="17.21875" style="2" customWidth="1"/>
    <col min="14343" max="14343" width="2.77734375" style="2" customWidth="1"/>
    <col min="14344" max="14345" width="9.21875" style="2"/>
    <col min="14346" max="14346" width="6.5546875" style="2" customWidth="1"/>
    <col min="14347" max="14347" width="10.21875" style="2" bestFit="1" customWidth="1"/>
    <col min="14348" max="14592" width="9.21875" style="2"/>
    <col min="14593" max="14593" width="6" style="2" customWidth="1"/>
    <col min="14594" max="14597" width="9.21875" style="2"/>
    <col min="14598" max="14598" width="17.21875" style="2" customWidth="1"/>
    <col min="14599" max="14599" width="2.77734375" style="2" customWidth="1"/>
    <col min="14600" max="14601" width="9.21875" style="2"/>
    <col min="14602" max="14602" width="6.5546875" style="2" customWidth="1"/>
    <col min="14603" max="14603" width="10.21875" style="2" bestFit="1" customWidth="1"/>
    <col min="14604" max="14848" width="9.21875" style="2"/>
    <col min="14849" max="14849" width="6" style="2" customWidth="1"/>
    <col min="14850" max="14853" width="9.21875" style="2"/>
    <col min="14854" max="14854" width="17.21875" style="2" customWidth="1"/>
    <col min="14855" max="14855" width="2.77734375" style="2" customWidth="1"/>
    <col min="14856" max="14857" width="9.21875" style="2"/>
    <col min="14858" max="14858" width="6.5546875" style="2" customWidth="1"/>
    <col min="14859" max="14859" width="10.21875" style="2" bestFit="1" customWidth="1"/>
    <col min="14860" max="15104" width="9.21875" style="2"/>
    <col min="15105" max="15105" width="6" style="2" customWidth="1"/>
    <col min="15106" max="15109" width="9.21875" style="2"/>
    <col min="15110" max="15110" width="17.21875" style="2" customWidth="1"/>
    <col min="15111" max="15111" width="2.77734375" style="2" customWidth="1"/>
    <col min="15112" max="15113" width="9.21875" style="2"/>
    <col min="15114" max="15114" width="6.5546875" style="2" customWidth="1"/>
    <col min="15115" max="15115" width="10.21875" style="2" bestFit="1" customWidth="1"/>
    <col min="15116" max="15360" width="9.21875" style="2"/>
    <col min="15361" max="15361" width="6" style="2" customWidth="1"/>
    <col min="15362" max="15365" width="9.21875" style="2"/>
    <col min="15366" max="15366" width="17.21875" style="2" customWidth="1"/>
    <col min="15367" max="15367" width="2.77734375" style="2" customWidth="1"/>
    <col min="15368" max="15369" width="9.21875" style="2"/>
    <col min="15370" max="15370" width="6.5546875" style="2" customWidth="1"/>
    <col min="15371" max="15371" width="10.21875" style="2" bestFit="1" customWidth="1"/>
    <col min="15372" max="15616" width="9.21875" style="2"/>
    <col min="15617" max="15617" width="6" style="2" customWidth="1"/>
    <col min="15618" max="15621" width="9.21875" style="2"/>
    <col min="15622" max="15622" width="17.21875" style="2" customWidth="1"/>
    <col min="15623" max="15623" width="2.77734375" style="2" customWidth="1"/>
    <col min="15624" max="15625" width="9.21875" style="2"/>
    <col min="15626" max="15626" width="6.5546875" style="2" customWidth="1"/>
    <col min="15627" max="15627" width="10.21875" style="2" bestFit="1" customWidth="1"/>
    <col min="15628" max="15872" width="9.21875" style="2"/>
    <col min="15873" max="15873" width="6" style="2" customWidth="1"/>
    <col min="15874" max="15877" width="9.21875" style="2"/>
    <col min="15878" max="15878" width="17.21875" style="2" customWidth="1"/>
    <col min="15879" max="15879" width="2.77734375" style="2" customWidth="1"/>
    <col min="15880" max="15881" width="9.21875" style="2"/>
    <col min="15882" max="15882" width="6.5546875" style="2" customWidth="1"/>
    <col min="15883" max="15883" width="10.21875" style="2" bestFit="1" customWidth="1"/>
    <col min="15884" max="16128" width="9.21875" style="2"/>
    <col min="16129" max="16129" width="6" style="2" customWidth="1"/>
    <col min="16130" max="16133" width="9.21875" style="2"/>
    <col min="16134" max="16134" width="17.21875" style="2" customWidth="1"/>
    <col min="16135" max="16135" width="2.77734375" style="2" customWidth="1"/>
    <col min="16136" max="16137" width="9.21875" style="2"/>
    <col min="16138" max="16138" width="6.5546875" style="2" customWidth="1"/>
    <col min="16139" max="16139" width="10.21875" style="2" bestFit="1" customWidth="1"/>
    <col min="16140" max="16384" width="9.21875" style="2"/>
  </cols>
  <sheetData>
    <row r="1" spans="1:11" ht="15.6">
      <c r="I1" s="31"/>
      <c r="K1" s="31" t="s">
        <v>49</v>
      </c>
    </row>
    <row r="3" spans="1:11" ht="15.6">
      <c r="A3" s="1220" t="s">
        <v>50</v>
      </c>
      <c r="B3" s="1220"/>
      <c r="C3" s="1220"/>
      <c r="D3" s="1220"/>
      <c r="E3" s="1220"/>
      <c r="F3" s="1220"/>
      <c r="G3" s="1220"/>
      <c r="H3" s="1220"/>
      <c r="I3" s="1220"/>
      <c r="J3" s="1227"/>
      <c r="K3" s="1227"/>
    </row>
    <row r="5" spans="1:11" ht="15.6">
      <c r="A5" s="1220" t="s">
        <v>51</v>
      </c>
      <c r="B5" s="1220"/>
      <c r="C5" s="1220"/>
      <c r="D5" s="1220"/>
      <c r="E5" s="1220"/>
      <c r="F5" s="1220"/>
      <c r="G5" s="1220"/>
      <c r="H5" s="1220"/>
      <c r="I5" s="1220"/>
      <c r="J5" s="1229"/>
      <c r="K5" s="1227"/>
    </row>
    <row r="6" spans="1:11">
      <c r="K6" s="2" t="s">
        <v>52</v>
      </c>
    </row>
    <row r="7" spans="1:11">
      <c r="K7" s="2" t="s">
        <v>53</v>
      </c>
    </row>
    <row r="8" spans="1:11" ht="15.6">
      <c r="A8" s="48" t="s">
        <v>54</v>
      </c>
    </row>
    <row r="9" spans="1:11" ht="8.25" customHeight="1">
      <c r="A9" s="48"/>
    </row>
    <row r="10" spans="1:11" ht="15">
      <c r="A10" s="45" t="s">
        <v>55</v>
      </c>
      <c r="B10" s="46" t="s">
        <v>56</v>
      </c>
      <c r="C10" s="46"/>
      <c r="D10" s="46"/>
      <c r="E10" s="46"/>
      <c r="F10" s="46"/>
      <c r="G10" s="45" t="s">
        <v>29</v>
      </c>
      <c r="H10" s="1228">
        <f>IF('Input (4)'!C4+'Input (4)'!C7=0,0,SUM('Input (4)'!C4+'Input (4)'!C7))</f>
        <v>67</v>
      </c>
      <c r="I10" s="1228"/>
      <c r="J10" s="46"/>
      <c r="K10" s="53">
        <f>IF(H10=0,0,(H10/($H$10+$H$13)))</f>
        <v>0.54032258064516125</v>
      </c>
    </row>
    <row r="11" spans="1:11" ht="7.5" customHeight="1">
      <c r="H11" s="54"/>
      <c r="I11" s="54"/>
    </row>
    <row r="12" spans="1:11" s="46" customFormat="1" ht="15">
      <c r="A12" s="45" t="s">
        <v>57</v>
      </c>
      <c r="B12" s="46" t="s">
        <v>58</v>
      </c>
      <c r="G12" s="45"/>
      <c r="H12" s="55"/>
      <c r="I12" s="55"/>
    </row>
    <row r="13" spans="1:11" ht="15">
      <c r="B13" s="28" t="s">
        <v>59</v>
      </c>
      <c r="G13" s="30" t="s">
        <v>29</v>
      </c>
      <c r="H13" s="1228">
        <f>IF('Input (4)'!C8=0,0,SUM('Input (4)'!C8))</f>
        <v>57</v>
      </c>
      <c r="I13" s="1228"/>
      <c r="K13" s="53">
        <f>IF(H13=0,0,(H13/($H$10+$H$13)))</f>
        <v>0.45967741935483869</v>
      </c>
    </row>
    <row r="14" spans="1:11" ht="6.75" customHeight="1">
      <c r="H14" s="54"/>
      <c r="I14" s="54"/>
    </row>
    <row r="15" spans="1:11" s="46" customFormat="1" ht="15">
      <c r="A15" s="45" t="s">
        <v>60</v>
      </c>
      <c r="B15" s="46" t="s">
        <v>61</v>
      </c>
      <c r="G15" s="45"/>
      <c r="H15" s="55"/>
      <c r="I15" s="55"/>
    </row>
    <row r="16" spans="1:11" s="46" customFormat="1" ht="15">
      <c r="A16" s="45"/>
      <c r="B16" s="46" t="s">
        <v>62</v>
      </c>
      <c r="G16" s="45" t="s">
        <v>29</v>
      </c>
      <c r="H16" s="1230">
        <f>IF('Input (4)'!C22=0,0,SUM('Input (4)'!C22))</f>
        <v>0</v>
      </c>
      <c r="I16" s="1230"/>
    </row>
    <row r="17" spans="1:9" ht="6.75" customHeight="1">
      <c r="H17" s="54"/>
      <c r="I17" s="54"/>
    </row>
    <row r="18" spans="1:9" s="46" customFormat="1" ht="15">
      <c r="A18" s="45" t="s">
        <v>63</v>
      </c>
      <c r="B18" s="46" t="s">
        <v>64</v>
      </c>
      <c r="G18" s="45" t="s">
        <v>29</v>
      </c>
      <c r="H18" s="1228">
        <f>H10+H13-H16</f>
        <v>124</v>
      </c>
      <c r="I18" s="1228"/>
    </row>
    <row r="19" spans="1:9" ht="6.75" customHeight="1">
      <c r="H19" s="43"/>
      <c r="I19" s="43"/>
    </row>
    <row r="20" spans="1:9" s="46" customFormat="1" ht="15">
      <c r="A20" s="45" t="s">
        <v>65</v>
      </c>
      <c r="B20" s="46" t="s">
        <v>66</v>
      </c>
      <c r="G20" s="45" t="s">
        <v>29</v>
      </c>
      <c r="H20" s="1228">
        <f>H18*0.06</f>
        <v>7.4399999999999995</v>
      </c>
      <c r="I20" s="1228"/>
    </row>
    <row r="21" spans="1:9" ht="6.75" customHeight="1">
      <c r="H21" s="43"/>
      <c r="I21" s="43"/>
    </row>
    <row r="22" spans="1:9" s="46" customFormat="1" ht="15">
      <c r="A22" s="45" t="s">
        <v>67</v>
      </c>
      <c r="B22" s="46" t="s">
        <v>68</v>
      </c>
      <c r="G22" s="45" t="s">
        <v>29</v>
      </c>
      <c r="H22" s="1228">
        <f>H16+H20</f>
        <v>7.4399999999999995</v>
      </c>
      <c r="I22" s="1228"/>
    </row>
    <row r="23" spans="1:9" s="46" customFormat="1" ht="15">
      <c r="A23" s="45"/>
      <c r="B23" s="46" t="s">
        <v>69</v>
      </c>
      <c r="G23" s="45"/>
      <c r="H23" s="55"/>
      <c r="I23" s="55"/>
    </row>
    <row r="24" spans="1:9" s="46" customFormat="1" ht="15">
      <c r="A24" s="45"/>
      <c r="G24" s="45"/>
      <c r="H24" s="55"/>
      <c r="I24" s="55"/>
    </row>
    <row r="25" spans="1:9" s="46" customFormat="1" ht="15">
      <c r="A25" s="45" t="s">
        <v>70</v>
      </c>
      <c r="B25" s="56">
        <f>K10</f>
        <v>0.54032258064516125</v>
      </c>
      <c r="C25" s="44" t="s">
        <v>71</v>
      </c>
      <c r="D25" s="57">
        <f>H22</f>
        <v>7.4399999999999995</v>
      </c>
      <c r="E25" s="46" t="s">
        <v>72</v>
      </c>
      <c r="G25" s="45" t="s">
        <v>29</v>
      </c>
      <c r="H25" s="1228">
        <f>ROUND(SUM(B25*D25),2)</f>
        <v>4.0199999999999996</v>
      </c>
      <c r="I25" s="1228"/>
    </row>
    <row r="26" spans="1:9" s="46" customFormat="1" ht="15">
      <c r="A26" s="45" t="s">
        <v>73</v>
      </c>
      <c r="B26" s="56">
        <f>K13</f>
        <v>0.45967741935483869</v>
      </c>
      <c r="C26" s="44" t="s">
        <v>71</v>
      </c>
      <c r="D26" s="57">
        <f>H22</f>
        <v>7.4399999999999995</v>
      </c>
      <c r="E26" s="46" t="s">
        <v>74</v>
      </c>
      <c r="G26" s="45" t="s">
        <v>29</v>
      </c>
      <c r="H26" s="1231">
        <f>ROUND(SUM(H22-H25),2)</f>
        <v>3.42</v>
      </c>
      <c r="I26" s="1231"/>
    </row>
    <row r="27" spans="1:9" s="46" customFormat="1" ht="15">
      <c r="A27" s="45"/>
      <c r="G27" s="45"/>
      <c r="H27" s="55"/>
      <c r="I27" s="55"/>
    </row>
    <row r="28" spans="1:9" ht="15.6">
      <c r="A28" s="48" t="s">
        <v>75</v>
      </c>
      <c r="H28" s="54"/>
      <c r="I28" s="54"/>
    </row>
    <row r="29" spans="1:9" ht="6.75" customHeight="1">
      <c r="H29" s="54"/>
      <c r="I29" s="54"/>
    </row>
    <row r="30" spans="1:9" s="46" customFormat="1" ht="15">
      <c r="A30" s="45" t="s">
        <v>76</v>
      </c>
      <c r="B30" s="46" t="s">
        <v>77</v>
      </c>
      <c r="G30" s="45"/>
      <c r="H30" s="55"/>
      <c r="I30" s="55"/>
    </row>
    <row r="31" spans="1:9" s="46" customFormat="1" ht="15">
      <c r="A31" s="45"/>
      <c r="B31" s="46" t="s">
        <v>78</v>
      </c>
      <c r="G31" s="45" t="s">
        <v>29</v>
      </c>
      <c r="H31" s="1228">
        <f>IF('Input (4)'!$C$10=0,0,'Input (4)'!C10)</f>
        <v>130</v>
      </c>
      <c r="I31" s="1228"/>
    </row>
    <row r="32" spans="1:9" s="46" customFormat="1" ht="15">
      <c r="A32" s="45"/>
      <c r="B32" s="28" t="s">
        <v>79</v>
      </c>
      <c r="G32" s="45"/>
      <c r="H32" s="55"/>
      <c r="I32" s="55"/>
    </row>
    <row r="33" spans="1:9" s="46" customFormat="1" ht="15">
      <c r="A33" s="45"/>
      <c r="B33" s="28" t="s">
        <v>80</v>
      </c>
      <c r="G33" s="45"/>
      <c r="H33" s="55"/>
      <c r="I33" s="55"/>
    </row>
    <row r="34" spans="1:9" ht="6.75" customHeight="1">
      <c r="H34" s="54"/>
      <c r="I34" s="54"/>
    </row>
    <row r="35" spans="1:9" s="46" customFormat="1" ht="15">
      <c r="A35" s="45" t="s">
        <v>81</v>
      </c>
      <c r="B35" s="46" t="s">
        <v>82</v>
      </c>
      <c r="G35" s="45"/>
      <c r="H35" s="55"/>
      <c r="I35" s="55"/>
    </row>
    <row r="36" spans="1:9" s="46" customFormat="1" ht="15">
      <c r="A36" s="45"/>
      <c r="B36" s="46" t="s">
        <v>83</v>
      </c>
      <c r="G36" s="45"/>
      <c r="H36" s="55"/>
      <c r="I36" s="55"/>
    </row>
    <row r="37" spans="1:9" s="46" customFormat="1" ht="15">
      <c r="A37" s="45"/>
      <c r="B37" s="28" t="s">
        <v>84</v>
      </c>
      <c r="G37" s="45" t="s">
        <v>29</v>
      </c>
      <c r="H37" s="1228">
        <f>IF('Input (4)'!C23=0,0,SUM('Input (4)'!C23))</f>
        <v>0</v>
      </c>
      <c r="I37" s="1228"/>
    </row>
    <row r="38" spans="1:9" ht="6.75" customHeight="1">
      <c r="H38" s="43"/>
      <c r="I38" s="43"/>
    </row>
    <row r="39" spans="1:9" s="46" customFormat="1" ht="15">
      <c r="A39" s="45" t="s">
        <v>85</v>
      </c>
      <c r="B39" s="46" t="s">
        <v>86</v>
      </c>
      <c r="G39" s="45" t="s">
        <v>29</v>
      </c>
      <c r="H39" s="1228">
        <f>IF('Input (4)'!$C$10=0,0,SUM(H31-H37))</f>
        <v>130</v>
      </c>
      <c r="I39" s="1228"/>
    </row>
    <row r="40" spans="1:9" ht="6.75" customHeight="1">
      <c r="H40" s="43"/>
      <c r="I40" s="43"/>
    </row>
    <row r="41" spans="1:9" s="46" customFormat="1" ht="15">
      <c r="A41" s="45" t="s">
        <v>87</v>
      </c>
      <c r="B41" s="46" t="s">
        <v>88</v>
      </c>
      <c r="G41" s="45" t="s">
        <v>29</v>
      </c>
      <c r="H41" s="1228">
        <f>IF('Input (4)'!$C$10=0,0,H39*0.055)</f>
        <v>7.15</v>
      </c>
      <c r="I41" s="1228"/>
    </row>
    <row r="42" spans="1:9" ht="6.75" customHeight="1">
      <c r="H42" s="43"/>
      <c r="I42" s="43"/>
    </row>
    <row r="43" spans="1:9" s="46" customFormat="1" ht="15">
      <c r="A43" s="45" t="s">
        <v>89</v>
      </c>
      <c r="B43" s="46" t="s">
        <v>90</v>
      </c>
      <c r="G43" s="45" t="s">
        <v>29</v>
      </c>
      <c r="H43" s="1228">
        <f>ROUND(IF('Input (4)'!$C$10=0,0,SUM(H37+H41)),2)</f>
        <v>7.15</v>
      </c>
      <c r="I43" s="1228"/>
    </row>
    <row r="44" spans="1:9" s="46" customFormat="1" ht="15">
      <c r="A44" s="45"/>
      <c r="B44" s="46" t="s">
        <v>91</v>
      </c>
      <c r="G44" s="45"/>
    </row>
    <row r="46" spans="1:9" ht="15.6">
      <c r="A46" s="48" t="s">
        <v>92</v>
      </c>
    </row>
    <row r="47" spans="1:9" ht="6.75" customHeight="1"/>
    <row r="48" spans="1:9" s="46" customFormat="1" ht="15">
      <c r="A48" s="45" t="s">
        <v>93</v>
      </c>
      <c r="B48" s="46" t="s">
        <v>94</v>
      </c>
      <c r="G48" s="45"/>
    </row>
    <row r="49" spans="1:9" s="46" customFormat="1" ht="15">
      <c r="A49" s="45"/>
      <c r="B49" s="46" t="s">
        <v>95</v>
      </c>
      <c r="G49" s="45"/>
    </row>
    <row r="50" spans="1:9" s="46" customFormat="1" ht="15">
      <c r="A50" s="45"/>
      <c r="B50" s="46" t="s">
        <v>96</v>
      </c>
      <c r="G50" s="45"/>
    </row>
    <row r="51" spans="1:9" s="46" customFormat="1" ht="15">
      <c r="A51" s="45"/>
      <c r="B51" s="46" t="s">
        <v>97</v>
      </c>
      <c r="G51" s="45"/>
    </row>
    <row r="52" spans="1:9" s="46" customFormat="1" ht="15">
      <c r="A52" s="45"/>
      <c r="B52" s="46" t="s">
        <v>98</v>
      </c>
      <c r="G52" s="45"/>
    </row>
    <row r="53" spans="1:9" s="46" customFormat="1" ht="15">
      <c r="A53" s="45"/>
      <c r="B53" s="46" t="s">
        <v>99</v>
      </c>
      <c r="G53" s="45"/>
    </row>
    <row r="54" spans="1:9" ht="6.75" customHeight="1"/>
    <row r="55" spans="1:9" s="46" customFormat="1" ht="15">
      <c r="A55" s="45"/>
      <c r="B55" s="46" t="s">
        <v>100</v>
      </c>
      <c r="G55" s="45" t="s">
        <v>29</v>
      </c>
      <c r="H55" s="1230">
        <f>IF('Input (4)'!$E$18+'Input (4)'!$E$19=0,0,SUM(('Input (4)'!E18*'Input (4)'!E19)/16))</f>
        <v>0</v>
      </c>
      <c r="I55" s="1230"/>
    </row>
    <row r="56" spans="1:9" s="46" customFormat="1" ht="15">
      <c r="A56" s="45"/>
      <c r="B56" s="46" t="s">
        <v>101</v>
      </c>
      <c r="G56" s="45"/>
    </row>
    <row r="57" spans="1:9" s="46" customFormat="1" ht="15">
      <c r="A57" s="45"/>
      <c r="B57" s="46" t="s">
        <v>102</v>
      </c>
      <c r="G57" s="45"/>
    </row>
  </sheetData>
  <sheetProtection password="CDD6" sheet="1" objects="1" scenarios="1"/>
  <mergeCells count="16">
    <mergeCell ref="H39:I39"/>
    <mergeCell ref="H41:I41"/>
    <mergeCell ref="H43:I43"/>
    <mergeCell ref="H55:I55"/>
    <mergeCell ref="H20:I20"/>
    <mergeCell ref="H22:I22"/>
    <mergeCell ref="H25:I25"/>
    <mergeCell ref="H26:I26"/>
    <mergeCell ref="H31:I31"/>
    <mergeCell ref="H37:I37"/>
    <mergeCell ref="H18:I18"/>
    <mergeCell ref="A3:K3"/>
    <mergeCell ref="A5:K5"/>
    <mergeCell ref="H10:I10"/>
    <mergeCell ref="H13:I13"/>
    <mergeCell ref="H16:I16"/>
  </mergeCells>
  <pageMargins left="0.5" right="0.5" top="0.63" bottom="1" header="0.33" footer="0.5"/>
  <pageSetup scale="93" orientation="portrait" r:id="rId1"/>
  <headerFooter alignWithMargins="0">
    <oddFooter>&amp;L&amp;F</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3"/>
  <dimension ref="A1:AB12"/>
  <sheetViews>
    <sheetView workbookViewId="0">
      <selection activeCell="C4" sqref="C4"/>
    </sheetView>
  </sheetViews>
  <sheetFormatPr defaultRowHeight="13.2"/>
  <cols>
    <col min="1" max="1" width="4.5546875" style="2" customWidth="1"/>
    <col min="2" max="3" width="6.77734375" style="2" customWidth="1"/>
    <col min="4" max="4" width="3.21875" style="2" customWidth="1"/>
    <col min="5" max="5" width="4.21875" style="2" customWidth="1"/>
    <col min="6" max="6" width="5.44140625" style="2" customWidth="1"/>
    <col min="7" max="7" width="7.77734375" style="2" customWidth="1"/>
    <col min="8" max="8" width="5.21875" style="2" customWidth="1"/>
    <col min="9" max="9" width="7" style="2" customWidth="1"/>
    <col min="10" max="10" width="5.21875" style="2" customWidth="1"/>
    <col min="11" max="11" width="7" style="2" customWidth="1"/>
    <col min="12" max="12" width="4.21875" style="2" customWidth="1"/>
    <col min="13" max="13" width="6.77734375" style="2" customWidth="1"/>
    <col min="14" max="14" width="5.44140625" style="2" customWidth="1"/>
    <col min="15" max="15" width="7" style="2" customWidth="1"/>
    <col min="16" max="16" width="5.21875" style="2" customWidth="1"/>
    <col min="17" max="17" width="4.77734375" style="2" customWidth="1"/>
    <col min="18" max="18" width="5.77734375" style="2" customWidth="1"/>
    <col min="19" max="19" width="7.44140625" style="2" customWidth="1"/>
    <col min="20" max="20" width="4" style="2" customWidth="1"/>
    <col min="21" max="21" width="6.44140625" style="2" customWidth="1"/>
    <col min="22" max="22" width="5.77734375" style="2" customWidth="1"/>
    <col min="23" max="23" width="6.77734375" style="2" customWidth="1"/>
    <col min="24" max="24" width="4.21875" style="2" customWidth="1"/>
    <col min="25" max="25" width="7.21875" style="2" customWidth="1"/>
    <col min="26" max="256" width="9.21875" style="2"/>
    <col min="257" max="257" width="4.5546875" style="2" customWidth="1"/>
    <col min="258" max="259" width="6.77734375" style="2" customWidth="1"/>
    <col min="260" max="260" width="3.21875" style="2" customWidth="1"/>
    <col min="261" max="261" width="4.21875" style="2" customWidth="1"/>
    <col min="262" max="262" width="5.44140625" style="2" customWidth="1"/>
    <col min="263" max="263" width="7.77734375" style="2" customWidth="1"/>
    <col min="264" max="264" width="5.21875" style="2" customWidth="1"/>
    <col min="265" max="265" width="7" style="2" customWidth="1"/>
    <col min="266" max="266" width="5.21875" style="2" customWidth="1"/>
    <col min="267" max="267" width="7" style="2" customWidth="1"/>
    <col min="268" max="268" width="4.21875" style="2" customWidth="1"/>
    <col min="269" max="269" width="6.77734375" style="2" customWidth="1"/>
    <col min="270" max="270" width="5.44140625" style="2" customWidth="1"/>
    <col min="271" max="271" width="7" style="2" customWidth="1"/>
    <col min="272" max="272" width="5.21875" style="2" customWidth="1"/>
    <col min="273" max="273" width="4.77734375" style="2" customWidth="1"/>
    <col min="274" max="274" width="5.77734375" style="2" customWidth="1"/>
    <col min="275" max="275" width="7.44140625" style="2" customWidth="1"/>
    <col min="276" max="276" width="4" style="2" customWidth="1"/>
    <col min="277" max="277" width="6.44140625" style="2" customWidth="1"/>
    <col min="278" max="278" width="5.77734375" style="2" customWidth="1"/>
    <col min="279" max="279" width="6.77734375" style="2" customWidth="1"/>
    <col min="280" max="280" width="4.21875" style="2" customWidth="1"/>
    <col min="281" max="281" width="7.21875" style="2" customWidth="1"/>
    <col min="282" max="512" width="9.21875" style="2"/>
    <col min="513" max="513" width="4.5546875" style="2" customWidth="1"/>
    <col min="514" max="515" width="6.77734375" style="2" customWidth="1"/>
    <col min="516" max="516" width="3.21875" style="2" customWidth="1"/>
    <col min="517" max="517" width="4.21875" style="2" customWidth="1"/>
    <col min="518" max="518" width="5.44140625" style="2" customWidth="1"/>
    <col min="519" max="519" width="7.77734375" style="2" customWidth="1"/>
    <col min="520" max="520" width="5.21875" style="2" customWidth="1"/>
    <col min="521" max="521" width="7" style="2" customWidth="1"/>
    <col min="522" max="522" width="5.21875" style="2" customWidth="1"/>
    <col min="523" max="523" width="7" style="2" customWidth="1"/>
    <col min="524" max="524" width="4.21875" style="2" customWidth="1"/>
    <col min="525" max="525" width="6.77734375" style="2" customWidth="1"/>
    <col min="526" max="526" width="5.44140625" style="2" customWidth="1"/>
    <col min="527" max="527" width="7" style="2" customWidth="1"/>
    <col min="528" max="528" width="5.21875" style="2" customWidth="1"/>
    <col min="529" max="529" width="4.77734375" style="2" customWidth="1"/>
    <col min="530" max="530" width="5.77734375" style="2" customWidth="1"/>
    <col min="531" max="531" width="7.44140625" style="2" customWidth="1"/>
    <col min="532" max="532" width="4" style="2" customWidth="1"/>
    <col min="533" max="533" width="6.44140625" style="2" customWidth="1"/>
    <col min="534" max="534" width="5.77734375" style="2" customWidth="1"/>
    <col min="535" max="535" width="6.77734375" style="2" customWidth="1"/>
    <col min="536" max="536" width="4.21875" style="2" customWidth="1"/>
    <col min="537" max="537" width="7.21875" style="2" customWidth="1"/>
    <col min="538" max="768" width="9.21875" style="2"/>
    <col min="769" max="769" width="4.5546875" style="2" customWidth="1"/>
    <col min="770" max="771" width="6.77734375" style="2" customWidth="1"/>
    <col min="772" max="772" width="3.21875" style="2" customWidth="1"/>
    <col min="773" max="773" width="4.21875" style="2" customWidth="1"/>
    <col min="774" max="774" width="5.44140625" style="2" customWidth="1"/>
    <col min="775" max="775" width="7.77734375" style="2" customWidth="1"/>
    <col min="776" max="776" width="5.21875" style="2" customWidth="1"/>
    <col min="777" max="777" width="7" style="2" customWidth="1"/>
    <col min="778" max="778" width="5.21875" style="2" customWidth="1"/>
    <col min="779" max="779" width="7" style="2" customWidth="1"/>
    <col min="780" max="780" width="4.21875" style="2" customWidth="1"/>
    <col min="781" max="781" width="6.77734375" style="2" customWidth="1"/>
    <col min="782" max="782" width="5.44140625" style="2" customWidth="1"/>
    <col min="783" max="783" width="7" style="2" customWidth="1"/>
    <col min="784" max="784" width="5.21875" style="2" customWidth="1"/>
    <col min="785" max="785" width="4.77734375" style="2" customWidth="1"/>
    <col min="786" max="786" width="5.77734375" style="2" customWidth="1"/>
    <col min="787" max="787" width="7.44140625" style="2" customWidth="1"/>
    <col min="788" max="788" width="4" style="2" customWidth="1"/>
    <col min="789" max="789" width="6.44140625" style="2" customWidth="1"/>
    <col min="790" max="790" width="5.77734375" style="2" customWidth="1"/>
    <col min="791" max="791" width="6.77734375" style="2" customWidth="1"/>
    <col min="792" max="792" width="4.21875" style="2" customWidth="1"/>
    <col min="793" max="793" width="7.21875" style="2" customWidth="1"/>
    <col min="794" max="1024" width="9.21875" style="2"/>
    <col min="1025" max="1025" width="4.5546875" style="2" customWidth="1"/>
    <col min="1026" max="1027" width="6.77734375" style="2" customWidth="1"/>
    <col min="1028" max="1028" width="3.21875" style="2" customWidth="1"/>
    <col min="1029" max="1029" width="4.21875" style="2" customWidth="1"/>
    <col min="1030" max="1030" width="5.44140625" style="2" customWidth="1"/>
    <col min="1031" max="1031" width="7.77734375" style="2" customWidth="1"/>
    <col min="1032" max="1032" width="5.21875" style="2" customWidth="1"/>
    <col min="1033" max="1033" width="7" style="2" customWidth="1"/>
    <col min="1034" max="1034" width="5.21875" style="2" customWidth="1"/>
    <col min="1035" max="1035" width="7" style="2" customWidth="1"/>
    <col min="1036" max="1036" width="4.21875" style="2" customWidth="1"/>
    <col min="1037" max="1037" width="6.77734375" style="2" customWidth="1"/>
    <col min="1038" max="1038" width="5.44140625" style="2" customWidth="1"/>
    <col min="1039" max="1039" width="7" style="2" customWidth="1"/>
    <col min="1040" max="1040" width="5.21875" style="2" customWidth="1"/>
    <col min="1041" max="1041" width="4.77734375" style="2" customWidth="1"/>
    <col min="1042" max="1042" width="5.77734375" style="2" customWidth="1"/>
    <col min="1043" max="1043" width="7.44140625" style="2" customWidth="1"/>
    <col min="1044" max="1044" width="4" style="2" customWidth="1"/>
    <col min="1045" max="1045" width="6.44140625" style="2" customWidth="1"/>
    <col min="1046" max="1046" width="5.77734375" style="2" customWidth="1"/>
    <col min="1047" max="1047" width="6.77734375" style="2" customWidth="1"/>
    <col min="1048" max="1048" width="4.21875" style="2" customWidth="1"/>
    <col min="1049" max="1049" width="7.21875" style="2" customWidth="1"/>
    <col min="1050" max="1280" width="9.21875" style="2"/>
    <col min="1281" max="1281" width="4.5546875" style="2" customWidth="1"/>
    <col min="1282" max="1283" width="6.77734375" style="2" customWidth="1"/>
    <col min="1284" max="1284" width="3.21875" style="2" customWidth="1"/>
    <col min="1285" max="1285" width="4.21875" style="2" customWidth="1"/>
    <col min="1286" max="1286" width="5.44140625" style="2" customWidth="1"/>
    <col min="1287" max="1287" width="7.77734375" style="2" customWidth="1"/>
    <col min="1288" max="1288" width="5.21875" style="2" customWidth="1"/>
    <col min="1289" max="1289" width="7" style="2" customWidth="1"/>
    <col min="1290" max="1290" width="5.21875" style="2" customWidth="1"/>
    <col min="1291" max="1291" width="7" style="2" customWidth="1"/>
    <col min="1292" max="1292" width="4.21875" style="2" customWidth="1"/>
    <col min="1293" max="1293" width="6.77734375" style="2" customWidth="1"/>
    <col min="1294" max="1294" width="5.44140625" style="2" customWidth="1"/>
    <col min="1295" max="1295" width="7" style="2" customWidth="1"/>
    <col min="1296" max="1296" width="5.21875" style="2" customWidth="1"/>
    <col min="1297" max="1297" width="4.77734375" style="2" customWidth="1"/>
    <col min="1298" max="1298" width="5.77734375" style="2" customWidth="1"/>
    <col min="1299" max="1299" width="7.44140625" style="2" customWidth="1"/>
    <col min="1300" max="1300" width="4" style="2" customWidth="1"/>
    <col min="1301" max="1301" width="6.44140625" style="2" customWidth="1"/>
    <col min="1302" max="1302" width="5.77734375" style="2" customWidth="1"/>
    <col min="1303" max="1303" width="6.77734375" style="2" customWidth="1"/>
    <col min="1304" max="1304" width="4.21875" style="2" customWidth="1"/>
    <col min="1305" max="1305" width="7.21875" style="2" customWidth="1"/>
    <col min="1306" max="1536" width="9.21875" style="2"/>
    <col min="1537" max="1537" width="4.5546875" style="2" customWidth="1"/>
    <col min="1538" max="1539" width="6.77734375" style="2" customWidth="1"/>
    <col min="1540" max="1540" width="3.21875" style="2" customWidth="1"/>
    <col min="1541" max="1541" width="4.21875" style="2" customWidth="1"/>
    <col min="1542" max="1542" width="5.44140625" style="2" customWidth="1"/>
    <col min="1543" max="1543" width="7.77734375" style="2" customWidth="1"/>
    <col min="1544" max="1544" width="5.21875" style="2" customWidth="1"/>
    <col min="1545" max="1545" width="7" style="2" customWidth="1"/>
    <col min="1546" max="1546" width="5.21875" style="2" customWidth="1"/>
    <col min="1547" max="1547" width="7" style="2" customWidth="1"/>
    <col min="1548" max="1548" width="4.21875" style="2" customWidth="1"/>
    <col min="1549" max="1549" width="6.77734375" style="2" customWidth="1"/>
    <col min="1550" max="1550" width="5.44140625" style="2" customWidth="1"/>
    <col min="1551" max="1551" width="7" style="2" customWidth="1"/>
    <col min="1552" max="1552" width="5.21875" style="2" customWidth="1"/>
    <col min="1553" max="1553" width="4.77734375" style="2" customWidth="1"/>
    <col min="1554" max="1554" width="5.77734375" style="2" customWidth="1"/>
    <col min="1555" max="1555" width="7.44140625" style="2" customWidth="1"/>
    <col min="1556" max="1556" width="4" style="2" customWidth="1"/>
    <col min="1557" max="1557" width="6.44140625" style="2" customWidth="1"/>
    <col min="1558" max="1558" width="5.77734375" style="2" customWidth="1"/>
    <col min="1559" max="1559" width="6.77734375" style="2" customWidth="1"/>
    <col min="1560" max="1560" width="4.21875" style="2" customWidth="1"/>
    <col min="1561" max="1561" width="7.21875" style="2" customWidth="1"/>
    <col min="1562" max="1792" width="9.21875" style="2"/>
    <col min="1793" max="1793" width="4.5546875" style="2" customWidth="1"/>
    <col min="1794" max="1795" width="6.77734375" style="2" customWidth="1"/>
    <col min="1796" max="1796" width="3.21875" style="2" customWidth="1"/>
    <col min="1797" max="1797" width="4.21875" style="2" customWidth="1"/>
    <col min="1798" max="1798" width="5.44140625" style="2" customWidth="1"/>
    <col min="1799" max="1799" width="7.77734375" style="2" customWidth="1"/>
    <col min="1800" max="1800" width="5.21875" style="2" customWidth="1"/>
    <col min="1801" max="1801" width="7" style="2" customWidth="1"/>
    <col min="1802" max="1802" width="5.21875" style="2" customWidth="1"/>
    <col min="1803" max="1803" width="7" style="2" customWidth="1"/>
    <col min="1804" max="1804" width="4.21875" style="2" customWidth="1"/>
    <col min="1805" max="1805" width="6.77734375" style="2" customWidth="1"/>
    <col min="1806" max="1806" width="5.44140625" style="2" customWidth="1"/>
    <col min="1807" max="1807" width="7" style="2" customWidth="1"/>
    <col min="1808" max="1808" width="5.21875" style="2" customWidth="1"/>
    <col min="1809" max="1809" width="4.77734375" style="2" customWidth="1"/>
    <col min="1810" max="1810" width="5.77734375" style="2" customWidth="1"/>
    <col min="1811" max="1811" width="7.44140625" style="2" customWidth="1"/>
    <col min="1812" max="1812" width="4" style="2" customWidth="1"/>
    <col min="1813" max="1813" width="6.44140625" style="2" customWidth="1"/>
    <col min="1814" max="1814" width="5.77734375" style="2" customWidth="1"/>
    <col min="1815" max="1815" width="6.77734375" style="2" customWidth="1"/>
    <col min="1816" max="1816" width="4.21875" style="2" customWidth="1"/>
    <col min="1817" max="1817" width="7.21875" style="2" customWidth="1"/>
    <col min="1818" max="2048" width="9.21875" style="2"/>
    <col min="2049" max="2049" width="4.5546875" style="2" customWidth="1"/>
    <col min="2050" max="2051" width="6.77734375" style="2" customWidth="1"/>
    <col min="2052" max="2052" width="3.21875" style="2" customWidth="1"/>
    <col min="2053" max="2053" width="4.21875" style="2" customWidth="1"/>
    <col min="2054" max="2054" width="5.44140625" style="2" customWidth="1"/>
    <col min="2055" max="2055" width="7.77734375" style="2" customWidth="1"/>
    <col min="2056" max="2056" width="5.21875" style="2" customWidth="1"/>
    <col min="2057" max="2057" width="7" style="2" customWidth="1"/>
    <col min="2058" max="2058" width="5.21875" style="2" customWidth="1"/>
    <col min="2059" max="2059" width="7" style="2" customWidth="1"/>
    <col min="2060" max="2060" width="4.21875" style="2" customWidth="1"/>
    <col min="2061" max="2061" width="6.77734375" style="2" customWidth="1"/>
    <col min="2062" max="2062" width="5.44140625" style="2" customWidth="1"/>
    <col min="2063" max="2063" width="7" style="2" customWidth="1"/>
    <col min="2064" max="2064" width="5.21875" style="2" customWidth="1"/>
    <col min="2065" max="2065" width="4.77734375" style="2" customWidth="1"/>
    <col min="2066" max="2066" width="5.77734375" style="2" customWidth="1"/>
    <col min="2067" max="2067" width="7.44140625" style="2" customWidth="1"/>
    <col min="2068" max="2068" width="4" style="2" customWidth="1"/>
    <col min="2069" max="2069" width="6.44140625" style="2" customWidth="1"/>
    <col min="2070" max="2070" width="5.77734375" style="2" customWidth="1"/>
    <col min="2071" max="2071" width="6.77734375" style="2" customWidth="1"/>
    <col min="2072" max="2072" width="4.21875" style="2" customWidth="1"/>
    <col min="2073" max="2073" width="7.21875" style="2" customWidth="1"/>
    <col min="2074" max="2304" width="9.21875" style="2"/>
    <col min="2305" max="2305" width="4.5546875" style="2" customWidth="1"/>
    <col min="2306" max="2307" width="6.77734375" style="2" customWidth="1"/>
    <col min="2308" max="2308" width="3.21875" style="2" customWidth="1"/>
    <col min="2309" max="2309" width="4.21875" style="2" customWidth="1"/>
    <col min="2310" max="2310" width="5.44140625" style="2" customWidth="1"/>
    <col min="2311" max="2311" width="7.77734375" style="2" customWidth="1"/>
    <col min="2312" max="2312" width="5.21875" style="2" customWidth="1"/>
    <col min="2313" max="2313" width="7" style="2" customWidth="1"/>
    <col min="2314" max="2314" width="5.21875" style="2" customWidth="1"/>
    <col min="2315" max="2315" width="7" style="2" customWidth="1"/>
    <col min="2316" max="2316" width="4.21875" style="2" customWidth="1"/>
    <col min="2317" max="2317" width="6.77734375" style="2" customWidth="1"/>
    <col min="2318" max="2318" width="5.44140625" style="2" customWidth="1"/>
    <col min="2319" max="2319" width="7" style="2" customWidth="1"/>
    <col min="2320" max="2320" width="5.21875" style="2" customWidth="1"/>
    <col min="2321" max="2321" width="4.77734375" style="2" customWidth="1"/>
    <col min="2322" max="2322" width="5.77734375" style="2" customWidth="1"/>
    <col min="2323" max="2323" width="7.44140625" style="2" customWidth="1"/>
    <col min="2324" max="2324" width="4" style="2" customWidth="1"/>
    <col min="2325" max="2325" width="6.44140625" style="2" customWidth="1"/>
    <col min="2326" max="2326" width="5.77734375" style="2" customWidth="1"/>
    <col min="2327" max="2327" width="6.77734375" style="2" customWidth="1"/>
    <col min="2328" max="2328" width="4.21875" style="2" customWidth="1"/>
    <col min="2329" max="2329" width="7.21875" style="2" customWidth="1"/>
    <col min="2330" max="2560" width="9.21875" style="2"/>
    <col min="2561" max="2561" width="4.5546875" style="2" customWidth="1"/>
    <col min="2562" max="2563" width="6.77734375" style="2" customWidth="1"/>
    <col min="2564" max="2564" width="3.21875" style="2" customWidth="1"/>
    <col min="2565" max="2565" width="4.21875" style="2" customWidth="1"/>
    <col min="2566" max="2566" width="5.44140625" style="2" customWidth="1"/>
    <col min="2567" max="2567" width="7.77734375" style="2" customWidth="1"/>
    <col min="2568" max="2568" width="5.21875" style="2" customWidth="1"/>
    <col min="2569" max="2569" width="7" style="2" customWidth="1"/>
    <col min="2570" max="2570" width="5.21875" style="2" customWidth="1"/>
    <col min="2571" max="2571" width="7" style="2" customWidth="1"/>
    <col min="2572" max="2572" width="4.21875" style="2" customWidth="1"/>
    <col min="2573" max="2573" width="6.77734375" style="2" customWidth="1"/>
    <col min="2574" max="2574" width="5.44140625" style="2" customWidth="1"/>
    <col min="2575" max="2575" width="7" style="2" customWidth="1"/>
    <col min="2576" max="2576" width="5.21875" style="2" customWidth="1"/>
    <col min="2577" max="2577" width="4.77734375" style="2" customWidth="1"/>
    <col min="2578" max="2578" width="5.77734375" style="2" customWidth="1"/>
    <col min="2579" max="2579" width="7.44140625" style="2" customWidth="1"/>
    <col min="2580" max="2580" width="4" style="2" customWidth="1"/>
    <col min="2581" max="2581" width="6.44140625" style="2" customWidth="1"/>
    <col min="2582" max="2582" width="5.77734375" style="2" customWidth="1"/>
    <col min="2583" max="2583" width="6.77734375" style="2" customWidth="1"/>
    <col min="2584" max="2584" width="4.21875" style="2" customWidth="1"/>
    <col min="2585" max="2585" width="7.21875" style="2" customWidth="1"/>
    <col min="2586" max="2816" width="9.21875" style="2"/>
    <col min="2817" max="2817" width="4.5546875" style="2" customWidth="1"/>
    <col min="2818" max="2819" width="6.77734375" style="2" customWidth="1"/>
    <col min="2820" max="2820" width="3.21875" style="2" customWidth="1"/>
    <col min="2821" max="2821" width="4.21875" style="2" customWidth="1"/>
    <col min="2822" max="2822" width="5.44140625" style="2" customWidth="1"/>
    <col min="2823" max="2823" width="7.77734375" style="2" customWidth="1"/>
    <col min="2824" max="2824" width="5.21875" style="2" customWidth="1"/>
    <col min="2825" max="2825" width="7" style="2" customWidth="1"/>
    <col min="2826" max="2826" width="5.21875" style="2" customWidth="1"/>
    <col min="2827" max="2827" width="7" style="2" customWidth="1"/>
    <col min="2828" max="2828" width="4.21875" style="2" customWidth="1"/>
    <col min="2829" max="2829" width="6.77734375" style="2" customWidth="1"/>
    <col min="2830" max="2830" width="5.44140625" style="2" customWidth="1"/>
    <col min="2831" max="2831" width="7" style="2" customWidth="1"/>
    <col min="2832" max="2832" width="5.21875" style="2" customWidth="1"/>
    <col min="2833" max="2833" width="4.77734375" style="2" customWidth="1"/>
    <col min="2834" max="2834" width="5.77734375" style="2" customWidth="1"/>
    <col min="2835" max="2835" width="7.44140625" style="2" customWidth="1"/>
    <col min="2836" max="2836" width="4" style="2" customWidth="1"/>
    <col min="2837" max="2837" width="6.44140625" style="2" customWidth="1"/>
    <col min="2838" max="2838" width="5.77734375" style="2" customWidth="1"/>
    <col min="2839" max="2839" width="6.77734375" style="2" customWidth="1"/>
    <col min="2840" max="2840" width="4.21875" style="2" customWidth="1"/>
    <col min="2841" max="2841" width="7.21875" style="2" customWidth="1"/>
    <col min="2842" max="3072" width="9.21875" style="2"/>
    <col min="3073" max="3073" width="4.5546875" style="2" customWidth="1"/>
    <col min="3074" max="3075" width="6.77734375" style="2" customWidth="1"/>
    <col min="3076" max="3076" width="3.21875" style="2" customWidth="1"/>
    <col min="3077" max="3077" width="4.21875" style="2" customWidth="1"/>
    <col min="3078" max="3078" width="5.44140625" style="2" customWidth="1"/>
    <col min="3079" max="3079" width="7.77734375" style="2" customWidth="1"/>
    <col min="3080" max="3080" width="5.21875" style="2" customWidth="1"/>
    <col min="3081" max="3081" width="7" style="2" customWidth="1"/>
    <col min="3082" max="3082" width="5.21875" style="2" customWidth="1"/>
    <col min="3083" max="3083" width="7" style="2" customWidth="1"/>
    <col min="3084" max="3084" width="4.21875" style="2" customWidth="1"/>
    <col min="3085" max="3085" width="6.77734375" style="2" customWidth="1"/>
    <col min="3086" max="3086" width="5.44140625" style="2" customWidth="1"/>
    <col min="3087" max="3087" width="7" style="2" customWidth="1"/>
    <col min="3088" max="3088" width="5.21875" style="2" customWidth="1"/>
    <col min="3089" max="3089" width="4.77734375" style="2" customWidth="1"/>
    <col min="3090" max="3090" width="5.77734375" style="2" customWidth="1"/>
    <col min="3091" max="3091" width="7.44140625" style="2" customWidth="1"/>
    <col min="3092" max="3092" width="4" style="2" customWidth="1"/>
    <col min="3093" max="3093" width="6.44140625" style="2" customWidth="1"/>
    <col min="3094" max="3094" width="5.77734375" style="2" customWidth="1"/>
    <col min="3095" max="3095" width="6.77734375" style="2" customWidth="1"/>
    <col min="3096" max="3096" width="4.21875" style="2" customWidth="1"/>
    <col min="3097" max="3097" width="7.21875" style="2" customWidth="1"/>
    <col min="3098" max="3328" width="9.21875" style="2"/>
    <col min="3329" max="3329" width="4.5546875" style="2" customWidth="1"/>
    <col min="3330" max="3331" width="6.77734375" style="2" customWidth="1"/>
    <col min="3332" max="3332" width="3.21875" style="2" customWidth="1"/>
    <col min="3333" max="3333" width="4.21875" style="2" customWidth="1"/>
    <col min="3334" max="3334" width="5.44140625" style="2" customWidth="1"/>
    <col min="3335" max="3335" width="7.77734375" style="2" customWidth="1"/>
    <col min="3336" max="3336" width="5.21875" style="2" customWidth="1"/>
    <col min="3337" max="3337" width="7" style="2" customWidth="1"/>
    <col min="3338" max="3338" width="5.21875" style="2" customWidth="1"/>
    <col min="3339" max="3339" width="7" style="2" customWidth="1"/>
    <col min="3340" max="3340" width="4.21875" style="2" customWidth="1"/>
    <col min="3341" max="3341" width="6.77734375" style="2" customWidth="1"/>
    <col min="3342" max="3342" width="5.44140625" style="2" customWidth="1"/>
    <col min="3343" max="3343" width="7" style="2" customWidth="1"/>
    <col min="3344" max="3344" width="5.21875" style="2" customWidth="1"/>
    <col min="3345" max="3345" width="4.77734375" style="2" customWidth="1"/>
    <col min="3346" max="3346" width="5.77734375" style="2" customWidth="1"/>
    <col min="3347" max="3347" width="7.44140625" style="2" customWidth="1"/>
    <col min="3348" max="3348" width="4" style="2" customWidth="1"/>
    <col min="3349" max="3349" width="6.44140625" style="2" customWidth="1"/>
    <col min="3350" max="3350" width="5.77734375" style="2" customWidth="1"/>
    <col min="3351" max="3351" width="6.77734375" style="2" customWidth="1"/>
    <col min="3352" max="3352" width="4.21875" style="2" customWidth="1"/>
    <col min="3353" max="3353" width="7.21875" style="2" customWidth="1"/>
    <col min="3354" max="3584" width="9.21875" style="2"/>
    <col min="3585" max="3585" width="4.5546875" style="2" customWidth="1"/>
    <col min="3586" max="3587" width="6.77734375" style="2" customWidth="1"/>
    <col min="3588" max="3588" width="3.21875" style="2" customWidth="1"/>
    <col min="3589" max="3589" width="4.21875" style="2" customWidth="1"/>
    <col min="3590" max="3590" width="5.44140625" style="2" customWidth="1"/>
    <col min="3591" max="3591" width="7.77734375" style="2" customWidth="1"/>
    <col min="3592" max="3592" width="5.21875" style="2" customWidth="1"/>
    <col min="3593" max="3593" width="7" style="2" customWidth="1"/>
    <col min="3594" max="3594" width="5.21875" style="2" customWidth="1"/>
    <col min="3595" max="3595" width="7" style="2" customWidth="1"/>
    <col min="3596" max="3596" width="4.21875" style="2" customWidth="1"/>
    <col min="3597" max="3597" width="6.77734375" style="2" customWidth="1"/>
    <col min="3598" max="3598" width="5.44140625" style="2" customWidth="1"/>
    <col min="3599" max="3599" width="7" style="2" customWidth="1"/>
    <col min="3600" max="3600" width="5.21875" style="2" customWidth="1"/>
    <col min="3601" max="3601" width="4.77734375" style="2" customWidth="1"/>
    <col min="3602" max="3602" width="5.77734375" style="2" customWidth="1"/>
    <col min="3603" max="3603" width="7.44140625" style="2" customWidth="1"/>
    <col min="3604" max="3604" width="4" style="2" customWidth="1"/>
    <col min="3605" max="3605" width="6.44140625" style="2" customWidth="1"/>
    <col min="3606" max="3606" width="5.77734375" style="2" customWidth="1"/>
    <col min="3607" max="3607" width="6.77734375" style="2" customWidth="1"/>
    <col min="3608" max="3608" width="4.21875" style="2" customWidth="1"/>
    <col min="3609" max="3609" width="7.21875" style="2" customWidth="1"/>
    <col min="3610" max="3840" width="9.21875" style="2"/>
    <col min="3841" max="3841" width="4.5546875" style="2" customWidth="1"/>
    <col min="3842" max="3843" width="6.77734375" style="2" customWidth="1"/>
    <col min="3844" max="3844" width="3.21875" style="2" customWidth="1"/>
    <col min="3845" max="3845" width="4.21875" style="2" customWidth="1"/>
    <col min="3846" max="3846" width="5.44140625" style="2" customWidth="1"/>
    <col min="3847" max="3847" width="7.77734375" style="2" customWidth="1"/>
    <col min="3848" max="3848" width="5.21875" style="2" customWidth="1"/>
    <col min="3849" max="3849" width="7" style="2" customWidth="1"/>
    <col min="3850" max="3850" width="5.21875" style="2" customWidth="1"/>
    <col min="3851" max="3851" width="7" style="2" customWidth="1"/>
    <col min="3852" max="3852" width="4.21875" style="2" customWidth="1"/>
    <col min="3853" max="3853" width="6.77734375" style="2" customWidth="1"/>
    <col min="3854" max="3854" width="5.44140625" style="2" customWidth="1"/>
    <col min="3855" max="3855" width="7" style="2" customWidth="1"/>
    <col min="3856" max="3856" width="5.21875" style="2" customWidth="1"/>
    <col min="3857" max="3857" width="4.77734375" style="2" customWidth="1"/>
    <col min="3858" max="3858" width="5.77734375" style="2" customWidth="1"/>
    <col min="3859" max="3859" width="7.44140625" style="2" customWidth="1"/>
    <col min="3860" max="3860" width="4" style="2" customWidth="1"/>
    <col min="3861" max="3861" width="6.44140625" style="2" customWidth="1"/>
    <col min="3862" max="3862" width="5.77734375" style="2" customWidth="1"/>
    <col min="3863" max="3863" width="6.77734375" style="2" customWidth="1"/>
    <col min="3864" max="3864" width="4.21875" style="2" customWidth="1"/>
    <col min="3865" max="3865" width="7.21875" style="2" customWidth="1"/>
    <col min="3866" max="4096" width="9.21875" style="2"/>
    <col min="4097" max="4097" width="4.5546875" style="2" customWidth="1"/>
    <col min="4098" max="4099" width="6.77734375" style="2" customWidth="1"/>
    <col min="4100" max="4100" width="3.21875" style="2" customWidth="1"/>
    <col min="4101" max="4101" width="4.21875" style="2" customWidth="1"/>
    <col min="4102" max="4102" width="5.44140625" style="2" customWidth="1"/>
    <col min="4103" max="4103" width="7.77734375" style="2" customWidth="1"/>
    <col min="4104" max="4104" width="5.21875" style="2" customWidth="1"/>
    <col min="4105" max="4105" width="7" style="2" customWidth="1"/>
    <col min="4106" max="4106" width="5.21875" style="2" customWidth="1"/>
    <col min="4107" max="4107" width="7" style="2" customWidth="1"/>
    <col min="4108" max="4108" width="4.21875" style="2" customWidth="1"/>
    <col min="4109" max="4109" width="6.77734375" style="2" customWidth="1"/>
    <col min="4110" max="4110" width="5.44140625" style="2" customWidth="1"/>
    <col min="4111" max="4111" width="7" style="2" customWidth="1"/>
    <col min="4112" max="4112" width="5.21875" style="2" customWidth="1"/>
    <col min="4113" max="4113" width="4.77734375" style="2" customWidth="1"/>
    <col min="4114" max="4114" width="5.77734375" style="2" customWidth="1"/>
    <col min="4115" max="4115" width="7.44140625" style="2" customWidth="1"/>
    <col min="4116" max="4116" width="4" style="2" customWidth="1"/>
    <col min="4117" max="4117" width="6.44140625" style="2" customWidth="1"/>
    <col min="4118" max="4118" width="5.77734375" style="2" customWidth="1"/>
    <col min="4119" max="4119" width="6.77734375" style="2" customWidth="1"/>
    <col min="4120" max="4120" width="4.21875" style="2" customWidth="1"/>
    <col min="4121" max="4121" width="7.21875" style="2" customWidth="1"/>
    <col min="4122" max="4352" width="9.21875" style="2"/>
    <col min="4353" max="4353" width="4.5546875" style="2" customWidth="1"/>
    <col min="4354" max="4355" width="6.77734375" style="2" customWidth="1"/>
    <col min="4356" max="4356" width="3.21875" style="2" customWidth="1"/>
    <col min="4357" max="4357" width="4.21875" style="2" customWidth="1"/>
    <col min="4358" max="4358" width="5.44140625" style="2" customWidth="1"/>
    <col min="4359" max="4359" width="7.77734375" style="2" customWidth="1"/>
    <col min="4360" max="4360" width="5.21875" style="2" customWidth="1"/>
    <col min="4361" max="4361" width="7" style="2" customWidth="1"/>
    <col min="4362" max="4362" width="5.21875" style="2" customWidth="1"/>
    <col min="4363" max="4363" width="7" style="2" customWidth="1"/>
    <col min="4364" max="4364" width="4.21875" style="2" customWidth="1"/>
    <col min="4365" max="4365" width="6.77734375" style="2" customWidth="1"/>
    <col min="4366" max="4366" width="5.44140625" style="2" customWidth="1"/>
    <col min="4367" max="4367" width="7" style="2" customWidth="1"/>
    <col min="4368" max="4368" width="5.21875" style="2" customWidth="1"/>
    <col min="4369" max="4369" width="4.77734375" style="2" customWidth="1"/>
    <col min="4370" max="4370" width="5.77734375" style="2" customWidth="1"/>
    <col min="4371" max="4371" width="7.44140625" style="2" customWidth="1"/>
    <col min="4372" max="4372" width="4" style="2" customWidth="1"/>
    <col min="4373" max="4373" width="6.44140625" style="2" customWidth="1"/>
    <col min="4374" max="4374" width="5.77734375" style="2" customWidth="1"/>
    <col min="4375" max="4375" width="6.77734375" style="2" customWidth="1"/>
    <col min="4376" max="4376" width="4.21875" style="2" customWidth="1"/>
    <col min="4377" max="4377" width="7.21875" style="2" customWidth="1"/>
    <col min="4378" max="4608" width="9.21875" style="2"/>
    <col min="4609" max="4609" width="4.5546875" style="2" customWidth="1"/>
    <col min="4610" max="4611" width="6.77734375" style="2" customWidth="1"/>
    <col min="4612" max="4612" width="3.21875" style="2" customWidth="1"/>
    <col min="4613" max="4613" width="4.21875" style="2" customWidth="1"/>
    <col min="4614" max="4614" width="5.44140625" style="2" customWidth="1"/>
    <col min="4615" max="4615" width="7.77734375" style="2" customWidth="1"/>
    <col min="4616" max="4616" width="5.21875" style="2" customWidth="1"/>
    <col min="4617" max="4617" width="7" style="2" customWidth="1"/>
    <col min="4618" max="4618" width="5.21875" style="2" customWidth="1"/>
    <col min="4619" max="4619" width="7" style="2" customWidth="1"/>
    <col min="4620" max="4620" width="4.21875" style="2" customWidth="1"/>
    <col min="4621" max="4621" width="6.77734375" style="2" customWidth="1"/>
    <col min="4622" max="4622" width="5.44140625" style="2" customWidth="1"/>
    <col min="4623" max="4623" width="7" style="2" customWidth="1"/>
    <col min="4624" max="4624" width="5.21875" style="2" customWidth="1"/>
    <col min="4625" max="4625" width="4.77734375" style="2" customWidth="1"/>
    <col min="4626" max="4626" width="5.77734375" style="2" customWidth="1"/>
    <col min="4627" max="4627" width="7.44140625" style="2" customWidth="1"/>
    <col min="4628" max="4628" width="4" style="2" customWidth="1"/>
    <col min="4629" max="4629" width="6.44140625" style="2" customWidth="1"/>
    <col min="4630" max="4630" width="5.77734375" style="2" customWidth="1"/>
    <col min="4631" max="4631" width="6.77734375" style="2" customWidth="1"/>
    <col min="4632" max="4632" width="4.21875" style="2" customWidth="1"/>
    <col min="4633" max="4633" width="7.21875" style="2" customWidth="1"/>
    <col min="4634" max="4864" width="9.21875" style="2"/>
    <col min="4865" max="4865" width="4.5546875" style="2" customWidth="1"/>
    <col min="4866" max="4867" width="6.77734375" style="2" customWidth="1"/>
    <col min="4868" max="4868" width="3.21875" style="2" customWidth="1"/>
    <col min="4869" max="4869" width="4.21875" style="2" customWidth="1"/>
    <col min="4870" max="4870" width="5.44140625" style="2" customWidth="1"/>
    <col min="4871" max="4871" width="7.77734375" style="2" customWidth="1"/>
    <col min="4872" max="4872" width="5.21875" style="2" customWidth="1"/>
    <col min="4873" max="4873" width="7" style="2" customWidth="1"/>
    <col min="4874" max="4874" width="5.21875" style="2" customWidth="1"/>
    <col min="4875" max="4875" width="7" style="2" customWidth="1"/>
    <col min="4876" max="4876" width="4.21875" style="2" customWidth="1"/>
    <col min="4877" max="4877" width="6.77734375" style="2" customWidth="1"/>
    <col min="4878" max="4878" width="5.44140625" style="2" customWidth="1"/>
    <col min="4879" max="4879" width="7" style="2" customWidth="1"/>
    <col min="4880" max="4880" width="5.21875" style="2" customWidth="1"/>
    <col min="4881" max="4881" width="4.77734375" style="2" customWidth="1"/>
    <col min="4882" max="4882" width="5.77734375" style="2" customWidth="1"/>
    <col min="4883" max="4883" width="7.44140625" style="2" customWidth="1"/>
    <col min="4884" max="4884" width="4" style="2" customWidth="1"/>
    <col min="4885" max="4885" width="6.44140625" style="2" customWidth="1"/>
    <col min="4886" max="4886" width="5.77734375" style="2" customWidth="1"/>
    <col min="4887" max="4887" width="6.77734375" style="2" customWidth="1"/>
    <col min="4888" max="4888" width="4.21875" style="2" customWidth="1"/>
    <col min="4889" max="4889" width="7.21875" style="2" customWidth="1"/>
    <col min="4890" max="5120" width="9.21875" style="2"/>
    <col min="5121" max="5121" width="4.5546875" style="2" customWidth="1"/>
    <col min="5122" max="5123" width="6.77734375" style="2" customWidth="1"/>
    <col min="5124" max="5124" width="3.21875" style="2" customWidth="1"/>
    <col min="5125" max="5125" width="4.21875" style="2" customWidth="1"/>
    <col min="5126" max="5126" width="5.44140625" style="2" customWidth="1"/>
    <col min="5127" max="5127" width="7.77734375" style="2" customWidth="1"/>
    <col min="5128" max="5128" width="5.21875" style="2" customWidth="1"/>
    <col min="5129" max="5129" width="7" style="2" customWidth="1"/>
    <col min="5130" max="5130" width="5.21875" style="2" customWidth="1"/>
    <col min="5131" max="5131" width="7" style="2" customWidth="1"/>
    <col min="5132" max="5132" width="4.21875" style="2" customWidth="1"/>
    <col min="5133" max="5133" width="6.77734375" style="2" customWidth="1"/>
    <col min="5134" max="5134" width="5.44140625" style="2" customWidth="1"/>
    <col min="5135" max="5135" width="7" style="2" customWidth="1"/>
    <col min="5136" max="5136" width="5.21875" style="2" customWidth="1"/>
    <col min="5137" max="5137" width="4.77734375" style="2" customWidth="1"/>
    <col min="5138" max="5138" width="5.77734375" style="2" customWidth="1"/>
    <col min="5139" max="5139" width="7.44140625" style="2" customWidth="1"/>
    <col min="5140" max="5140" width="4" style="2" customWidth="1"/>
    <col min="5141" max="5141" width="6.44140625" style="2" customWidth="1"/>
    <col min="5142" max="5142" width="5.77734375" style="2" customWidth="1"/>
    <col min="5143" max="5143" width="6.77734375" style="2" customWidth="1"/>
    <col min="5144" max="5144" width="4.21875" style="2" customWidth="1"/>
    <col min="5145" max="5145" width="7.21875" style="2" customWidth="1"/>
    <col min="5146" max="5376" width="9.21875" style="2"/>
    <col min="5377" max="5377" width="4.5546875" style="2" customWidth="1"/>
    <col min="5378" max="5379" width="6.77734375" style="2" customWidth="1"/>
    <col min="5380" max="5380" width="3.21875" style="2" customWidth="1"/>
    <col min="5381" max="5381" width="4.21875" style="2" customWidth="1"/>
    <col min="5382" max="5382" width="5.44140625" style="2" customWidth="1"/>
    <col min="5383" max="5383" width="7.77734375" style="2" customWidth="1"/>
    <col min="5384" max="5384" width="5.21875" style="2" customWidth="1"/>
    <col min="5385" max="5385" width="7" style="2" customWidth="1"/>
    <col min="5386" max="5386" width="5.21875" style="2" customWidth="1"/>
    <col min="5387" max="5387" width="7" style="2" customWidth="1"/>
    <col min="5388" max="5388" width="4.21875" style="2" customWidth="1"/>
    <col min="5389" max="5389" width="6.77734375" style="2" customWidth="1"/>
    <col min="5390" max="5390" width="5.44140625" style="2" customWidth="1"/>
    <col min="5391" max="5391" width="7" style="2" customWidth="1"/>
    <col min="5392" max="5392" width="5.21875" style="2" customWidth="1"/>
    <col min="5393" max="5393" width="4.77734375" style="2" customWidth="1"/>
    <col min="5394" max="5394" width="5.77734375" style="2" customWidth="1"/>
    <col min="5395" max="5395" width="7.44140625" style="2" customWidth="1"/>
    <col min="5396" max="5396" width="4" style="2" customWidth="1"/>
    <col min="5397" max="5397" width="6.44140625" style="2" customWidth="1"/>
    <col min="5398" max="5398" width="5.77734375" style="2" customWidth="1"/>
    <col min="5399" max="5399" width="6.77734375" style="2" customWidth="1"/>
    <col min="5400" max="5400" width="4.21875" style="2" customWidth="1"/>
    <col min="5401" max="5401" width="7.21875" style="2" customWidth="1"/>
    <col min="5402" max="5632" width="9.21875" style="2"/>
    <col min="5633" max="5633" width="4.5546875" style="2" customWidth="1"/>
    <col min="5634" max="5635" width="6.77734375" style="2" customWidth="1"/>
    <col min="5636" max="5636" width="3.21875" style="2" customWidth="1"/>
    <col min="5637" max="5637" width="4.21875" style="2" customWidth="1"/>
    <col min="5638" max="5638" width="5.44140625" style="2" customWidth="1"/>
    <col min="5639" max="5639" width="7.77734375" style="2" customWidth="1"/>
    <col min="5640" max="5640" width="5.21875" style="2" customWidth="1"/>
    <col min="5641" max="5641" width="7" style="2" customWidth="1"/>
    <col min="5642" max="5642" width="5.21875" style="2" customWidth="1"/>
    <col min="5643" max="5643" width="7" style="2" customWidth="1"/>
    <col min="5644" max="5644" width="4.21875" style="2" customWidth="1"/>
    <col min="5645" max="5645" width="6.77734375" style="2" customWidth="1"/>
    <col min="5646" max="5646" width="5.44140625" style="2" customWidth="1"/>
    <col min="5647" max="5647" width="7" style="2" customWidth="1"/>
    <col min="5648" max="5648" width="5.21875" style="2" customWidth="1"/>
    <col min="5649" max="5649" width="4.77734375" style="2" customWidth="1"/>
    <col min="5650" max="5650" width="5.77734375" style="2" customWidth="1"/>
    <col min="5651" max="5651" width="7.44140625" style="2" customWidth="1"/>
    <col min="5652" max="5652" width="4" style="2" customWidth="1"/>
    <col min="5653" max="5653" width="6.44140625" style="2" customWidth="1"/>
    <col min="5654" max="5654" width="5.77734375" style="2" customWidth="1"/>
    <col min="5655" max="5655" width="6.77734375" style="2" customWidth="1"/>
    <col min="5656" max="5656" width="4.21875" style="2" customWidth="1"/>
    <col min="5657" max="5657" width="7.21875" style="2" customWidth="1"/>
    <col min="5658" max="5888" width="9.21875" style="2"/>
    <col min="5889" max="5889" width="4.5546875" style="2" customWidth="1"/>
    <col min="5890" max="5891" width="6.77734375" style="2" customWidth="1"/>
    <col min="5892" max="5892" width="3.21875" style="2" customWidth="1"/>
    <col min="5893" max="5893" width="4.21875" style="2" customWidth="1"/>
    <col min="5894" max="5894" width="5.44140625" style="2" customWidth="1"/>
    <col min="5895" max="5895" width="7.77734375" style="2" customWidth="1"/>
    <col min="5896" max="5896" width="5.21875" style="2" customWidth="1"/>
    <col min="5897" max="5897" width="7" style="2" customWidth="1"/>
    <col min="5898" max="5898" width="5.21875" style="2" customWidth="1"/>
    <col min="5899" max="5899" width="7" style="2" customWidth="1"/>
    <col min="5900" max="5900" width="4.21875" style="2" customWidth="1"/>
    <col min="5901" max="5901" width="6.77734375" style="2" customWidth="1"/>
    <col min="5902" max="5902" width="5.44140625" style="2" customWidth="1"/>
    <col min="5903" max="5903" width="7" style="2" customWidth="1"/>
    <col min="5904" max="5904" width="5.21875" style="2" customWidth="1"/>
    <col min="5905" max="5905" width="4.77734375" style="2" customWidth="1"/>
    <col min="5906" max="5906" width="5.77734375" style="2" customWidth="1"/>
    <col min="5907" max="5907" width="7.44140625" style="2" customWidth="1"/>
    <col min="5908" max="5908" width="4" style="2" customWidth="1"/>
    <col min="5909" max="5909" width="6.44140625" style="2" customWidth="1"/>
    <col min="5910" max="5910" width="5.77734375" style="2" customWidth="1"/>
    <col min="5911" max="5911" width="6.77734375" style="2" customWidth="1"/>
    <col min="5912" max="5912" width="4.21875" style="2" customWidth="1"/>
    <col min="5913" max="5913" width="7.21875" style="2" customWidth="1"/>
    <col min="5914" max="6144" width="9.21875" style="2"/>
    <col min="6145" max="6145" width="4.5546875" style="2" customWidth="1"/>
    <col min="6146" max="6147" width="6.77734375" style="2" customWidth="1"/>
    <col min="6148" max="6148" width="3.21875" style="2" customWidth="1"/>
    <col min="6149" max="6149" width="4.21875" style="2" customWidth="1"/>
    <col min="6150" max="6150" width="5.44140625" style="2" customWidth="1"/>
    <col min="6151" max="6151" width="7.77734375" style="2" customWidth="1"/>
    <col min="6152" max="6152" width="5.21875" style="2" customWidth="1"/>
    <col min="6153" max="6153" width="7" style="2" customWidth="1"/>
    <col min="6154" max="6154" width="5.21875" style="2" customWidth="1"/>
    <col min="6155" max="6155" width="7" style="2" customWidth="1"/>
    <col min="6156" max="6156" width="4.21875" style="2" customWidth="1"/>
    <col min="6157" max="6157" width="6.77734375" style="2" customWidth="1"/>
    <col min="6158" max="6158" width="5.44140625" style="2" customWidth="1"/>
    <col min="6159" max="6159" width="7" style="2" customWidth="1"/>
    <col min="6160" max="6160" width="5.21875" style="2" customWidth="1"/>
    <col min="6161" max="6161" width="4.77734375" style="2" customWidth="1"/>
    <col min="6162" max="6162" width="5.77734375" style="2" customWidth="1"/>
    <col min="6163" max="6163" width="7.44140625" style="2" customWidth="1"/>
    <col min="6164" max="6164" width="4" style="2" customWidth="1"/>
    <col min="6165" max="6165" width="6.44140625" style="2" customWidth="1"/>
    <col min="6166" max="6166" width="5.77734375" style="2" customWidth="1"/>
    <col min="6167" max="6167" width="6.77734375" style="2" customWidth="1"/>
    <col min="6168" max="6168" width="4.21875" style="2" customWidth="1"/>
    <col min="6169" max="6169" width="7.21875" style="2" customWidth="1"/>
    <col min="6170" max="6400" width="9.21875" style="2"/>
    <col min="6401" max="6401" width="4.5546875" style="2" customWidth="1"/>
    <col min="6402" max="6403" width="6.77734375" style="2" customWidth="1"/>
    <col min="6404" max="6404" width="3.21875" style="2" customWidth="1"/>
    <col min="6405" max="6405" width="4.21875" style="2" customWidth="1"/>
    <col min="6406" max="6406" width="5.44140625" style="2" customWidth="1"/>
    <col min="6407" max="6407" width="7.77734375" style="2" customWidth="1"/>
    <col min="6408" max="6408" width="5.21875" style="2" customWidth="1"/>
    <col min="6409" max="6409" width="7" style="2" customWidth="1"/>
    <col min="6410" max="6410" width="5.21875" style="2" customWidth="1"/>
    <col min="6411" max="6411" width="7" style="2" customWidth="1"/>
    <col min="6412" max="6412" width="4.21875" style="2" customWidth="1"/>
    <col min="6413" max="6413" width="6.77734375" style="2" customWidth="1"/>
    <col min="6414" max="6414" width="5.44140625" style="2" customWidth="1"/>
    <col min="6415" max="6415" width="7" style="2" customWidth="1"/>
    <col min="6416" max="6416" width="5.21875" style="2" customWidth="1"/>
    <col min="6417" max="6417" width="4.77734375" style="2" customWidth="1"/>
    <col min="6418" max="6418" width="5.77734375" style="2" customWidth="1"/>
    <col min="6419" max="6419" width="7.44140625" style="2" customWidth="1"/>
    <col min="6420" max="6420" width="4" style="2" customWidth="1"/>
    <col min="6421" max="6421" width="6.44140625" style="2" customWidth="1"/>
    <col min="6422" max="6422" width="5.77734375" style="2" customWidth="1"/>
    <col min="6423" max="6423" width="6.77734375" style="2" customWidth="1"/>
    <col min="6424" max="6424" width="4.21875" style="2" customWidth="1"/>
    <col min="6425" max="6425" width="7.21875" style="2" customWidth="1"/>
    <col min="6426" max="6656" width="9.21875" style="2"/>
    <col min="6657" max="6657" width="4.5546875" style="2" customWidth="1"/>
    <col min="6658" max="6659" width="6.77734375" style="2" customWidth="1"/>
    <col min="6660" max="6660" width="3.21875" style="2" customWidth="1"/>
    <col min="6661" max="6661" width="4.21875" style="2" customWidth="1"/>
    <col min="6662" max="6662" width="5.44140625" style="2" customWidth="1"/>
    <col min="6663" max="6663" width="7.77734375" style="2" customWidth="1"/>
    <col min="6664" max="6664" width="5.21875" style="2" customWidth="1"/>
    <col min="6665" max="6665" width="7" style="2" customWidth="1"/>
    <col min="6666" max="6666" width="5.21875" style="2" customWidth="1"/>
    <col min="6667" max="6667" width="7" style="2" customWidth="1"/>
    <col min="6668" max="6668" width="4.21875" style="2" customWidth="1"/>
    <col min="6669" max="6669" width="6.77734375" style="2" customWidth="1"/>
    <col min="6670" max="6670" width="5.44140625" style="2" customWidth="1"/>
    <col min="6671" max="6671" width="7" style="2" customWidth="1"/>
    <col min="6672" max="6672" width="5.21875" style="2" customWidth="1"/>
    <col min="6673" max="6673" width="4.77734375" style="2" customWidth="1"/>
    <col min="6674" max="6674" width="5.77734375" style="2" customWidth="1"/>
    <col min="6675" max="6675" width="7.44140625" style="2" customWidth="1"/>
    <col min="6676" max="6676" width="4" style="2" customWidth="1"/>
    <col min="6677" max="6677" width="6.44140625" style="2" customWidth="1"/>
    <col min="6678" max="6678" width="5.77734375" style="2" customWidth="1"/>
    <col min="6679" max="6679" width="6.77734375" style="2" customWidth="1"/>
    <col min="6680" max="6680" width="4.21875" style="2" customWidth="1"/>
    <col min="6681" max="6681" width="7.21875" style="2" customWidth="1"/>
    <col min="6682" max="6912" width="9.21875" style="2"/>
    <col min="6913" max="6913" width="4.5546875" style="2" customWidth="1"/>
    <col min="6914" max="6915" width="6.77734375" style="2" customWidth="1"/>
    <col min="6916" max="6916" width="3.21875" style="2" customWidth="1"/>
    <col min="6917" max="6917" width="4.21875" style="2" customWidth="1"/>
    <col min="6918" max="6918" width="5.44140625" style="2" customWidth="1"/>
    <col min="6919" max="6919" width="7.77734375" style="2" customWidth="1"/>
    <col min="6920" max="6920" width="5.21875" style="2" customWidth="1"/>
    <col min="6921" max="6921" width="7" style="2" customWidth="1"/>
    <col min="6922" max="6922" width="5.21875" style="2" customWidth="1"/>
    <col min="6923" max="6923" width="7" style="2" customWidth="1"/>
    <col min="6924" max="6924" width="4.21875" style="2" customWidth="1"/>
    <col min="6925" max="6925" width="6.77734375" style="2" customWidth="1"/>
    <col min="6926" max="6926" width="5.44140625" style="2" customWidth="1"/>
    <col min="6927" max="6927" width="7" style="2" customWidth="1"/>
    <col min="6928" max="6928" width="5.21875" style="2" customWidth="1"/>
    <col min="6929" max="6929" width="4.77734375" style="2" customWidth="1"/>
    <col min="6930" max="6930" width="5.77734375" style="2" customWidth="1"/>
    <col min="6931" max="6931" width="7.44140625" style="2" customWidth="1"/>
    <col min="6932" max="6932" width="4" style="2" customWidth="1"/>
    <col min="6933" max="6933" width="6.44140625" style="2" customWidth="1"/>
    <col min="6934" max="6934" width="5.77734375" style="2" customWidth="1"/>
    <col min="6935" max="6935" width="6.77734375" style="2" customWidth="1"/>
    <col min="6936" max="6936" width="4.21875" style="2" customWidth="1"/>
    <col min="6937" max="6937" width="7.21875" style="2" customWidth="1"/>
    <col min="6938" max="7168" width="9.21875" style="2"/>
    <col min="7169" max="7169" width="4.5546875" style="2" customWidth="1"/>
    <col min="7170" max="7171" width="6.77734375" style="2" customWidth="1"/>
    <col min="7172" max="7172" width="3.21875" style="2" customWidth="1"/>
    <col min="7173" max="7173" width="4.21875" style="2" customWidth="1"/>
    <col min="7174" max="7174" width="5.44140625" style="2" customWidth="1"/>
    <col min="7175" max="7175" width="7.77734375" style="2" customWidth="1"/>
    <col min="7176" max="7176" width="5.21875" style="2" customWidth="1"/>
    <col min="7177" max="7177" width="7" style="2" customWidth="1"/>
    <col min="7178" max="7178" width="5.21875" style="2" customWidth="1"/>
    <col min="7179" max="7179" width="7" style="2" customWidth="1"/>
    <col min="7180" max="7180" width="4.21875" style="2" customWidth="1"/>
    <col min="7181" max="7181" width="6.77734375" style="2" customWidth="1"/>
    <col min="7182" max="7182" width="5.44140625" style="2" customWidth="1"/>
    <col min="7183" max="7183" width="7" style="2" customWidth="1"/>
    <col min="7184" max="7184" width="5.21875" style="2" customWidth="1"/>
    <col min="7185" max="7185" width="4.77734375" style="2" customWidth="1"/>
    <col min="7186" max="7186" width="5.77734375" style="2" customWidth="1"/>
    <col min="7187" max="7187" width="7.44140625" style="2" customWidth="1"/>
    <col min="7188" max="7188" width="4" style="2" customWidth="1"/>
    <col min="7189" max="7189" width="6.44140625" style="2" customWidth="1"/>
    <col min="7190" max="7190" width="5.77734375" style="2" customWidth="1"/>
    <col min="7191" max="7191" width="6.77734375" style="2" customWidth="1"/>
    <col min="7192" max="7192" width="4.21875" style="2" customWidth="1"/>
    <col min="7193" max="7193" width="7.21875" style="2" customWidth="1"/>
    <col min="7194" max="7424" width="9.21875" style="2"/>
    <col min="7425" max="7425" width="4.5546875" style="2" customWidth="1"/>
    <col min="7426" max="7427" width="6.77734375" style="2" customWidth="1"/>
    <col min="7428" max="7428" width="3.21875" style="2" customWidth="1"/>
    <col min="7429" max="7429" width="4.21875" style="2" customWidth="1"/>
    <col min="7430" max="7430" width="5.44140625" style="2" customWidth="1"/>
    <col min="7431" max="7431" width="7.77734375" style="2" customWidth="1"/>
    <col min="7432" max="7432" width="5.21875" style="2" customWidth="1"/>
    <col min="7433" max="7433" width="7" style="2" customWidth="1"/>
    <col min="7434" max="7434" width="5.21875" style="2" customWidth="1"/>
    <col min="7435" max="7435" width="7" style="2" customWidth="1"/>
    <col min="7436" max="7436" width="4.21875" style="2" customWidth="1"/>
    <col min="7437" max="7437" width="6.77734375" style="2" customWidth="1"/>
    <col min="7438" max="7438" width="5.44140625" style="2" customWidth="1"/>
    <col min="7439" max="7439" width="7" style="2" customWidth="1"/>
    <col min="7440" max="7440" width="5.21875" style="2" customWidth="1"/>
    <col min="7441" max="7441" width="4.77734375" style="2" customWidth="1"/>
    <col min="7442" max="7442" width="5.77734375" style="2" customWidth="1"/>
    <col min="7443" max="7443" width="7.44140625" style="2" customWidth="1"/>
    <col min="7444" max="7444" width="4" style="2" customWidth="1"/>
    <col min="7445" max="7445" width="6.44140625" style="2" customWidth="1"/>
    <col min="7446" max="7446" width="5.77734375" style="2" customWidth="1"/>
    <col min="7447" max="7447" width="6.77734375" style="2" customWidth="1"/>
    <col min="7448" max="7448" width="4.21875" style="2" customWidth="1"/>
    <col min="7449" max="7449" width="7.21875" style="2" customWidth="1"/>
    <col min="7450" max="7680" width="9.21875" style="2"/>
    <col min="7681" max="7681" width="4.5546875" style="2" customWidth="1"/>
    <col min="7682" max="7683" width="6.77734375" style="2" customWidth="1"/>
    <col min="7684" max="7684" width="3.21875" style="2" customWidth="1"/>
    <col min="7685" max="7685" width="4.21875" style="2" customWidth="1"/>
    <col min="7686" max="7686" width="5.44140625" style="2" customWidth="1"/>
    <col min="7687" max="7687" width="7.77734375" style="2" customWidth="1"/>
    <col min="7688" max="7688" width="5.21875" style="2" customWidth="1"/>
    <col min="7689" max="7689" width="7" style="2" customWidth="1"/>
    <col min="7690" max="7690" width="5.21875" style="2" customWidth="1"/>
    <col min="7691" max="7691" width="7" style="2" customWidth="1"/>
    <col min="7692" max="7692" width="4.21875" style="2" customWidth="1"/>
    <col min="7693" max="7693" width="6.77734375" style="2" customWidth="1"/>
    <col min="7694" max="7694" width="5.44140625" style="2" customWidth="1"/>
    <col min="7695" max="7695" width="7" style="2" customWidth="1"/>
    <col min="7696" max="7696" width="5.21875" style="2" customWidth="1"/>
    <col min="7697" max="7697" width="4.77734375" style="2" customWidth="1"/>
    <col min="7698" max="7698" width="5.77734375" style="2" customWidth="1"/>
    <col min="7699" max="7699" width="7.44140625" style="2" customWidth="1"/>
    <col min="7700" max="7700" width="4" style="2" customWidth="1"/>
    <col min="7701" max="7701" width="6.44140625" style="2" customWidth="1"/>
    <col min="7702" max="7702" width="5.77734375" style="2" customWidth="1"/>
    <col min="7703" max="7703" width="6.77734375" style="2" customWidth="1"/>
    <col min="7704" max="7704" width="4.21875" style="2" customWidth="1"/>
    <col min="7705" max="7705" width="7.21875" style="2" customWidth="1"/>
    <col min="7706" max="7936" width="9.21875" style="2"/>
    <col min="7937" max="7937" width="4.5546875" style="2" customWidth="1"/>
    <col min="7938" max="7939" width="6.77734375" style="2" customWidth="1"/>
    <col min="7940" max="7940" width="3.21875" style="2" customWidth="1"/>
    <col min="7941" max="7941" width="4.21875" style="2" customWidth="1"/>
    <col min="7942" max="7942" width="5.44140625" style="2" customWidth="1"/>
    <col min="7943" max="7943" width="7.77734375" style="2" customWidth="1"/>
    <col min="7944" max="7944" width="5.21875" style="2" customWidth="1"/>
    <col min="7945" max="7945" width="7" style="2" customWidth="1"/>
    <col min="7946" max="7946" width="5.21875" style="2" customWidth="1"/>
    <col min="7947" max="7947" width="7" style="2" customWidth="1"/>
    <col min="7948" max="7948" width="4.21875" style="2" customWidth="1"/>
    <col min="7949" max="7949" width="6.77734375" style="2" customWidth="1"/>
    <col min="7950" max="7950" width="5.44140625" style="2" customWidth="1"/>
    <col min="7951" max="7951" width="7" style="2" customWidth="1"/>
    <col min="7952" max="7952" width="5.21875" style="2" customWidth="1"/>
    <col min="7953" max="7953" width="4.77734375" style="2" customWidth="1"/>
    <col min="7954" max="7954" width="5.77734375" style="2" customWidth="1"/>
    <col min="7955" max="7955" width="7.44140625" style="2" customWidth="1"/>
    <col min="7956" max="7956" width="4" style="2" customWidth="1"/>
    <col min="7957" max="7957" width="6.44140625" style="2" customWidth="1"/>
    <col min="7958" max="7958" width="5.77734375" style="2" customWidth="1"/>
    <col min="7959" max="7959" width="6.77734375" style="2" customWidth="1"/>
    <col min="7960" max="7960" width="4.21875" style="2" customWidth="1"/>
    <col min="7961" max="7961" width="7.21875" style="2" customWidth="1"/>
    <col min="7962" max="8192" width="9.21875" style="2"/>
    <col min="8193" max="8193" width="4.5546875" style="2" customWidth="1"/>
    <col min="8194" max="8195" width="6.77734375" style="2" customWidth="1"/>
    <col min="8196" max="8196" width="3.21875" style="2" customWidth="1"/>
    <col min="8197" max="8197" width="4.21875" style="2" customWidth="1"/>
    <col min="8198" max="8198" width="5.44140625" style="2" customWidth="1"/>
    <col min="8199" max="8199" width="7.77734375" style="2" customWidth="1"/>
    <col min="8200" max="8200" width="5.21875" style="2" customWidth="1"/>
    <col min="8201" max="8201" width="7" style="2" customWidth="1"/>
    <col min="8202" max="8202" width="5.21875" style="2" customWidth="1"/>
    <col min="8203" max="8203" width="7" style="2" customWidth="1"/>
    <col min="8204" max="8204" width="4.21875" style="2" customWidth="1"/>
    <col min="8205" max="8205" width="6.77734375" style="2" customWidth="1"/>
    <col min="8206" max="8206" width="5.44140625" style="2" customWidth="1"/>
    <col min="8207" max="8207" width="7" style="2" customWidth="1"/>
    <col min="8208" max="8208" width="5.21875" style="2" customWidth="1"/>
    <col min="8209" max="8209" width="4.77734375" style="2" customWidth="1"/>
    <col min="8210" max="8210" width="5.77734375" style="2" customWidth="1"/>
    <col min="8211" max="8211" width="7.44140625" style="2" customWidth="1"/>
    <col min="8212" max="8212" width="4" style="2" customWidth="1"/>
    <col min="8213" max="8213" width="6.44140625" style="2" customWidth="1"/>
    <col min="8214" max="8214" width="5.77734375" style="2" customWidth="1"/>
    <col min="8215" max="8215" width="6.77734375" style="2" customWidth="1"/>
    <col min="8216" max="8216" width="4.21875" style="2" customWidth="1"/>
    <col min="8217" max="8217" width="7.21875" style="2" customWidth="1"/>
    <col min="8218" max="8448" width="9.21875" style="2"/>
    <col min="8449" max="8449" width="4.5546875" style="2" customWidth="1"/>
    <col min="8450" max="8451" width="6.77734375" style="2" customWidth="1"/>
    <col min="8452" max="8452" width="3.21875" style="2" customWidth="1"/>
    <col min="8453" max="8453" width="4.21875" style="2" customWidth="1"/>
    <col min="8454" max="8454" width="5.44140625" style="2" customWidth="1"/>
    <col min="8455" max="8455" width="7.77734375" style="2" customWidth="1"/>
    <col min="8456" max="8456" width="5.21875" style="2" customWidth="1"/>
    <col min="8457" max="8457" width="7" style="2" customWidth="1"/>
    <col min="8458" max="8458" width="5.21875" style="2" customWidth="1"/>
    <col min="8459" max="8459" width="7" style="2" customWidth="1"/>
    <col min="8460" max="8460" width="4.21875" style="2" customWidth="1"/>
    <col min="8461" max="8461" width="6.77734375" style="2" customWidth="1"/>
    <col min="8462" max="8462" width="5.44140625" style="2" customWidth="1"/>
    <col min="8463" max="8463" width="7" style="2" customWidth="1"/>
    <col min="8464" max="8464" width="5.21875" style="2" customWidth="1"/>
    <col min="8465" max="8465" width="4.77734375" style="2" customWidth="1"/>
    <col min="8466" max="8466" width="5.77734375" style="2" customWidth="1"/>
    <col min="8467" max="8467" width="7.44140625" style="2" customWidth="1"/>
    <col min="8468" max="8468" width="4" style="2" customWidth="1"/>
    <col min="8469" max="8469" width="6.44140625" style="2" customWidth="1"/>
    <col min="8470" max="8470" width="5.77734375" style="2" customWidth="1"/>
    <col min="8471" max="8471" width="6.77734375" style="2" customWidth="1"/>
    <col min="8472" max="8472" width="4.21875" style="2" customWidth="1"/>
    <col min="8473" max="8473" width="7.21875" style="2" customWidth="1"/>
    <col min="8474" max="8704" width="9.21875" style="2"/>
    <col min="8705" max="8705" width="4.5546875" style="2" customWidth="1"/>
    <col min="8706" max="8707" width="6.77734375" style="2" customWidth="1"/>
    <col min="8708" max="8708" width="3.21875" style="2" customWidth="1"/>
    <col min="8709" max="8709" width="4.21875" style="2" customWidth="1"/>
    <col min="8710" max="8710" width="5.44140625" style="2" customWidth="1"/>
    <col min="8711" max="8711" width="7.77734375" style="2" customWidth="1"/>
    <col min="8712" max="8712" width="5.21875" style="2" customWidth="1"/>
    <col min="8713" max="8713" width="7" style="2" customWidth="1"/>
    <col min="8714" max="8714" width="5.21875" style="2" customWidth="1"/>
    <col min="8715" max="8715" width="7" style="2" customWidth="1"/>
    <col min="8716" max="8716" width="4.21875" style="2" customWidth="1"/>
    <col min="8717" max="8717" width="6.77734375" style="2" customWidth="1"/>
    <col min="8718" max="8718" width="5.44140625" style="2" customWidth="1"/>
    <col min="8719" max="8719" width="7" style="2" customWidth="1"/>
    <col min="8720" max="8720" width="5.21875" style="2" customWidth="1"/>
    <col min="8721" max="8721" width="4.77734375" style="2" customWidth="1"/>
    <col min="8722" max="8722" width="5.77734375" style="2" customWidth="1"/>
    <col min="8723" max="8723" width="7.44140625" style="2" customWidth="1"/>
    <col min="8724" max="8724" width="4" style="2" customWidth="1"/>
    <col min="8725" max="8725" width="6.44140625" style="2" customWidth="1"/>
    <col min="8726" max="8726" width="5.77734375" style="2" customWidth="1"/>
    <col min="8727" max="8727" width="6.77734375" style="2" customWidth="1"/>
    <col min="8728" max="8728" width="4.21875" style="2" customWidth="1"/>
    <col min="8729" max="8729" width="7.21875" style="2" customWidth="1"/>
    <col min="8730" max="8960" width="9.21875" style="2"/>
    <col min="8961" max="8961" width="4.5546875" style="2" customWidth="1"/>
    <col min="8962" max="8963" width="6.77734375" style="2" customWidth="1"/>
    <col min="8964" max="8964" width="3.21875" style="2" customWidth="1"/>
    <col min="8965" max="8965" width="4.21875" style="2" customWidth="1"/>
    <col min="8966" max="8966" width="5.44140625" style="2" customWidth="1"/>
    <col min="8967" max="8967" width="7.77734375" style="2" customWidth="1"/>
    <col min="8968" max="8968" width="5.21875" style="2" customWidth="1"/>
    <col min="8969" max="8969" width="7" style="2" customWidth="1"/>
    <col min="8970" max="8970" width="5.21875" style="2" customWidth="1"/>
    <col min="8971" max="8971" width="7" style="2" customWidth="1"/>
    <col min="8972" max="8972" width="4.21875" style="2" customWidth="1"/>
    <col min="8973" max="8973" width="6.77734375" style="2" customWidth="1"/>
    <col min="8974" max="8974" width="5.44140625" style="2" customWidth="1"/>
    <col min="8975" max="8975" width="7" style="2" customWidth="1"/>
    <col min="8976" max="8976" width="5.21875" style="2" customWidth="1"/>
    <col min="8977" max="8977" width="4.77734375" style="2" customWidth="1"/>
    <col min="8978" max="8978" width="5.77734375" style="2" customWidth="1"/>
    <col min="8979" max="8979" width="7.44140625" style="2" customWidth="1"/>
    <col min="8980" max="8980" width="4" style="2" customWidth="1"/>
    <col min="8981" max="8981" width="6.44140625" style="2" customWidth="1"/>
    <col min="8982" max="8982" width="5.77734375" style="2" customWidth="1"/>
    <col min="8983" max="8983" width="6.77734375" style="2" customWidth="1"/>
    <col min="8984" max="8984" width="4.21875" style="2" customWidth="1"/>
    <col min="8985" max="8985" width="7.21875" style="2" customWidth="1"/>
    <col min="8986" max="9216" width="9.21875" style="2"/>
    <col min="9217" max="9217" width="4.5546875" style="2" customWidth="1"/>
    <col min="9218" max="9219" width="6.77734375" style="2" customWidth="1"/>
    <col min="9220" max="9220" width="3.21875" style="2" customWidth="1"/>
    <col min="9221" max="9221" width="4.21875" style="2" customWidth="1"/>
    <col min="9222" max="9222" width="5.44140625" style="2" customWidth="1"/>
    <col min="9223" max="9223" width="7.77734375" style="2" customWidth="1"/>
    <col min="9224" max="9224" width="5.21875" style="2" customWidth="1"/>
    <col min="9225" max="9225" width="7" style="2" customWidth="1"/>
    <col min="9226" max="9226" width="5.21875" style="2" customWidth="1"/>
    <col min="9227" max="9227" width="7" style="2" customWidth="1"/>
    <col min="9228" max="9228" width="4.21875" style="2" customWidth="1"/>
    <col min="9229" max="9229" width="6.77734375" style="2" customWidth="1"/>
    <col min="9230" max="9230" width="5.44140625" style="2" customWidth="1"/>
    <col min="9231" max="9231" width="7" style="2" customWidth="1"/>
    <col min="9232" max="9232" width="5.21875" style="2" customWidth="1"/>
    <col min="9233" max="9233" width="4.77734375" style="2" customWidth="1"/>
    <col min="9234" max="9234" width="5.77734375" style="2" customWidth="1"/>
    <col min="9235" max="9235" width="7.44140625" style="2" customWidth="1"/>
    <col min="9236" max="9236" width="4" style="2" customWidth="1"/>
    <col min="9237" max="9237" width="6.44140625" style="2" customWidth="1"/>
    <col min="9238" max="9238" width="5.77734375" style="2" customWidth="1"/>
    <col min="9239" max="9239" width="6.77734375" style="2" customWidth="1"/>
    <col min="9240" max="9240" width="4.21875" style="2" customWidth="1"/>
    <col min="9241" max="9241" width="7.21875" style="2" customWidth="1"/>
    <col min="9242" max="9472" width="9.21875" style="2"/>
    <col min="9473" max="9473" width="4.5546875" style="2" customWidth="1"/>
    <col min="9474" max="9475" width="6.77734375" style="2" customWidth="1"/>
    <col min="9476" max="9476" width="3.21875" style="2" customWidth="1"/>
    <col min="9477" max="9477" width="4.21875" style="2" customWidth="1"/>
    <col min="9478" max="9478" width="5.44140625" style="2" customWidth="1"/>
    <col min="9479" max="9479" width="7.77734375" style="2" customWidth="1"/>
    <col min="9480" max="9480" width="5.21875" style="2" customWidth="1"/>
    <col min="9481" max="9481" width="7" style="2" customWidth="1"/>
    <col min="9482" max="9482" width="5.21875" style="2" customWidth="1"/>
    <col min="9483" max="9483" width="7" style="2" customWidth="1"/>
    <col min="9484" max="9484" width="4.21875" style="2" customWidth="1"/>
    <col min="9485" max="9485" width="6.77734375" style="2" customWidth="1"/>
    <col min="9486" max="9486" width="5.44140625" style="2" customWidth="1"/>
    <col min="9487" max="9487" width="7" style="2" customWidth="1"/>
    <col min="9488" max="9488" width="5.21875" style="2" customWidth="1"/>
    <col min="9489" max="9489" width="4.77734375" style="2" customWidth="1"/>
    <col min="9490" max="9490" width="5.77734375" style="2" customWidth="1"/>
    <col min="9491" max="9491" width="7.44140625" style="2" customWidth="1"/>
    <col min="9492" max="9492" width="4" style="2" customWidth="1"/>
    <col min="9493" max="9493" width="6.44140625" style="2" customWidth="1"/>
    <col min="9494" max="9494" width="5.77734375" style="2" customWidth="1"/>
    <col min="9495" max="9495" width="6.77734375" style="2" customWidth="1"/>
    <col min="9496" max="9496" width="4.21875" style="2" customWidth="1"/>
    <col min="9497" max="9497" width="7.21875" style="2" customWidth="1"/>
    <col min="9498" max="9728" width="9.21875" style="2"/>
    <col min="9729" max="9729" width="4.5546875" style="2" customWidth="1"/>
    <col min="9730" max="9731" width="6.77734375" style="2" customWidth="1"/>
    <col min="9732" max="9732" width="3.21875" style="2" customWidth="1"/>
    <col min="9733" max="9733" width="4.21875" style="2" customWidth="1"/>
    <col min="9734" max="9734" width="5.44140625" style="2" customWidth="1"/>
    <col min="9735" max="9735" width="7.77734375" style="2" customWidth="1"/>
    <col min="9736" max="9736" width="5.21875" style="2" customWidth="1"/>
    <col min="9737" max="9737" width="7" style="2" customWidth="1"/>
    <col min="9738" max="9738" width="5.21875" style="2" customWidth="1"/>
    <col min="9739" max="9739" width="7" style="2" customWidth="1"/>
    <col min="9740" max="9740" width="4.21875" style="2" customWidth="1"/>
    <col min="9741" max="9741" width="6.77734375" style="2" customWidth="1"/>
    <col min="9742" max="9742" width="5.44140625" style="2" customWidth="1"/>
    <col min="9743" max="9743" width="7" style="2" customWidth="1"/>
    <col min="9744" max="9744" width="5.21875" style="2" customWidth="1"/>
    <col min="9745" max="9745" width="4.77734375" style="2" customWidth="1"/>
    <col min="9746" max="9746" width="5.77734375" style="2" customWidth="1"/>
    <col min="9747" max="9747" width="7.44140625" style="2" customWidth="1"/>
    <col min="9748" max="9748" width="4" style="2" customWidth="1"/>
    <col min="9749" max="9749" width="6.44140625" style="2" customWidth="1"/>
    <col min="9750" max="9750" width="5.77734375" style="2" customWidth="1"/>
    <col min="9751" max="9751" width="6.77734375" style="2" customWidth="1"/>
    <col min="9752" max="9752" width="4.21875" style="2" customWidth="1"/>
    <col min="9753" max="9753" width="7.21875" style="2" customWidth="1"/>
    <col min="9754" max="9984" width="9.21875" style="2"/>
    <col min="9985" max="9985" width="4.5546875" style="2" customWidth="1"/>
    <col min="9986" max="9987" width="6.77734375" style="2" customWidth="1"/>
    <col min="9988" max="9988" width="3.21875" style="2" customWidth="1"/>
    <col min="9989" max="9989" width="4.21875" style="2" customWidth="1"/>
    <col min="9990" max="9990" width="5.44140625" style="2" customWidth="1"/>
    <col min="9991" max="9991" width="7.77734375" style="2" customWidth="1"/>
    <col min="9992" max="9992" width="5.21875" style="2" customWidth="1"/>
    <col min="9993" max="9993" width="7" style="2" customWidth="1"/>
    <col min="9994" max="9994" width="5.21875" style="2" customWidth="1"/>
    <col min="9995" max="9995" width="7" style="2" customWidth="1"/>
    <col min="9996" max="9996" width="4.21875" style="2" customWidth="1"/>
    <col min="9997" max="9997" width="6.77734375" style="2" customWidth="1"/>
    <col min="9998" max="9998" width="5.44140625" style="2" customWidth="1"/>
    <col min="9999" max="9999" width="7" style="2" customWidth="1"/>
    <col min="10000" max="10000" width="5.21875" style="2" customWidth="1"/>
    <col min="10001" max="10001" width="4.77734375" style="2" customWidth="1"/>
    <col min="10002" max="10002" width="5.77734375" style="2" customWidth="1"/>
    <col min="10003" max="10003" width="7.44140625" style="2" customWidth="1"/>
    <col min="10004" max="10004" width="4" style="2" customWidth="1"/>
    <col min="10005" max="10005" width="6.44140625" style="2" customWidth="1"/>
    <col min="10006" max="10006" width="5.77734375" style="2" customWidth="1"/>
    <col min="10007" max="10007" width="6.77734375" style="2" customWidth="1"/>
    <col min="10008" max="10008" width="4.21875" style="2" customWidth="1"/>
    <col min="10009" max="10009" width="7.21875" style="2" customWidth="1"/>
    <col min="10010" max="10240" width="9.21875" style="2"/>
    <col min="10241" max="10241" width="4.5546875" style="2" customWidth="1"/>
    <col min="10242" max="10243" width="6.77734375" style="2" customWidth="1"/>
    <col min="10244" max="10244" width="3.21875" style="2" customWidth="1"/>
    <col min="10245" max="10245" width="4.21875" style="2" customWidth="1"/>
    <col min="10246" max="10246" width="5.44140625" style="2" customWidth="1"/>
    <col min="10247" max="10247" width="7.77734375" style="2" customWidth="1"/>
    <col min="10248" max="10248" width="5.21875" style="2" customWidth="1"/>
    <col min="10249" max="10249" width="7" style="2" customWidth="1"/>
    <col min="10250" max="10250" width="5.21875" style="2" customWidth="1"/>
    <col min="10251" max="10251" width="7" style="2" customWidth="1"/>
    <col min="10252" max="10252" width="4.21875" style="2" customWidth="1"/>
    <col min="10253" max="10253" width="6.77734375" style="2" customWidth="1"/>
    <col min="10254" max="10254" width="5.44140625" style="2" customWidth="1"/>
    <col min="10255" max="10255" width="7" style="2" customWidth="1"/>
    <col min="10256" max="10256" width="5.21875" style="2" customWidth="1"/>
    <col min="10257" max="10257" width="4.77734375" style="2" customWidth="1"/>
    <col min="10258" max="10258" width="5.77734375" style="2" customWidth="1"/>
    <col min="10259" max="10259" width="7.44140625" style="2" customWidth="1"/>
    <col min="10260" max="10260" width="4" style="2" customWidth="1"/>
    <col min="10261" max="10261" width="6.44140625" style="2" customWidth="1"/>
    <col min="10262" max="10262" width="5.77734375" style="2" customWidth="1"/>
    <col min="10263" max="10263" width="6.77734375" style="2" customWidth="1"/>
    <col min="10264" max="10264" width="4.21875" style="2" customWidth="1"/>
    <col min="10265" max="10265" width="7.21875" style="2" customWidth="1"/>
    <col min="10266" max="10496" width="9.21875" style="2"/>
    <col min="10497" max="10497" width="4.5546875" style="2" customWidth="1"/>
    <col min="10498" max="10499" width="6.77734375" style="2" customWidth="1"/>
    <col min="10500" max="10500" width="3.21875" style="2" customWidth="1"/>
    <col min="10501" max="10501" width="4.21875" style="2" customWidth="1"/>
    <col min="10502" max="10502" width="5.44140625" style="2" customWidth="1"/>
    <col min="10503" max="10503" width="7.77734375" style="2" customWidth="1"/>
    <col min="10504" max="10504" width="5.21875" style="2" customWidth="1"/>
    <col min="10505" max="10505" width="7" style="2" customWidth="1"/>
    <col min="10506" max="10506" width="5.21875" style="2" customWidth="1"/>
    <col min="10507" max="10507" width="7" style="2" customWidth="1"/>
    <col min="10508" max="10508" width="4.21875" style="2" customWidth="1"/>
    <col min="10509" max="10509" width="6.77734375" style="2" customWidth="1"/>
    <col min="10510" max="10510" width="5.44140625" style="2" customWidth="1"/>
    <col min="10511" max="10511" width="7" style="2" customWidth="1"/>
    <col min="10512" max="10512" width="5.21875" style="2" customWidth="1"/>
    <col min="10513" max="10513" width="4.77734375" style="2" customWidth="1"/>
    <col min="10514" max="10514" width="5.77734375" style="2" customWidth="1"/>
    <col min="10515" max="10515" width="7.44140625" style="2" customWidth="1"/>
    <col min="10516" max="10516" width="4" style="2" customWidth="1"/>
    <col min="10517" max="10517" width="6.44140625" style="2" customWidth="1"/>
    <col min="10518" max="10518" width="5.77734375" style="2" customWidth="1"/>
    <col min="10519" max="10519" width="6.77734375" style="2" customWidth="1"/>
    <col min="10520" max="10520" width="4.21875" style="2" customWidth="1"/>
    <col min="10521" max="10521" width="7.21875" style="2" customWidth="1"/>
    <col min="10522" max="10752" width="9.21875" style="2"/>
    <col min="10753" max="10753" width="4.5546875" style="2" customWidth="1"/>
    <col min="10754" max="10755" width="6.77734375" style="2" customWidth="1"/>
    <col min="10756" max="10756" width="3.21875" style="2" customWidth="1"/>
    <col min="10757" max="10757" width="4.21875" style="2" customWidth="1"/>
    <col min="10758" max="10758" width="5.44140625" style="2" customWidth="1"/>
    <col min="10759" max="10759" width="7.77734375" style="2" customWidth="1"/>
    <col min="10760" max="10760" width="5.21875" style="2" customWidth="1"/>
    <col min="10761" max="10761" width="7" style="2" customWidth="1"/>
    <col min="10762" max="10762" width="5.21875" style="2" customWidth="1"/>
    <col min="10763" max="10763" width="7" style="2" customWidth="1"/>
    <col min="10764" max="10764" width="4.21875" style="2" customWidth="1"/>
    <col min="10765" max="10765" width="6.77734375" style="2" customWidth="1"/>
    <col min="10766" max="10766" width="5.44140625" style="2" customWidth="1"/>
    <col min="10767" max="10767" width="7" style="2" customWidth="1"/>
    <col min="10768" max="10768" width="5.21875" style="2" customWidth="1"/>
    <col min="10769" max="10769" width="4.77734375" style="2" customWidth="1"/>
    <col min="10770" max="10770" width="5.77734375" style="2" customWidth="1"/>
    <col min="10771" max="10771" width="7.44140625" style="2" customWidth="1"/>
    <col min="10772" max="10772" width="4" style="2" customWidth="1"/>
    <col min="10773" max="10773" width="6.44140625" style="2" customWidth="1"/>
    <col min="10774" max="10774" width="5.77734375" style="2" customWidth="1"/>
    <col min="10775" max="10775" width="6.77734375" style="2" customWidth="1"/>
    <col min="10776" max="10776" width="4.21875" style="2" customWidth="1"/>
    <col min="10777" max="10777" width="7.21875" style="2" customWidth="1"/>
    <col min="10778" max="11008" width="9.21875" style="2"/>
    <col min="11009" max="11009" width="4.5546875" style="2" customWidth="1"/>
    <col min="11010" max="11011" width="6.77734375" style="2" customWidth="1"/>
    <col min="11012" max="11012" width="3.21875" style="2" customWidth="1"/>
    <col min="11013" max="11013" width="4.21875" style="2" customWidth="1"/>
    <col min="11014" max="11014" width="5.44140625" style="2" customWidth="1"/>
    <col min="11015" max="11015" width="7.77734375" style="2" customWidth="1"/>
    <col min="11016" max="11016" width="5.21875" style="2" customWidth="1"/>
    <col min="11017" max="11017" width="7" style="2" customWidth="1"/>
    <col min="11018" max="11018" width="5.21875" style="2" customWidth="1"/>
    <col min="11019" max="11019" width="7" style="2" customWidth="1"/>
    <col min="11020" max="11020" width="4.21875" style="2" customWidth="1"/>
    <col min="11021" max="11021" width="6.77734375" style="2" customWidth="1"/>
    <col min="11022" max="11022" width="5.44140625" style="2" customWidth="1"/>
    <col min="11023" max="11023" width="7" style="2" customWidth="1"/>
    <col min="11024" max="11024" width="5.21875" style="2" customWidth="1"/>
    <col min="11025" max="11025" width="4.77734375" style="2" customWidth="1"/>
    <col min="11026" max="11026" width="5.77734375" style="2" customWidth="1"/>
    <col min="11027" max="11027" width="7.44140625" style="2" customWidth="1"/>
    <col min="11028" max="11028" width="4" style="2" customWidth="1"/>
    <col min="11029" max="11029" width="6.44140625" style="2" customWidth="1"/>
    <col min="11030" max="11030" width="5.77734375" style="2" customWidth="1"/>
    <col min="11031" max="11031" width="6.77734375" style="2" customWidth="1"/>
    <col min="11032" max="11032" width="4.21875" style="2" customWidth="1"/>
    <col min="11033" max="11033" width="7.21875" style="2" customWidth="1"/>
    <col min="11034" max="11264" width="9.21875" style="2"/>
    <col min="11265" max="11265" width="4.5546875" style="2" customWidth="1"/>
    <col min="11266" max="11267" width="6.77734375" style="2" customWidth="1"/>
    <col min="11268" max="11268" width="3.21875" style="2" customWidth="1"/>
    <col min="11269" max="11269" width="4.21875" style="2" customWidth="1"/>
    <col min="11270" max="11270" width="5.44140625" style="2" customWidth="1"/>
    <col min="11271" max="11271" width="7.77734375" style="2" customWidth="1"/>
    <col min="11272" max="11272" width="5.21875" style="2" customWidth="1"/>
    <col min="11273" max="11273" width="7" style="2" customWidth="1"/>
    <col min="11274" max="11274" width="5.21875" style="2" customWidth="1"/>
    <col min="11275" max="11275" width="7" style="2" customWidth="1"/>
    <col min="11276" max="11276" width="4.21875" style="2" customWidth="1"/>
    <col min="11277" max="11277" width="6.77734375" style="2" customWidth="1"/>
    <col min="11278" max="11278" width="5.44140625" style="2" customWidth="1"/>
    <col min="11279" max="11279" width="7" style="2" customWidth="1"/>
    <col min="11280" max="11280" width="5.21875" style="2" customWidth="1"/>
    <col min="11281" max="11281" width="4.77734375" style="2" customWidth="1"/>
    <col min="11282" max="11282" width="5.77734375" style="2" customWidth="1"/>
    <col min="11283" max="11283" width="7.44140625" style="2" customWidth="1"/>
    <col min="11284" max="11284" width="4" style="2" customWidth="1"/>
    <col min="11285" max="11285" width="6.44140625" style="2" customWidth="1"/>
    <col min="11286" max="11286" width="5.77734375" style="2" customWidth="1"/>
    <col min="11287" max="11287" width="6.77734375" style="2" customWidth="1"/>
    <col min="11288" max="11288" width="4.21875" style="2" customWidth="1"/>
    <col min="11289" max="11289" width="7.21875" style="2" customWidth="1"/>
    <col min="11290" max="11520" width="9.21875" style="2"/>
    <col min="11521" max="11521" width="4.5546875" style="2" customWidth="1"/>
    <col min="11522" max="11523" width="6.77734375" style="2" customWidth="1"/>
    <col min="11524" max="11524" width="3.21875" style="2" customWidth="1"/>
    <col min="11525" max="11525" width="4.21875" style="2" customWidth="1"/>
    <col min="11526" max="11526" width="5.44140625" style="2" customWidth="1"/>
    <col min="11527" max="11527" width="7.77734375" style="2" customWidth="1"/>
    <col min="11528" max="11528" width="5.21875" style="2" customWidth="1"/>
    <col min="11529" max="11529" width="7" style="2" customWidth="1"/>
    <col min="11530" max="11530" width="5.21875" style="2" customWidth="1"/>
    <col min="11531" max="11531" width="7" style="2" customWidth="1"/>
    <col min="11532" max="11532" width="4.21875" style="2" customWidth="1"/>
    <col min="11533" max="11533" width="6.77734375" style="2" customWidth="1"/>
    <col min="11534" max="11534" width="5.44140625" style="2" customWidth="1"/>
    <col min="11535" max="11535" width="7" style="2" customWidth="1"/>
    <col min="11536" max="11536" width="5.21875" style="2" customWidth="1"/>
    <col min="11537" max="11537" width="4.77734375" style="2" customWidth="1"/>
    <col min="11538" max="11538" width="5.77734375" style="2" customWidth="1"/>
    <col min="11539" max="11539" width="7.44140625" style="2" customWidth="1"/>
    <col min="11540" max="11540" width="4" style="2" customWidth="1"/>
    <col min="11541" max="11541" width="6.44140625" style="2" customWidth="1"/>
    <col min="11542" max="11542" width="5.77734375" style="2" customWidth="1"/>
    <col min="11543" max="11543" width="6.77734375" style="2" customWidth="1"/>
    <col min="11544" max="11544" width="4.21875" style="2" customWidth="1"/>
    <col min="11545" max="11545" width="7.21875" style="2" customWidth="1"/>
    <col min="11546" max="11776" width="9.21875" style="2"/>
    <col min="11777" max="11777" width="4.5546875" style="2" customWidth="1"/>
    <col min="11778" max="11779" width="6.77734375" style="2" customWidth="1"/>
    <col min="11780" max="11780" width="3.21875" style="2" customWidth="1"/>
    <col min="11781" max="11781" width="4.21875" style="2" customWidth="1"/>
    <col min="11782" max="11782" width="5.44140625" style="2" customWidth="1"/>
    <col min="11783" max="11783" width="7.77734375" style="2" customWidth="1"/>
    <col min="11784" max="11784" width="5.21875" style="2" customWidth="1"/>
    <col min="11785" max="11785" width="7" style="2" customWidth="1"/>
    <col min="11786" max="11786" width="5.21875" style="2" customWidth="1"/>
    <col min="11787" max="11787" width="7" style="2" customWidth="1"/>
    <col min="11788" max="11788" width="4.21875" style="2" customWidth="1"/>
    <col min="11789" max="11789" width="6.77734375" style="2" customWidth="1"/>
    <col min="11790" max="11790" width="5.44140625" style="2" customWidth="1"/>
    <col min="11791" max="11791" width="7" style="2" customWidth="1"/>
    <col min="11792" max="11792" width="5.21875" style="2" customWidth="1"/>
    <col min="11793" max="11793" width="4.77734375" style="2" customWidth="1"/>
    <col min="11794" max="11794" width="5.77734375" style="2" customWidth="1"/>
    <col min="11795" max="11795" width="7.44140625" style="2" customWidth="1"/>
    <col min="11796" max="11796" width="4" style="2" customWidth="1"/>
    <col min="11797" max="11797" width="6.44140625" style="2" customWidth="1"/>
    <col min="11798" max="11798" width="5.77734375" style="2" customWidth="1"/>
    <col min="11799" max="11799" width="6.77734375" style="2" customWidth="1"/>
    <col min="11800" max="11800" width="4.21875" style="2" customWidth="1"/>
    <col min="11801" max="11801" width="7.21875" style="2" customWidth="1"/>
    <col min="11802" max="12032" width="9.21875" style="2"/>
    <col min="12033" max="12033" width="4.5546875" style="2" customWidth="1"/>
    <col min="12034" max="12035" width="6.77734375" style="2" customWidth="1"/>
    <col min="12036" max="12036" width="3.21875" style="2" customWidth="1"/>
    <col min="12037" max="12037" width="4.21875" style="2" customWidth="1"/>
    <col min="12038" max="12038" width="5.44140625" style="2" customWidth="1"/>
    <col min="12039" max="12039" width="7.77734375" style="2" customWidth="1"/>
    <col min="12040" max="12040" width="5.21875" style="2" customWidth="1"/>
    <col min="12041" max="12041" width="7" style="2" customWidth="1"/>
    <col min="12042" max="12042" width="5.21875" style="2" customWidth="1"/>
    <col min="12043" max="12043" width="7" style="2" customWidth="1"/>
    <col min="12044" max="12044" width="4.21875" style="2" customWidth="1"/>
    <col min="12045" max="12045" width="6.77734375" style="2" customWidth="1"/>
    <col min="12046" max="12046" width="5.44140625" style="2" customWidth="1"/>
    <col min="12047" max="12047" width="7" style="2" customWidth="1"/>
    <col min="12048" max="12048" width="5.21875" style="2" customWidth="1"/>
    <col min="12049" max="12049" width="4.77734375" style="2" customWidth="1"/>
    <col min="12050" max="12050" width="5.77734375" style="2" customWidth="1"/>
    <col min="12051" max="12051" width="7.44140625" style="2" customWidth="1"/>
    <col min="12052" max="12052" width="4" style="2" customWidth="1"/>
    <col min="12053" max="12053" width="6.44140625" style="2" customWidth="1"/>
    <col min="12054" max="12054" width="5.77734375" style="2" customWidth="1"/>
    <col min="12055" max="12055" width="6.77734375" style="2" customWidth="1"/>
    <col min="12056" max="12056" width="4.21875" style="2" customWidth="1"/>
    <col min="12057" max="12057" width="7.21875" style="2" customWidth="1"/>
    <col min="12058" max="12288" width="9.21875" style="2"/>
    <col min="12289" max="12289" width="4.5546875" style="2" customWidth="1"/>
    <col min="12290" max="12291" width="6.77734375" style="2" customWidth="1"/>
    <col min="12292" max="12292" width="3.21875" style="2" customWidth="1"/>
    <col min="12293" max="12293" width="4.21875" style="2" customWidth="1"/>
    <col min="12294" max="12294" width="5.44140625" style="2" customWidth="1"/>
    <col min="12295" max="12295" width="7.77734375" style="2" customWidth="1"/>
    <col min="12296" max="12296" width="5.21875" style="2" customWidth="1"/>
    <col min="12297" max="12297" width="7" style="2" customWidth="1"/>
    <col min="12298" max="12298" width="5.21875" style="2" customWidth="1"/>
    <col min="12299" max="12299" width="7" style="2" customWidth="1"/>
    <col min="12300" max="12300" width="4.21875" style="2" customWidth="1"/>
    <col min="12301" max="12301" width="6.77734375" style="2" customWidth="1"/>
    <col min="12302" max="12302" width="5.44140625" style="2" customWidth="1"/>
    <col min="12303" max="12303" width="7" style="2" customWidth="1"/>
    <col min="12304" max="12304" width="5.21875" style="2" customWidth="1"/>
    <col min="12305" max="12305" width="4.77734375" style="2" customWidth="1"/>
    <col min="12306" max="12306" width="5.77734375" style="2" customWidth="1"/>
    <col min="12307" max="12307" width="7.44140625" style="2" customWidth="1"/>
    <col min="12308" max="12308" width="4" style="2" customWidth="1"/>
    <col min="12309" max="12309" width="6.44140625" style="2" customWidth="1"/>
    <col min="12310" max="12310" width="5.77734375" style="2" customWidth="1"/>
    <col min="12311" max="12311" width="6.77734375" style="2" customWidth="1"/>
    <col min="12312" max="12312" width="4.21875" style="2" customWidth="1"/>
    <col min="12313" max="12313" width="7.21875" style="2" customWidth="1"/>
    <col min="12314" max="12544" width="9.21875" style="2"/>
    <col min="12545" max="12545" width="4.5546875" style="2" customWidth="1"/>
    <col min="12546" max="12547" width="6.77734375" style="2" customWidth="1"/>
    <col min="12548" max="12548" width="3.21875" style="2" customWidth="1"/>
    <col min="12549" max="12549" width="4.21875" style="2" customWidth="1"/>
    <col min="12550" max="12550" width="5.44140625" style="2" customWidth="1"/>
    <col min="12551" max="12551" width="7.77734375" style="2" customWidth="1"/>
    <col min="12552" max="12552" width="5.21875" style="2" customWidth="1"/>
    <col min="12553" max="12553" width="7" style="2" customWidth="1"/>
    <col min="12554" max="12554" width="5.21875" style="2" customWidth="1"/>
    <col min="12555" max="12555" width="7" style="2" customWidth="1"/>
    <col min="12556" max="12556" width="4.21875" style="2" customWidth="1"/>
    <col min="12557" max="12557" width="6.77734375" style="2" customWidth="1"/>
    <col min="12558" max="12558" width="5.44140625" style="2" customWidth="1"/>
    <col min="12559" max="12559" width="7" style="2" customWidth="1"/>
    <col min="12560" max="12560" width="5.21875" style="2" customWidth="1"/>
    <col min="12561" max="12561" width="4.77734375" style="2" customWidth="1"/>
    <col min="12562" max="12562" width="5.77734375" style="2" customWidth="1"/>
    <col min="12563" max="12563" width="7.44140625" style="2" customWidth="1"/>
    <col min="12564" max="12564" width="4" style="2" customWidth="1"/>
    <col min="12565" max="12565" width="6.44140625" style="2" customWidth="1"/>
    <col min="12566" max="12566" width="5.77734375" style="2" customWidth="1"/>
    <col min="12567" max="12567" width="6.77734375" style="2" customWidth="1"/>
    <col min="12568" max="12568" width="4.21875" style="2" customWidth="1"/>
    <col min="12569" max="12569" width="7.21875" style="2" customWidth="1"/>
    <col min="12570" max="12800" width="9.21875" style="2"/>
    <col min="12801" max="12801" width="4.5546875" style="2" customWidth="1"/>
    <col min="12802" max="12803" width="6.77734375" style="2" customWidth="1"/>
    <col min="12804" max="12804" width="3.21875" style="2" customWidth="1"/>
    <col min="12805" max="12805" width="4.21875" style="2" customWidth="1"/>
    <col min="12806" max="12806" width="5.44140625" style="2" customWidth="1"/>
    <col min="12807" max="12807" width="7.77734375" style="2" customWidth="1"/>
    <col min="12808" max="12808" width="5.21875" style="2" customWidth="1"/>
    <col min="12809" max="12809" width="7" style="2" customWidth="1"/>
    <col min="12810" max="12810" width="5.21875" style="2" customWidth="1"/>
    <col min="12811" max="12811" width="7" style="2" customWidth="1"/>
    <col min="12812" max="12812" width="4.21875" style="2" customWidth="1"/>
    <col min="12813" max="12813" width="6.77734375" style="2" customWidth="1"/>
    <col min="12814" max="12814" width="5.44140625" style="2" customWidth="1"/>
    <col min="12815" max="12815" width="7" style="2" customWidth="1"/>
    <col min="12816" max="12816" width="5.21875" style="2" customWidth="1"/>
    <col min="12817" max="12817" width="4.77734375" style="2" customWidth="1"/>
    <col min="12818" max="12818" width="5.77734375" style="2" customWidth="1"/>
    <col min="12819" max="12819" width="7.44140625" style="2" customWidth="1"/>
    <col min="12820" max="12820" width="4" style="2" customWidth="1"/>
    <col min="12821" max="12821" width="6.44140625" style="2" customWidth="1"/>
    <col min="12822" max="12822" width="5.77734375" style="2" customWidth="1"/>
    <col min="12823" max="12823" width="6.77734375" style="2" customWidth="1"/>
    <col min="12824" max="12824" width="4.21875" style="2" customWidth="1"/>
    <col min="12825" max="12825" width="7.21875" style="2" customWidth="1"/>
    <col min="12826" max="13056" width="9.21875" style="2"/>
    <col min="13057" max="13057" width="4.5546875" style="2" customWidth="1"/>
    <col min="13058" max="13059" width="6.77734375" style="2" customWidth="1"/>
    <col min="13060" max="13060" width="3.21875" style="2" customWidth="1"/>
    <col min="13061" max="13061" width="4.21875" style="2" customWidth="1"/>
    <col min="13062" max="13062" width="5.44140625" style="2" customWidth="1"/>
    <col min="13063" max="13063" width="7.77734375" style="2" customWidth="1"/>
    <col min="13064" max="13064" width="5.21875" style="2" customWidth="1"/>
    <col min="13065" max="13065" width="7" style="2" customWidth="1"/>
    <col min="13066" max="13066" width="5.21875" style="2" customWidth="1"/>
    <col min="13067" max="13067" width="7" style="2" customWidth="1"/>
    <col min="13068" max="13068" width="4.21875" style="2" customWidth="1"/>
    <col min="13069" max="13069" width="6.77734375" style="2" customWidth="1"/>
    <col min="13070" max="13070" width="5.44140625" style="2" customWidth="1"/>
    <col min="13071" max="13071" width="7" style="2" customWidth="1"/>
    <col min="13072" max="13072" width="5.21875" style="2" customWidth="1"/>
    <col min="13073" max="13073" width="4.77734375" style="2" customWidth="1"/>
    <col min="13074" max="13074" width="5.77734375" style="2" customWidth="1"/>
    <col min="13075" max="13075" width="7.44140625" style="2" customWidth="1"/>
    <col min="13076" max="13076" width="4" style="2" customWidth="1"/>
    <col min="13077" max="13077" width="6.44140625" style="2" customWidth="1"/>
    <col min="13078" max="13078" width="5.77734375" style="2" customWidth="1"/>
    <col min="13079" max="13079" width="6.77734375" style="2" customWidth="1"/>
    <col min="13080" max="13080" width="4.21875" style="2" customWidth="1"/>
    <col min="13081" max="13081" width="7.21875" style="2" customWidth="1"/>
    <col min="13082" max="13312" width="9.21875" style="2"/>
    <col min="13313" max="13313" width="4.5546875" style="2" customWidth="1"/>
    <col min="13314" max="13315" width="6.77734375" style="2" customWidth="1"/>
    <col min="13316" max="13316" width="3.21875" style="2" customWidth="1"/>
    <col min="13317" max="13317" width="4.21875" style="2" customWidth="1"/>
    <col min="13318" max="13318" width="5.44140625" style="2" customWidth="1"/>
    <col min="13319" max="13319" width="7.77734375" style="2" customWidth="1"/>
    <col min="13320" max="13320" width="5.21875" style="2" customWidth="1"/>
    <col min="13321" max="13321" width="7" style="2" customWidth="1"/>
    <col min="13322" max="13322" width="5.21875" style="2" customWidth="1"/>
    <col min="13323" max="13323" width="7" style="2" customWidth="1"/>
    <col min="13324" max="13324" width="4.21875" style="2" customWidth="1"/>
    <col min="13325" max="13325" width="6.77734375" style="2" customWidth="1"/>
    <col min="13326" max="13326" width="5.44140625" style="2" customWidth="1"/>
    <col min="13327" max="13327" width="7" style="2" customWidth="1"/>
    <col min="13328" max="13328" width="5.21875" style="2" customWidth="1"/>
    <col min="13329" max="13329" width="4.77734375" style="2" customWidth="1"/>
    <col min="13330" max="13330" width="5.77734375" style="2" customWidth="1"/>
    <col min="13331" max="13331" width="7.44140625" style="2" customWidth="1"/>
    <col min="13332" max="13332" width="4" style="2" customWidth="1"/>
    <col min="13333" max="13333" width="6.44140625" style="2" customWidth="1"/>
    <col min="13334" max="13334" width="5.77734375" style="2" customWidth="1"/>
    <col min="13335" max="13335" width="6.77734375" style="2" customWidth="1"/>
    <col min="13336" max="13336" width="4.21875" style="2" customWidth="1"/>
    <col min="13337" max="13337" width="7.21875" style="2" customWidth="1"/>
    <col min="13338" max="13568" width="9.21875" style="2"/>
    <col min="13569" max="13569" width="4.5546875" style="2" customWidth="1"/>
    <col min="13570" max="13571" width="6.77734375" style="2" customWidth="1"/>
    <col min="13572" max="13572" width="3.21875" style="2" customWidth="1"/>
    <col min="13573" max="13573" width="4.21875" style="2" customWidth="1"/>
    <col min="13574" max="13574" width="5.44140625" style="2" customWidth="1"/>
    <col min="13575" max="13575" width="7.77734375" style="2" customWidth="1"/>
    <col min="13576" max="13576" width="5.21875" style="2" customWidth="1"/>
    <col min="13577" max="13577" width="7" style="2" customWidth="1"/>
    <col min="13578" max="13578" width="5.21875" style="2" customWidth="1"/>
    <col min="13579" max="13579" width="7" style="2" customWidth="1"/>
    <col min="13580" max="13580" width="4.21875" style="2" customWidth="1"/>
    <col min="13581" max="13581" width="6.77734375" style="2" customWidth="1"/>
    <col min="13582" max="13582" width="5.44140625" style="2" customWidth="1"/>
    <col min="13583" max="13583" width="7" style="2" customWidth="1"/>
    <col min="13584" max="13584" width="5.21875" style="2" customWidth="1"/>
    <col min="13585" max="13585" width="4.77734375" style="2" customWidth="1"/>
    <col min="13586" max="13586" width="5.77734375" style="2" customWidth="1"/>
    <col min="13587" max="13587" width="7.44140625" style="2" customWidth="1"/>
    <col min="13588" max="13588" width="4" style="2" customWidth="1"/>
    <col min="13589" max="13589" width="6.44140625" style="2" customWidth="1"/>
    <col min="13590" max="13590" width="5.77734375" style="2" customWidth="1"/>
    <col min="13591" max="13591" width="6.77734375" style="2" customWidth="1"/>
    <col min="13592" max="13592" width="4.21875" style="2" customWidth="1"/>
    <col min="13593" max="13593" width="7.21875" style="2" customWidth="1"/>
    <col min="13594" max="13824" width="9.21875" style="2"/>
    <col min="13825" max="13825" width="4.5546875" style="2" customWidth="1"/>
    <col min="13826" max="13827" width="6.77734375" style="2" customWidth="1"/>
    <col min="13828" max="13828" width="3.21875" style="2" customWidth="1"/>
    <col min="13829" max="13829" width="4.21875" style="2" customWidth="1"/>
    <col min="13830" max="13830" width="5.44140625" style="2" customWidth="1"/>
    <col min="13831" max="13831" width="7.77734375" style="2" customWidth="1"/>
    <col min="13832" max="13832" width="5.21875" style="2" customWidth="1"/>
    <col min="13833" max="13833" width="7" style="2" customWidth="1"/>
    <col min="13834" max="13834" width="5.21875" style="2" customWidth="1"/>
    <col min="13835" max="13835" width="7" style="2" customWidth="1"/>
    <col min="13836" max="13836" width="4.21875" style="2" customWidth="1"/>
    <col min="13837" max="13837" width="6.77734375" style="2" customWidth="1"/>
    <col min="13838" max="13838" width="5.44140625" style="2" customWidth="1"/>
    <col min="13839" max="13839" width="7" style="2" customWidth="1"/>
    <col min="13840" max="13840" width="5.21875" style="2" customWidth="1"/>
    <col min="13841" max="13841" width="4.77734375" style="2" customWidth="1"/>
    <col min="13842" max="13842" width="5.77734375" style="2" customWidth="1"/>
    <col min="13843" max="13843" width="7.44140625" style="2" customWidth="1"/>
    <col min="13844" max="13844" width="4" style="2" customWidth="1"/>
    <col min="13845" max="13845" width="6.44140625" style="2" customWidth="1"/>
    <col min="13846" max="13846" width="5.77734375" style="2" customWidth="1"/>
    <col min="13847" max="13847" width="6.77734375" style="2" customWidth="1"/>
    <col min="13848" max="13848" width="4.21875" style="2" customWidth="1"/>
    <col min="13849" max="13849" width="7.21875" style="2" customWidth="1"/>
    <col min="13850" max="14080" width="9.21875" style="2"/>
    <col min="14081" max="14081" width="4.5546875" style="2" customWidth="1"/>
    <col min="14082" max="14083" width="6.77734375" style="2" customWidth="1"/>
    <col min="14084" max="14084" width="3.21875" style="2" customWidth="1"/>
    <col min="14085" max="14085" width="4.21875" style="2" customWidth="1"/>
    <col min="14086" max="14086" width="5.44140625" style="2" customWidth="1"/>
    <col min="14087" max="14087" width="7.77734375" style="2" customWidth="1"/>
    <col min="14088" max="14088" width="5.21875" style="2" customWidth="1"/>
    <col min="14089" max="14089" width="7" style="2" customWidth="1"/>
    <col min="14090" max="14090" width="5.21875" style="2" customWidth="1"/>
    <col min="14091" max="14091" width="7" style="2" customWidth="1"/>
    <col min="14092" max="14092" width="4.21875" style="2" customWidth="1"/>
    <col min="14093" max="14093" width="6.77734375" style="2" customWidth="1"/>
    <col min="14094" max="14094" width="5.44140625" style="2" customWidth="1"/>
    <col min="14095" max="14095" width="7" style="2" customWidth="1"/>
    <col min="14096" max="14096" width="5.21875" style="2" customWidth="1"/>
    <col min="14097" max="14097" width="4.77734375" style="2" customWidth="1"/>
    <col min="14098" max="14098" width="5.77734375" style="2" customWidth="1"/>
    <col min="14099" max="14099" width="7.44140625" style="2" customWidth="1"/>
    <col min="14100" max="14100" width="4" style="2" customWidth="1"/>
    <col min="14101" max="14101" width="6.44140625" style="2" customWidth="1"/>
    <col min="14102" max="14102" width="5.77734375" style="2" customWidth="1"/>
    <col min="14103" max="14103" width="6.77734375" style="2" customWidth="1"/>
    <col min="14104" max="14104" width="4.21875" style="2" customWidth="1"/>
    <col min="14105" max="14105" width="7.21875" style="2" customWidth="1"/>
    <col min="14106" max="14336" width="9.21875" style="2"/>
    <col min="14337" max="14337" width="4.5546875" style="2" customWidth="1"/>
    <col min="14338" max="14339" width="6.77734375" style="2" customWidth="1"/>
    <col min="14340" max="14340" width="3.21875" style="2" customWidth="1"/>
    <col min="14341" max="14341" width="4.21875" style="2" customWidth="1"/>
    <col min="14342" max="14342" width="5.44140625" style="2" customWidth="1"/>
    <col min="14343" max="14343" width="7.77734375" style="2" customWidth="1"/>
    <col min="14344" max="14344" width="5.21875" style="2" customWidth="1"/>
    <col min="14345" max="14345" width="7" style="2" customWidth="1"/>
    <col min="14346" max="14346" width="5.21875" style="2" customWidth="1"/>
    <col min="14347" max="14347" width="7" style="2" customWidth="1"/>
    <col min="14348" max="14348" width="4.21875" style="2" customWidth="1"/>
    <col min="14349" max="14349" width="6.77734375" style="2" customWidth="1"/>
    <col min="14350" max="14350" width="5.44140625" style="2" customWidth="1"/>
    <col min="14351" max="14351" width="7" style="2" customWidth="1"/>
    <col min="14352" max="14352" width="5.21875" style="2" customWidth="1"/>
    <col min="14353" max="14353" width="4.77734375" style="2" customWidth="1"/>
    <col min="14354" max="14354" width="5.77734375" style="2" customWidth="1"/>
    <col min="14355" max="14355" width="7.44140625" style="2" customWidth="1"/>
    <col min="14356" max="14356" width="4" style="2" customWidth="1"/>
    <col min="14357" max="14357" width="6.44140625" style="2" customWidth="1"/>
    <col min="14358" max="14358" width="5.77734375" style="2" customWidth="1"/>
    <col min="14359" max="14359" width="6.77734375" style="2" customWidth="1"/>
    <col min="14360" max="14360" width="4.21875" style="2" customWidth="1"/>
    <col min="14361" max="14361" width="7.21875" style="2" customWidth="1"/>
    <col min="14362" max="14592" width="9.21875" style="2"/>
    <col min="14593" max="14593" width="4.5546875" style="2" customWidth="1"/>
    <col min="14594" max="14595" width="6.77734375" style="2" customWidth="1"/>
    <col min="14596" max="14596" width="3.21875" style="2" customWidth="1"/>
    <col min="14597" max="14597" width="4.21875" style="2" customWidth="1"/>
    <col min="14598" max="14598" width="5.44140625" style="2" customWidth="1"/>
    <col min="14599" max="14599" width="7.77734375" style="2" customWidth="1"/>
    <col min="14600" max="14600" width="5.21875" style="2" customWidth="1"/>
    <col min="14601" max="14601" width="7" style="2" customWidth="1"/>
    <col min="14602" max="14602" width="5.21875" style="2" customWidth="1"/>
    <col min="14603" max="14603" width="7" style="2" customWidth="1"/>
    <col min="14604" max="14604" width="4.21875" style="2" customWidth="1"/>
    <col min="14605" max="14605" width="6.77734375" style="2" customWidth="1"/>
    <col min="14606" max="14606" width="5.44140625" style="2" customWidth="1"/>
    <col min="14607" max="14607" width="7" style="2" customWidth="1"/>
    <col min="14608" max="14608" width="5.21875" style="2" customWidth="1"/>
    <col min="14609" max="14609" width="4.77734375" style="2" customWidth="1"/>
    <col min="14610" max="14610" width="5.77734375" style="2" customWidth="1"/>
    <col min="14611" max="14611" width="7.44140625" style="2" customWidth="1"/>
    <col min="14612" max="14612" width="4" style="2" customWidth="1"/>
    <col min="14613" max="14613" width="6.44140625" style="2" customWidth="1"/>
    <col min="14614" max="14614" width="5.77734375" style="2" customWidth="1"/>
    <col min="14615" max="14615" width="6.77734375" style="2" customWidth="1"/>
    <col min="14616" max="14616" width="4.21875" style="2" customWidth="1"/>
    <col min="14617" max="14617" width="7.21875" style="2" customWidth="1"/>
    <col min="14618" max="14848" width="9.21875" style="2"/>
    <col min="14849" max="14849" width="4.5546875" style="2" customWidth="1"/>
    <col min="14850" max="14851" width="6.77734375" style="2" customWidth="1"/>
    <col min="14852" max="14852" width="3.21875" style="2" customWidth="1"/>
    <col min="14853" max="14853" width="4.21875" style="2" customWidth="1"/>
    <col min="14854" max="14854" width="5.44140625" style="2" customWidth="1"/>
    <col min="14855" max="14855" width="7.77734375" style="2" customWidth="1"/>
    <col min="14856" max="14856" width="5.21875" style="2" customWidth="1"/>
    <col min="14857" max="14857" width="7" style="2" customWidth="1"/>
    <col min="14858" max="14858" width="5.21875" style="2" customWidth="1"/>
    <col min="14859" max="14859" width="7" style="2" customWidth="1"/>
    <col min="14860" max="14860" width="4.21875" style="2" customWidth="1"/>
    <col min="14861" max="14861" width="6.77734375" style="2" customWidth="1"/>
    <col min="14862" max="14862" width="5.44140625" style="2" customWidth="1"/>
    <col min="14863" max="14863" width="7" style="2" customWidth="1"/>
    <col min="14864" max="14864" width="5.21875" style="2" customWidth="1"/>
    <col min="14865" max="14865" width="4.77734375" style="2" customWidth="1"/>
    <col min="14866" max="14866" width="5.77734375" style="2" customWidth="1"/>
    <col min="14867" max="14867" width="7.44140625" style="2" customWidth="1"/>
    <col min="14868" max="14868" width="4" style="2" customWidth="1"/>
    <col min="14869" max="14869" width="6.44140625" style="2" customWidth="1"/>
    <col min="14870" max="14870" width="5.77734375" style="2" customWidth="1"/>
    <col min="14871" max="14871" width="6.77734375" style="2" customWidth="1"/>
    <col min="14872" max="14872" width="4.21875" style="2" customWidth="1"/>
    <col min="14873" max="14873" width="7.21875" style="2" customWidth="1"/>
    <col min="14874" max="15104" width="9.21875" style="2"/>
    <col min="15105" max="15105" width="4.5546875" style="2" customWidth="1"/>
    <col min="15106" max="15107" width="6.77734375" style="2" customWidth="1"/>
    <col min="15108" max="15108" width="3.21875" style="2" customWidth="1"/>
    <col min="15109" max="15109" width="4.21875" style="2" customWidth="1"/>
    <col min="15110" max="15110" width="5.44140625" style="2" customWidth="1"/>
    <col min="15111" max="15111" width="7.77734375" style="2" customWidth="1"/>
    <col min="15112" max="15112" width="5.21875" style="2" customWidth="1"/>
    <col min="15113" max="15113" width="7" style="2" customWidth="1"/>
    <col min="15114" max="15114" width="5.21875" style="2" customWidth="1"/>
    <col min="15115" max="15115" width="7" style="2" customWidth="1"/>
    <col min="15116" max="15116" width="4.21875" style="2" customWidth="1"/>
    <col min="15117" max="15117" width="6.77734375" style="2" customWidth="1"/>
    <col min="15118" max="15118" width="5.44140625" style="2" customWidth="1"/>
    <col min="15119" max="15119" width="7" style="2" customWidth="1"/>
    <col min="15120" max="15120" width="5.21875" style="2" customWidth="1"/>
    <col min="15121" max="15121" width="4.77734375" style="2" customWidth="1"/>
    <col min="15122" max="15122" width="5.77734375" style="2" customWidth="1"/>
    <col min="15123" max="15123" width="7.44140625" style="2" customWidth="1"/>
    <col min="15124" max="15124" width="4" style="2" customWidth="1"/>
    <col min="15125" max="15125" width="6.44140625" style="2" customWidth="1"/>
    <col min="15126" max="15126" width="5.77734375" style="2" customWidth="1"/>
    <col min="15127" max="15127" width="6.77734375" style="2" customWidth="1"/>
    <col min="15128" max="15128" width="4.21875" style="2" customWidth="1"/>
    <col min="15129" max="15129" width="7.21875" style="2" customWidth="1"/>
    <col min="15130" max="15360" width="9.21875" style="2"/>
    <col min="15361" max="15361" width="4.5546875" style="2" customWidth="1"/>
    <col min="15362" max="15363" width="6.77734375" style="2" customWidth="1"/>
    <col min="15364" max="15364" width="3.21875" style="2" customWidth="1"/>
    <col min="15365" max="15365" width="4.21875" style="2" customWidth="1"/>
    <col min="15366" max="15366" width="5.44140625" style="2" customWidth="1"/>
    <col min="15367" max="15367" width="7.77734375" style="2" customWidth="1"/>
    <col min="15368" max="15368" width="5.21875" style="2" customWidth="1"/>
    <col min="15369" max="15369" width="7" style="2" customWidth="1"/>
    <col min="15370" max="15370" width="5.21875" style="2" customWidth="1"/>
    <col min="15371" max="15371" width="7" style="2" customWidth="1"/>
    <col min="15372" max="15372" width="4.21875" style="2" customWidth="1"/>
    <col min="15373" max="15373" width="6.77734375" style="2" customWidth="1"/>
    <col min="15374" max="15374" width="5.44140625" style="2" customWidth="1"/>
    <col min="15375" max="15375" width="7" style="2" customWidth="1"/>
    <col min="15376" max="15376" width="5.21875" style="2" customWidth="1"/>
    <col min="15377" max="15377" width="4.77734375" style="2" customWidth="1"/>
    <col min="15378" max="15378" width="5.77734375" style="2" customWidth="1"/>
    <col min="15379" max="15379" width="7.44140625" style="2" customWidth="1"/>
    <col min="15380" max="15380" width="4" style="2" customWidth="1"/>
    <col min="15381" max="15381" width="6.44140625" style="2" customWidth="1"/>
    <col min="15382" max="15382" width="5.77734375" style="2" customWidth="1"/>
    <col min="15383" max="15383" width="6.77734375" style="2" customWidth="1"/>
    <col min="15384" max="15384" width="4.21875" style="2" customWidth="1"/>
    <col min="15385" max="15385" width="7.21875" style="2" customWidth="1"/>
    <col min="15386" max="15616" width="9.21875" style="2"/>
    <col min="15617" max="15617" width="4.5546875" style="2" customWidth="1"/>
    <col min="15618" max="15619" width="6.77734375" style="2" customWidth="1"/>
    <col min="15620" max="15620" width="3.21875" style="2" customWidth="1"/>
    <col min="15621" max="15621" width="4.21875" style="2" customWidth="1"/>
    <col min="15622" max="15622" width="5.44140625" style="2" customWidth="1"/>
    <col min="15623" max="15623" width="7.77734375" style="2" customWidth="1"/>
    <col min="15624" max="15624" width="5.21875" style="2" customWidth="1"/>
    <col min="15625" max="15625" width="7" style="2" customWidth="1"/>
    <col min="15626" max="15626" width="5.21875" style="2" customWidth="1"/>
    <col min="15627" max="15627" width="7" style="2" customWidth="1"/>
    <col min="15628" max="15628" width="4.21875" style="2" customWidth="1"/>
    <col min="15629" max="15629" width="6.77734375" style="2" customWidth="1"/>
    <col min="15630" max="15630" width="5.44140625" style="2" customWidth="1"/>
    <col min="15631" max="15631" width="7" style="2" customWidth="1"/>
    <col min="15632" max="15632" width="5.21875" style="2" customWidth="1"/>
    <col min="15633" max="15633" width="4.77734375" style="2" customWidth="1"/>
    <col min="15634" max="15634" width="5.77734375" style="2" customWidth="1"/>
    <col min="15635" max="15635" width="7.44140625" style="2" customWidth="1"/>
    <col min="15636" max="15636" width="4" style="2" customWidth="1"/>
    <col min="15637" max="15637" width="6.44140625" style="2" customWidth="1"/>
    <col min="15638" max="15638" width="5.77734375" style="2" customWidth="1"/>
    <col min="15639" max="15639" width="6.77734375" style="2" customWidth="1"/>
    <col min="15640" max="15640" width="4.21875" style="2" customWidth="1"/>
    <col min="15641" max="15641" width="7.21875" style="2" customWidth="1"/>
    <col min="15642" max="15872" width="9.21875" style="2"/>
    <col min="15873" max="15873" width="4.5546875" style="2" customWidth="1"/>
    <col min="15874" max="15875" width="6.77734375" style="2" customWidth="1"/>
    <col min="15876" max="15876" width="3.21875" style="2" customWidth="1"/>
    <col min="15877" max="15877" width="4.21875" style="2" customWidth="1"/>
    <col min="15878" max="15878" width="5.44140625" style="2" customWidth="1"/>
    <col min="15879" max="15879" width="7.77734375" style="2" customWidth="1"/>
    <col min="15880" max="15880" width="5.21875" style="2" customWidth="1"/>
    <col min="15881" max="15881" width="7" style="2" customWidth="1"/>
    <col min="15882" max="15882" width="5.21875" style="2" customWidth="1"/>
    <col min="15883" max="15883" width="7" style="2" customWidth="1"/>
    <col min="15884" max="15884" width="4.21875" style="2" customWidth="1"/>
    <col min="15885" max="15885" width="6.77734375" style="2" customWidth="1"/>
    <col min="15886" max="15886" width="5.44140625" style="2" customWidth="1"/>
    <col min="15887" max="15887" width="7" style="2" customWidth="1"/>
    <col min="15888" max="15888" width="5.21875" style="2" customWidth="1"/>
    <col min="15889" max="15889" width="4.77734375" style="2" customWidth="1"/>
    <col min="15890" max="15890" width="5.77734375" style="2" customWidth="1"/>
    <col min="15891" max="15891" width="7.44140625" style="2" customWidth="1"/>
    <col min="15892" max="15892" width="4" style="2" customWidth="1"/>
    <col min="15893" max="15893" width="6.44140625" style="2" customWidth="1"/>
    <col min="15894" max="15894" width="5.77734375" style="2" customWidth="1"/>
    <col min="15895" max="15895" width="6.77734375" style="2" customWidth="1"/>
    <col min="15896" max="15896" width="4.21875" style="2" customWidth="1"/>
    <col min="15897" max="15897" width="7.21875" style="2" customWidth="1"/>
    <col min="15898" max="16128" width="9.21875" style="2"/>
    <col min="16129" max="16129" width="4.5546875" style="2" customWidth="1"/>
    <col min="16130" max="16131" width="6.77734375" style="2" customWidth="1"/>
    <col min="16132" max="16132" width="3.21875" style="2" customWidth="1"/>
    <col min="16133" max="16133" width="4.21875" style="2" customWidth="1"/>
    <col min="16134" max="16134" width="5.44140625" style="2" customWidth="1"/>
    <col min="16135" max="16135" width="7.77734375" style="2" customWidth="1"/>
    <col min="16136" max="16136" width="5.21875" style="2" customWidth="1"/>
    <col min="16137" max="16137" width="7" style="2" customWidth="1"/>
    <col min="16138" max="16138" width="5.21875" style="2" customWidth="1"/>
    <col min="16139" max="16139" width="7" style="2" customWidth="1"/>
    <col min="16140" max="16140" width="4.21875" style="2" customWidth="1"/>
    <col min="16141" max="16141" width="6.77734375" style="2" customWidth="1"/>
    <col min="16142" max="16142" width="5.44140625" style="2" customWidth="1"/>
    <col min="16143" max="16143" width="7" style="2" customWidth="1"/>
    <col min="16144" max="16144" width="5.21875" style="2" customWidth="1"/>
    <col min="16145" max="16145" width="4.77734375" style="2" customWidth="1"/>
    <col min="16146" max="16146" width="5.77734375" style="2" customWidth="1"/>
    <col min="16147" max="16147" width="7.44140625" style="2" customWidth="1"/>
    <col min="16148" max="16148" width="4" style="2" customWidth="1"/>
    <col min="16149" max="16149" width="6.44140625" style="2" customWidth="1"/>
    <col min="16150" max="16150" width="5.77734375" style="2" customWidth="1"/>
    <col min="16151" max="16151" width="6.77734375" style="2" customWidth="1"/>
    <col min="16152" max="16152" width="4.21875" style="2" customWidth="1"/>
    <col min="16153" max="16153" width="7.21875" style="2" customWidth="1"/>
    <col min="16154" max="16384" width="9.21875" style="2"/>
  </cols>
  <sheetData>
    <row r="1" spans="1:28">
      <c r="A1" s="32" t="s">
        <v>103</v>
      </c>
      <c r="B1" s="32"/>
      <c r="C1" s="32"/>
      <c r="D1" s="32"/>
      <c r="E1" s="32" t="s">
        <v>104</v>
      </c>
      <c r="F1" s="32"/>
      <c r="G1" s="32"/>
      <c r="H1" s="32"/>
      <c r="I1" s="32" t="s">
        <v>105</v>
      </c>
      <c r="J1" s="32"/>
      <c r="K1" s="32"/>
      <c r="L1" s="32"/>
      <c r="M1" s="32" t="s">
        <v>106</v>
      </c>
      <c r="N1" s="32"/>
      <c r="O1" s="32"/>
      <c r="P1" s="32"/>
      <c r="Q1" s="32" t="s">
        <v>75</v>
      </c>
      <c r="R1" s="32"/>
      <c r="S1" s="32"/>
      <c r="T1" s="32"/>
      <c r="U1" s="32" t="s">
        <v>34</v>
      </c>
      <c r="V1" s="32"/>
      <c r="W1" s="32"/>
      <c r="X1" s="32"/>
      <c r="Y1" s="32" t="s">
        <v>107</v>
      </c>
      <c r="Z1" s="32"/>
      <c r="AA1" s="32"/>
      <c r="AB1" s="32"/>
    </row>
    <row r="2" spans="1:28">
      <c r="A2" s="58" t="s">
        <v>108</v>
      </c>
      <c r="B2" s="58" t="s">
        <v>109</v>
      </c>
      <c r="C2" s="58" t="s">
        <v>110</v>
      </c>
      <c r="D2" s="32"/>
      <c r="E2" s="58" t="s">
        <v>108</v>
      </c>
      <c r="F2" s="58" t="s">
        <v>109</v>
      </c>
      <c r="G2" s="58" t="s">
        <v>110</v>
      </c>
      <c r="H2" s="32"/>
      <c r="I2" s="58" t="s">
        <v>108</v>
      </c>
      <c r="J2" s="58" t="s">
        <v>109</v>
      </c>
      <c r="K2" s="58" t="s">
        <v>110</v>
      </c>
      <c r="L2" s="32"/>
      <c r="M2" s="58" t="s">
        <v>108</v>
      </c>
      <c r="N2" s="58" t="s">
        <v>109</v>
      </c>
      <c r="O2" s="58" t="s">
        <v>110</v>
      </c>
      <c r="P2" s="58"/>
      <c r="Q2" s="58" t="s">
        <v>108</v>
      </c>
      <c r="R2" s="58" t="s">
        <v>109</v>
      </c>
      <c r="S2" s="58" t="s">
        <v>110</v>
      </c>
      <c r="T2" s="32"/>
      <c r="U2" s="58" t="s">
        <v>108</v>
      </c>
      <c r="V2" s="58" t="s">
        <v>109</v>
      </c>
      <c r="W2" s="58" t="s">
        <v>110</v>
      </c>
      <c r="X2" s="32"/>
      <c r="Y2" s="58" t="s">
        <v>111</v>
      </c>
      <c r="Z2" s="58" t="s">
        <v>112</v>
      </c>
      <c r="AA2" s="58" t="s">
        <v>110</v>
      </c>
      <c r="AB2" s="32"/>
    </row>
    <row r="3" spans="1:28">
      <c r="A3" s="59">
        <v>0</v>
      </c>
      <c r="B3" s="59">
        <v>0</v>
      </c>
      <c r="C3" s="59">
        <v>0</v>
      </c>
      <c r="D3" s="32"/>
      <c r="E3" s="59">
        <v>0</v>
      </c>
      <c r="F3" s="59">
        <v>0</v>
      </c>
      <c r="G3" s="59">
        <v>0</v>
      </c>
      <c r="H3" s="32"/>
      <c r="I3" s="59">
        <v>0</v>
      </c>
      <c r="J3" s="59">
        <v>0</v>
      </c>
      <c r="K3" s="59">
        <v>0</v>
      </c>
      <c r="L3" s="32"/>
      <c r="M3" s="59">
        <v>0</v>
      </c>
      <c r="N3" s="59">
        <v>0</v>
      </c>
      <c r="O3" s="59">
        <v>0</v>
      </c>
      <c r="P3" s="58"/>
      <c r="Q3" s="59">
        <v>0</v>
      </c>
      <c r="R3" s="59">
        <v>0</v>
      </c>
      <c r="S3" s="59">
        <v>0</v>
      </c>
      <c r="T3" s="32"/>
      <c r="U3" s="59">
        <v>0</v>
      </c>
      <c r="V3" s="59">
        <v>0</v>
      </c>
      <c r="W3" s="59">
        <v>0</v>
      </c>
      <c r="X3" s="32"/>
      <c r="Y3" s="59">
        <v>8</v>
      </c>
      <c r="Z3" s="59">
        <v>16</v>
      </c>
      <c r="AA3" s="59">
        <v>0</v>
      </c>
      <c r="AB3" s="32"/>
    </row>
    <row r="4" spans="1:28">
      <c r="A4" s="32">
        <v>1</v>
      </c>
      <c r="B4" s="32">
        <v>0</v>
      </c>
      <c r="C4" s="32">
        <v>0</v>
      </c>
      <c r="D4" s="32"/>
      <c r="E4" s="32">
        <v>1</v>
      </c>
      <c r="F4" s="32">
        <v>12</v>
      </c>
      <c r="G4" s="32">
        <v>1</v>
      </c>
      <c r="H4" s="32"/>
      <c r="I4" s="32">
        <v>1</v>
      </c>
      <c r="J4" s="32">
        <v>12</v>
      </c>
      <c r="K4" s="32">
        <v>1</v>
      </c>
      <c r="L4" s="32"/>
      <c r="M4" s="32">
        <v>1</v>
      </c>
      <c r="N4" s="32">
        <v>12</v>
      </c>
      <c r="O4" s="32">
        <v>1</v>
      </c>
      <c r="P4" s="32"/>
      <c r="Q4" s="32">
        <v>1</v>
      </c>
      <c r="R4" s="32">
        <v>12</v>
      </c>
      <c r="S4" s="32">
        <v>0</v>
      </c>
      <c r="T4" s="32"/>
      <c r="U4" s="32">
        <v>1</v>
      </c>
      <c r="V4" s="32">
        <v>14.5</v>
      </c>
      <c r="W4" s="32">
        <v>0.25</v>
      </c>
      <c r="X4" s="32"/>
      <c r="Y4" s="32">
        <v>9</v>
      </c>
      <c r="Z4" s="32">
        <v>14</v>
      </c>
      <c r="AA4" s="32">
        <v>0</v>
      </c>
      <c r="AB4" s="32"/>
    </row>
    <row r="5" spans="1:28">
      <c r="A5" s="32">
        <v>8</v>
      </c>
      <c r="B5" s="32">
        <v>40</v>
      </c>
      <c r="C5" s="32">
        <v>0.5</v>
      </c>
      <c r="D5" s="32"/>
      <c r="E5" s="32">
        <v>16.600000000000001</v>
      </c>
      <c r="F5" s="32">
        <v>12</v>
      </c>
      <c r="G5" s="32">
        <v>1.4</v>
      </c>
      <c r="H5" s="32"/>
      <c r="I5" s="32">
        <v>16.600000000000001</v>
      </c>
      <c r="J5" s="32">
        <v>12</v>
      </c>
      <c r="K5" s="32">
        <v>1.4</v>
      </c>
      <c r="L5" s="32"/>
      <c r="M5" s="32">
        <v>17</v>
      </c>
      <c r="N5" s="32">
        <v>12</v>
      </c>
      <c r="O5" s="32">
        <v>1.4</v>
      </c>
      <c r="P5" s="32"/>
      <c r="Q5" s="32">
        <v>100</v>
      </c>
      <c r="R5" s="32">
        <v>12</v>
      </c>
      <c r="S5" s="32">
        <v>9</v>
      </c>
      <c r="T5" s="32"/>
      <c r="U5" s="32">
        <v>4</v>
      </c>
      <c r="V5" s="32">
        <v>14.5</v>
      </c>
      <c r="W5" s="32">
        <v>0.5</v>
      </c>
      <c r="X5" s="32"/>
      <c r="Y5" s="32">
        <v>12</v>
      </c>
      <c r="Z5" s="32">
        <v>0</v>
      </c>
      <c r="AA5" s="32">
        <v>8</v>
      </c>
      <c r="AB5" s="32"/>
    </row>
    <row r="6" spans="1:28">
      <c r="A6" s="32">
        <v>16</v>
      </c>
      <c r="B6" s="32">
        <v>40</v>
      </c>
      <c r="C6" s="32">
        <v>0.6</v>
      </c>
      <c r="D6" s="32"/>
      <c r="E6" s="32">
        <v>33.6</v>
      </c>
      <c r="F6" s="32">
        <v>13</v>
      </c>
      <c r="G6" s="32">
        <v>2.8</v>
      </c>
      <c r="H6" s="32"/>
      <c r="I6" s="32">
        <v>33.6</v>
      </c>
      <c r="J6" s="32">
        <v>13</v>
      </c>
      <c r="K6" s="32">
        <v>2.8</v>
      </c>
      <c r="L6" s="32"/>
      <c r="M6" s="32">
        <v>34</v>
      </c>
      <c r="N6" s="32">
        <v>13</v>
      </c>
      <c r="O6" s="32">
        <v>2.8</v>
      </c>
      <c r="P6" s="32"/>
      <c r="Q6" s="32">
        <v>200</v>
      </c>
      <c r="R6" s="32">
        <v>13.5</v>
      </c>
      <c r="S6" s="32">
        <v>17</v>
      </c>
      <c r="T6" s="32"/>
      <c r="U6" s="32">
        <v>8</v>
      </c>
      <c r="V6" s="32">
        <v>14.5</v>
      </c>
      <c r="W6" s="32">
        <v>0.75</v>
      </c>
      <c r="X6" s="32"/>
      <c r="Y6" s="32"/>
      <c r="Z6" s="32"/>
      <c r="AA6" s="32"/>
      <c r="AB6" s="32"/>
    </row>
    <row r="7" spans="1:28">
      <c r="A7" s="32">
        <v>21</v>
      </c>
      <c r="B7" s="32">
        <v>40</v>
      </c>
      <c r="C7" s="32">
        <v>0.75</v>
      </c>
      <c r="D7" s="32"/>
      <c r="E7" s="32">
        <v>51.7</v>
      </c>
      <c r="F7" s="32">
        <v>15</v>
      </c>
      <c r="G7" s="32">
        <v>4</v>
      </c>
      <c r="H7" s="32"/>
      <c r="I7" s="32">
        <v>51.7</v>
      </c>
      <c r="J7" s="32">
        <v>15</v>
      </c>
      <c r="K7" s="32">
        <v>4</v>
      </c>
      <c r="L7" s="32"/>
      <c r="M7" s="32">
        <v>52</v>
      </c>
      <c r="N7" s="32">
        <v>15</v>
      </c>
      <c r="O7" s="32">
        <v>4</v>
      </c>
      <c r="P7" s="32"/>
      <c r="Q7" s="32">
        <v>300</v>
      </c>
      <c r="R7" s="32">
        <v>14.5</v>
      </c>
      <c r="S7" s="32">
        <v>22</v>
      </c>
      <c r="T7" s="32"/>
      <c r="U7" s="32">
        <v>12</v>
      </c>
      <c r="V7" s="32">
        <v>14.5</v>
      </c>
      <c r="W7" s="32">
        <v>1</v>
      </c>
      <c r="X7" s="32"/>
      <c r="Y7" s="32"/>
      <c r="Z7" s="32"/>
      <c r="AA7" s="32"/>
      <c r="AB7" s="32"/>
    </row>
    <row r="8" spans="1:28">
      <c r="A8" s="32">
        <v>26</v>
      </c>
      <c r="B8" s="32">
        <v>40</v>
      </c>
      <c r="C8" s="32">
        <v>0.85</v>
      </c>
      <c r="D8" s="32"/>
      <c r="E8" s="32">
        <v>71.099999999999994</v>
      </c>
      <c r="F8" s="32">
        <v>16</v>
      </c>
      <c r="G8" s="32">
        <v>4.7</v>
      </c>
      <c r="H8" s="32"/>
      <c r="I8" s="32">
        <v>71.099999999999994</v>
      </c>
      <c r="J8" s="32">
        <v>16</v>
      </c>
      <c r="K8" s="32">
        <v>4.7</v>
      </c>
      <c r="L8" s="32"/>
      <c r="M8" s="32">
        <v>71</v>
      </c>
      <c r="N8" s="32">
        <v>16</v>
      </c>
      <c r="O8" s="32">
        <v>4.7</v>
      </c>
      <c r="P8" s="32"/>
      <c r="Q8" s="32">
        <v>400</v>
      </c>
      <c r="R8" s="32">
        <v>16</v>
      </c>
      <c r="S8" s="32">
        <v>28</v>
      </c>
      <c r="T8" s="32"/>
      <c r="U8" s="32">
        <v>14</v>
      </c>
      <c r="V8" s="32">
        <v>14.5</v>
      </c>
      <c r="W8" s="32">
        <v>1</v>
      </c>
      <c r="X8" s="32"/>
      <c r="Y8" s="32"/>
      <c r="Z8" s="32"/>
      <c r="AA8" s="32"/>
      <c r="AB8" s="32"/>
    </row>
    <row r="9" spans="1:28">
      <c r="A9" s="32">
        <v>31</v>
      </c>
      <c r="B9" s="32">
        <v>40</v>
      </c>
      <c r="C9" s="32">
        <v>1</v>
      </c>
      <c r="D9" s="32"/>
      <c r="E9" s="32">
        <v>110</v>
      </c>
      <c r="F9" s="32">
        <v>19</v>
      </c>
      <c r="G9" s="32">
        <v>6.8</v>
      </c>
      <c r="H9" s="32"/>
      <c r="I9" s="32">
        <v>110</v>
      </c>
      <c r="J9" s="32">
        <v>19</v>
      </c>
      <c r="K9" s="32">
        <v>6.8</v>
      </c>
      <c r="L9" s="32"/>
      <c r="M9" s="32">
        <v>110</v>
      </c>
      <c r="N9" s="32">
        <v>19</v>
      </c>
      <c r="O9" s="32">
        <v>6.8</v>
      </c>
      <c r="P9" s="32"/>
      <c r="Q9" s="32">
        <v>750</v>
      </c>
      <c r="R9" s="32">
        <v>18.5</v>
      </c>
      <c r="S9" s="32">
        <v>47</v>
      </c>
      <c r="T9" s="32"/>
      <c r="U9" s="32"/>
      <c r="V9" s="32"/>
      <c r="W9" s="32"/>
      <c r="X9" s="32"/>
      <c r="Y9" s="32"/>
      <c r="Z9" s="32"/>
      <c r="AA9" s="32"/>
      <c r="AB9" s="32"/>
    </row>
    <row r="10" spans="1:28">
      <c r="A10" s="32">
        <v>41</v>
      </c>
      <c r="B10" s="32">
        <v>40</v>
      </c>
      <c r="C10" s="32">
        <v>1</v>
      </c>
      <c r="D10" s="32"/>
      <c r="E10" s="32">
        <v>160</v>
      </c>
      <c r="F10" s="32">
        <v>20</v>
      </c>
      <c r="G10" s="32">
        <v>8.4</v>
      </c>
      <c r="H10" s="32"/>
      <c r="I10" s="32">
        <v>160</v>
      </c>
      <c r="J10" s="32">
        <v>20</v>
      </c>
      <c r="K10" s="32">
        <v>8.4</v>
      </c>
      <c r="L10" s="32"/>
      <c r="M10" s="32">
        <v>160</v>
      </c>
      <c r="N10" s="32">
        <v>20</v>
      </c>
      <c r="O10" s="32">
        <v>8.4</v>
      </c>
      <c r="P10" s="32"/>
      <c r="Q10" s="32"/>
      <c r="R10" s="32"/>
      <c r="S10" s="32"/>
      <c r="T10" s="32"/>
      <c r="U10" s="32"/>
      <c r="V10" s="32"/>
      <c r="W10" s="32"/>
      <c r="X10" s="32"/>
      <c r="Y10" s="32"/>
      <c r="Z10" s="32"/>
      <c r="AA10" s="32"/>
      <c r="AB10" s="32"/>
    </row>
    <row r="11" spans="1:28">
      <c r="A11" s="32"/>
      <c r="B11" s="32"/>
      <c r="C11" s="32"/>
      <c r="D11" s="32"/>
      <c r="E11" s="32">
        <v>300</v>
      </c>
      <c r="F11" s="32">
        <v>20</v>
      </c>
      <c r="G11" s="32">
        <v>15</v>
      </c>
      <c r="H11" s="32"/>
      <c r="I11" s="32">
        <v>300</v>
      </c>
      <c r="J11" s="32">
        <v>23</v>
      </c>
      <c r="K11" s="32">
        <v>15</v>
      </c>
      <c r="L11" s="32"/>
      <c r="M11" s="32">
        <v>300</v>
      </c>
      <c r="N11" s="32">
        <v>23</v>
      </c>
      <c r="O11" s="32">
        <v>15</v>
      </c>
      <c r="P11" s="32"/>
      <c r="Q11" s="32"/>
      <c r="R11" s="32"/>
      <c r="S11" s="32"/>
      <c r="T11" s="32"/>
      <c r="U11" s="32"/>
      <c r="V11" s="32"/>
      <c r="W11" s="32"/>
      <c r="X11" s="32"/>
      <c r="Y11" s="32"/>
      <c r="Z11" s="32"/>
      <c r="AA11" s="32"/>
      <c r="AB11" s="32"/>
    </row>
    <row r="12" spans="1:28">
      <c r="A12" s="32"/>
      <c r="B12" s="32"/>
      <c r="C12" s="32"/>
      <c r="D12" s="32"/>
      <c r="E12" s="32"/>
      <c r="F12" s="32"/>
      <c r="G12" s="32"/>
      <c r="H12" s="32"/>
      <c r="I12" s="32"/>
      <c r="J12" s="32"/>
      <c r="K12" s="32"/>
      <c r="L12" s="32"/>
      <c r="M12" s="32"/>
      <c r="N12" s="32"/>
      <c r="O12" s="32"/>
      <c r="P12" s="32"/>
      <c r="Q12" s="32"/>
      <c r="R12" s="32"/>
      <c r="S12" s="32"/>
      <c r="T12" s="32"/>
      <c r="U12" s="32"/>
      <c r="V12" s="32"/>
      <c r="W12" s="32"/>
      <c r="X12" s="32"/>
      <c r="Y12" s="32"/>
      <c r="Z12" s="32"/>
      <c r="AA12" s="32"/>
      <c r="AB12" s="32"/>
    </row>
  </sheetData>
  <sheetProtection password="CDD6" sheet="1" objects="1" scenarios="1"/>
  <pageMargins left="0.75" right="0.75" top="1" bottom="1" header="0.5" footer="0.5"/>
  <pageSetup orientation="portrait" r:id="rId1"/>
  <headerFooter alignWithMargins="0">
    <oddFooter>&amp;L&amp;F</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4">
    <tabColor indexed="12"/>
  </sheetPr>
  <dimension ref="A1:H24"/>
  <sheetViews>
    <sheetView workbookViewId="0">
      <selection activeCell="C4" sqref="C4"/>
    </sheetView>
  </sheetViews>
  <sheetFormatPr defaultRowHeight="13.2"/>
  <cols>
    <col min="1" max="1" width="8.77734375" style="2"/>
    <col min="2" max="2" width="24" style="2" customWidth="1"/>
    <col min="3" max="3" width="13.5546875" style="2" customWidth="1"/>
    <col min="4" max="4" width="3.21875" style="2" customWidth="1"/>
    <col min="5" max="5" width="14.77734375" style="2" customWidth="1"/>
    <col min="6" max="6" width="3.21875" style="2" customWidth="1"/>
    <col min="7" max="7" width="14.5546875" style="2" customWidth="1"/>
    <col min="8" max="8" width="3.21875" style="2" customWidth="1"/>
    <col min="9" max="257" width="8.77734375" style="2"/>
    <col min="258" max="258" width="24" style="2" customWidth="1"/>
    <col min="259" max="259" width="13.5546875" style="2" customWidth="1"/>
    <col min="260" max="260" width="3.21875" style="2" customWidth="1"/>
    <col min="261" max="261" width="14.77734375" style="2" customWidth="1"/>
    <col min="262" max="262" width="3.21875" style="2" customWidth="1"/>
    <col min="263" max="263" width="14.5546875" style="2" customWidth="1"/>
    <col min="264" max="264" width="3.21875" style="2" customWidth="1"/>
    <col min="265" max="513" width="8.77734375" style="2"/>
    <col min="514" max="514" width="24" style="2" customWidth="1"/>
    <col min="515" max="515" width="13.5546875" style="2" customWidth="1"/>
    <col min="516" max="516" width="3.21875" style="2" customWidth="1"/>
    <col min="517" max="517" width="14.77734375" style="2" customWidth="1"/>
    <col min="518" max="518" width="3.21875" style="2" customWidth="1"/>
    <col min="519" max="519" width="14.5546875" style="2" customWidth="1"/>
    <col min="520" max="520" width="3.21875" style="2" customWidth="1"/>
    <col min="521" max="769" width="8.77734375" style="2"/>
    <col min="770" max="770" width="24" style="2" customWidth="1"/>
    <col min="771" max="771" width="13.5546875" style="2" customWidth="1"/>
    <col min="772" max="772" width="3.21875" style="2" customWidth="1"/>
    <col min="773" max="773" width="14.77734375" style="2" customWidth="1"/>
    <col min="774" max="774" width="3.21875" style="2" customWidth="1"/>
    <col min="775" max="775" width="14.5546875" style="2" customWidth="1"/>
    <col min="776" max="776" width="3.21875" style="2" customWidth="1"/>
    <col min="777" max="1025" width="8.77734375" style="2"/>
    <col min="1026" max="1026" width="24" style="2" customWidth="1"/>
    <col min="1027" max="1027" width="13.5546875" style="2" customWidth="1"/>
    <col min="1028" max="1028" width="3.21875" style="2" customWidth="1"/>
    <col min="1029" max="1029" width="14.77734375" style="2" customWidth="1"/>
    <col min="1030" max="1030" width="3.21875" style="2" customWidth="1"/>
    <col min="1031" max="1031" width="14.5546875" style="2" customWidth="1"/>
    <col min="1032" max="1032" width="3.21875" style="2" customWidth="1"/>
    <col min="1033" max="1281" width="8.77734375" style="2"/>
    <col min="1282" max="1282" width="24" style="2" customWidth="1"/>
    <col min="1283" max="1283" width="13.5546875" style="2" customWidth="1"/>
    <col min="1284" max="1284" width="3.21875" style="2" customWidth="1"/>
    <col min="1285" max="1285" width="14.77734375" style="2" customWidth="1"/>
    <col min="1286" max="1286" width="3.21875" style="2" customWidth="1"/>
    <col min="1287" max="1287" width="14.5546875" style="2" customWidth="1"/>
    <col min="1288" max="1288" width="3.21875" style="2" customWidth="1"/>
    <col min="1289" max="1537" width="8.77734375" style="2"/>
    <col min="1538" max="1538" width="24" style="2" customWidth="1"/>
    <col min="1539" max="1539" width="13.5546875" style="2" customWidth="1"/>
    <col min="1540" max="1540" width="3.21875" style="2" customWidth="1"/>
    <col min="1541" max="1541" width="14.77734375" style="2" customWidth="1"/>
    <col min="1542" max="1542" width="3.21875" style="2" customWidth="1"/>
    <col min="1543" max="1543" width="14.5546875" style="2" customWidth="1"/>
    <col min="1544" max="1544" width="3.21875" style="2" customWidth="1"/>
    <col min="1545" max="1793" width="8.77734375" style="2"/>
    <col min="1794" max="1794" width="24" style="2" customWidth="1"/>
    <col min="1795" max="1795" width="13.5546875" style="2" customWidth="1"/>
    <col min="1796" max="1796" width="3.21875" style="2" customWidth="1"/>
    <col min="1797" max="1797" width="14.77734375" style="2" customWidth="1"/>
    <col min="1798" max="1798" width="3.21875" style="2" customWidth="1"/>
    <col min="1799" max="1799" width="14.5546875" style="2" customWidth="1"/>
    <col min="1800" max="1800" width="3.21875" style="2" customWidth="1"/>
    <col min="1801" max="2049" width="8.77734375" style="2"/>
    <col min="2050" max="2050" width="24" style="2" customWidth="1"/>
    <col min="2051" max="2051" width="13.5546875" style="2" customWidth="1"/>
    <col min="2052" max="2052" width="3.21875" style="2" customWidth="1"/>
    <col min="2053" max="2053" width="14.77734375" style="2" customWidth="1"/>
    <col min="2054" max="2054" width="3.21875" style="2" customWidth="1"/>
    <col min="2055" max="2055" width="14.5546875" style="2" customWidth="1"/>
    <col min="2056" max="2056" width="3.21875" style="2" customWidth="1"/>
    <col min="2057" max="2305" width="8.77734375" style="2"/>
    <col min="2306" max="2306" width="24" style="2" customWidth="1"/>
    <col min="2307" max="2307" width="13.5546875" style="2" customWidth="1"/>
    <col min="2308" max="2308" width="3.21875" style="2" customWidth="1"/>
    <col min="2309" max="2309" width="14.77734375" style="2" customWidth="1"/>
    <col min="2310" max="2310" width="3.21875" style="2" customWidth="1"/>
    <col min="2311" max="2311" width="14.5546875" style="2" customWidth="1"/>
    <col min="2312" max="2312" width="3.21875" style="2" customWidth="1"/>
    <col min="2313" max="2561" width="8.77734375" style="2"/>
    <col min="2562" max="2562" width="24" style="2" customWidth="1"/>
    <col min="2563" max="2563" width="13.5546875" style="2" customWidth="1"/>
    <col min="2564" max="2564" width="3.21875" style="2" customWidth="1"/>
    <col min="2565" max="2565" width="14.77734375" style="2" customWidth="1"/>
    <col min="2566" max="2566" width="3.21875" style="2" customWidth="1"/>
    <col min="2567" max="2567" width="14.5546875" style="2" customWidth="1"/>
    <col min="2568" max="2568" width="3.21875" style="2" customWidth="1"/>
    <col min="2569" max="2817" width="8.77734375" style="2"/>
    <col min="2818" max="2818" width="24" style="2" customWidth="1"/>
    <col min="2819" max="2819" width="13.5546875" style="2" customWidth="1"/>
    <col min="2820" max="2820" width="3.21875" style="2" customWidth="1"/>
    <col min="2821" max="2821" width="14.77734375" style="2" customWidth="1"/>
    <col min="2822" max="2822" width="3.21875" style="2" customWidth="1"/>
    <col min="2823" max="2823" width="14.5546875" style="2" customWidth="1"/>
    <col min="2824" max="2824" width="3.21875" style="2" customWidth="1"/>
    <col min="2825" max="3073" width="8.77734375" style="2"/>
    <col min="3074" max="3074" width="24" style="2" customWidth="1"/>
    <col min="3075" max="3075" width="13.5546875" style="2" customWidth="1"/>
    <col min="3076" max="3076" width="3.21875" style="2" customWidth="1"/>
    <col min="3077" max="3077" width="14.77734375" style="2" customWidth="1"/>
    <col min="3078" max="3078" width="3.21875" style="2" customWidth="1"/>
    <col min="3079" max="3079" width="14.5546875" style="2" customWidth="1"/>
    <col min="3080" max="3080" width="3.21875" style="2" customWidth="1"/>
    <col min="3081" max="3329" width="8.77734375" style="2"/>
    <col min="3330" max="3330" width="24" style="2" customWidth="1"/>
    <col min="3331" max="3331" width="13.5546875" style="2" customWidth="1"/>
    <col min="3332" max="3332" width="3.21875" style="2" customWidth="1"/>
    <col min="3333" max="3333" width="14.77734375" style="2" customWidth="1"/>
    <col min="3334" max="3334" width="3.21875" style="2" customWidth="1"/>
    <col min="3335" max="3335" width="14.5546875" style="2" customWidth="1"/>
    <col min="3336" max="3336" width="3.21875" style="2" customWidth="1"/>
    <col min="3337" max="3585" width="8.77734375" style="2"/>
    <col min="3586" max="3586" width="24" style="2" customWidth="1"/>
    <col min="3587" max="3587" width="13.5546875" style="2" customWidth="1"/>
    <col min="3588" max="3588" width="3.21875" style="2" customWidth="1"/>
    <col min="3589" max="3589" width="14.77734375" style="2" customWidth="1"/>
    <col min="3590" max="3590" width="3.21875" style="2" customWidth="1"/>
    <col min="3591" max="3591" width="14.5546875" style="2" customWidth="1"/>
    <col min="3592" max="3592" width="3.21875" style="2" customWidth="1"/>
    <col min="3593" max="3841" width="8.77734375" style="2"/>
    <col min="3842" max="3842" width="24" style="2" customWidth="1"/>
    <col min="3843" max="3843" width="13.5546875" style="2" customWidth="1"/>
    <col min="3844" max="3844" width="3.21875" style="2" customWidth="1"/>
    <col min="3845" max="3845" width="14.77734375" style="2" customWidth="1"/>
    <col min="3846" max="3846" width="3.21875" style="2" customWidth="1"/>
    <col min="3847" max="3847" width="14.5546875" style="2" customWidth="1"/>
    <col min="3848" max="3848" width="3.21875" style="2" customWidth="1"/>
    <col min="3849" max="4097" width="8.77734375" style="2"/>
    <col min="4098" max="4098" width="24" style="2" customWidth="1"/>
    <col min="4099" max="4099" width="13.5546875" style="2" customWidth="1"/>
    <col min="4100" max="4100" width="3.21875" style="2" customWidth="1"/>
    <col min="4101" max="4101" width="14.77734375" style="2" customWidth="1"/>
    <col min="4102" max="4102" width="3.21875" style="2" customWidth="1"/>
    <col min="4103" max="4103" width="14.5546875" style="2" customWidth="1"/>
    <col min="4104" max="4104" width="3.21875" style="2" customWidth="1"/>
    <col min="4105" max="4353" width="8.77734375" style="2"/>
    <col min="4354" max="4354" width="24" style="2" customWidth="1"/>
    <col min="4355" max="4355" width="13.5546875" style="2" customWidth="1"/>
    <col min="4356" max="4356" width="3.21875" style="2" customWidth="1"/>
    <col min="4357" max="4357" width="14.77734375" style="2" customWidth="1"/>
    <col min="4358" max="4358" width="3.21875" style="2" customWidth="1"/>
    <col min="4359" max="4359" width="14.5546875" style="2" customWidth="1"/>
    <col min="4360" max="4360" width="3.21875" style="2" customWidth="1"/>
    <col min="4361" max="4609" width="8.77734375" style="2"/>
    <col min="4610" max="4610" width="24" style="2" customWidth="1"/>
    <col min="4611" max="4611" width="13.5546875" style="2" customWidth="1"/>
    <col min="4612" max="4612" width="3.21875" style="2" customWidth="1"/>
    <col min="4613" max="4613" width="14.77734375" style="2" customWidth="1"/>
    <col min="4614" max="4614" width="3.21875" style="2" customWidth="1"/>
    <col min="4615" max="4615" width="14.5546875" style="2" customWidth="1"/>
    <col min="4616" max="4616" width="3.21875" style="2" customWidth="1"/>
    <col min="4617" max="4865" width="8.77734375" style="2"/>
    <col min="4866" max="4866" width="24" style="2" customWidth="1"/>
    <col min="4867" max="4867" width="13.5546875" style="2" customWidth="1"/>
    <col min="4868" max="4868" width="3.21875" style="2" customWidth="1"/>
    <col min="4869" max="4869" width="14.77734375" style="2" customWidth="1"/>
    <col min="4870" max="4870" width="3.21875" style="2" customWidth="1"/>
    <col min="4871" max="4871" width="14.5546875" style="2" customWidth="1"/>
    <col min="4872" max="4872" width="3.21875" style="2" customWidth="1"/>
    <col min="4873" max="5121" width="8.77734375" style="2"/>
    <col min="5122" max="5122" width="24" style="2" customWidth="1"/>
    <col min="5123" max="5123" width="13.5546875" style="2" customWidth="1"/>
    <col min="5124" max="5124" width="3.21875" style="2" customWidth="1"/>
    <col min="5125" max="5125" width="14.77734375" style="2" customWidth="1"/>
    <col min="5126" max="5126" width="3.21875" style="2" customWidth="1"/>
    <col min="5127" max="5127" width="14.5546875" style="2" customWidth="1"/>
    <col min="5128" max="5128" width="3.21875" style="2" customWidth="1"/>
    <col min="5129" max="5377" width="8.77734375" style="2"/>
    <col min="5378" max="5378" width="24" style="2" customWidth="1"/>
    <col min="5379" max="5379" width="13.5546875" style="2" customWidth="1"/>
    <col min="5380" max="5380" width="3.21875" style="2" customWidth="1"/>
    <col min="5381" max="5381" width="14.77734375" style="2" customWidth="1"/>
    <col min="5382" max="5382" width="3.21875" style="2" customWidth="1"/>
    <col min="5383" max="5383" width="14.5546875" style="2" customWidth="1"/>
    <col min="5384" max="5384" width="3.21875" style="2" customWidth="1"/>
    <col min="5385" max="5633" width="8.77734375" style="2"/>
    <col min="5634" max="5634" width="24" style="2" customWidth="1"/>
    <col min="5635" max="5635" width="13.5546875" style="2" customWidth="1"/>
    <col min="5636" max="5636" width="3.21875" style="2" customWidth="1"/>
    <col min="5637" max="5637" width="14.77734375" style="2" customWidth="1"/>
    <col min="5638" max="5638" width="3.21875" style="2" customWidth="1"/>
    <col min="5639" max="5639" width="14.5546875" style="2" customWidth="1"/>
    <col min="5640" max="5640" width="3.21875" style="2" customWidth="1"/>
    <col min="5641" max="5889" width="8.77734375" style="2"/>
    <col min="5890" max="5890" width="24" style="2" customWidth="1"/>
    <col min="5891" max="5891" width="13.5546875" style="2" customWidth="1"/>
    <col min="5892" max="5892" width="3.21875" style="2" customWidth="1"/>
    <col min="5893" max="5893" width="14.77734375" style="2" customWidth="1"/>
    <col min="5894" max="5894" width="3.21875" style="2" customWidth="1"/>
    <col min="5895" max="5895" width="14.5546875" style="2" customWidth="1"/>
    <col min="5896" max="5896" width="3.21875" style="2" customWidth="1"/>
    <col min="5897" max="6145" width="8.77734375" style="2"/>
    <col min="6146" max="6146" width="24" style="2" customWidth="1"/>
    <col min="6147" max="6147" width="13.5546875" style="2" customWidth="1"/>
    <col min="6148" max="6148" width="3.21875" style="2" customWidth="1"/>
    <col min="6149" max="6149" width="14.77734375" style="2" customWidth="1"/>
    <col min="6150" max="6150" width="3.21875" style="2" customWidth="1"/>
    <col min="6151" max="6151" width="14.5546875" style="2" customWidth="1"/>
    <col min="6152" max="6152" width="3.21875" style="2" customWidth="1"/>
    <col min="6153" max="6401" width="8.77734375" style="2"/>
    <col min="6402" max="6402" width="24" style="2" customWidth="1"/>
    <col min="6403" max="6403" width="13.5546875" style="2" customWidth="1"/>
    <col min="6404" max="6404" width="3.21875" style="2" customWidth="1"/>
    <col min="6405" max="6405" width="14.77734375" style="2" customWidth="1"/>
    <col min="6406" max="6406" width="3.21875" style="2" customWidth="1"/>
    <col min="6407" max="6407" width="14.5546875" style="2" customWidth="1"/>
    <col min="6408" max="6408" width="3.21875" style="2" customWidth="1"/>
    <col min="6409" max="6657" width="8.77734375" style="2"/>
    <col min="6658" max="6658" width="24" style="2" customWidth="1"/>
    <col min="6659" max="6659" width="13.5546875" style="2" customWidth="1"/>
    <col min="6660" max="6660" width="3.21875" style="2" customWidth="1"/>
    <col min="6661" max="6661" width="14.77734375" style="2" customWidth="1"/>
    <col min="6662" max="6662" width="3.21875" style="2" customWidth="1"/>
    <col min="6663" max="6663" width="14.5546875" style="2" customWidth="1"/>
    <col min="6664" max="6664" width="3.21875" style="2" customWidth="1"/>
    <col min="6665" max="6913" width="8.77734375" style="2"/>
    <col min="6914" max="6914" width="24" style="2" customWidth="1"/>
    <col min="6915" max="6915" width="13.5546875" style="2" customWidth="1"/>
    <col min="6916" max="6916" width="3.21875" style="2" customWidth="1"/>
    <col min="6917" max="6917" width="14.77734375" style="2" customWidth="1"/>
    <col min="6918" max="6918" width="3.21875" style="2" customWidth="1"/>
    <col min="6919" max="6919" width="14.5546875" style="2" customWidth="1"/>
    <col min="6920" max="6920" width="3.21875" style="2" customWidth="1"/>
    <col min="6921" max="7169" width="8.77734375" style="2"/>
    <col min="7170" max="7170" width="24" style="2" customWidth="1"/>
    <col min="7171" max="7171" width="13.5546875" style="2" customWidth="1"/>
    <col min="7172" max="7172" width="3.21875" style="2" customWidth="1"/>
    <col min="7173" max="7173" width="14.77734375" style="2" customWidth="1"/>
    <col min="7174" max="7174" width="3.21875" style="2" customWidth="1"/>
    <col min="7175" max="7175" width="14.5546875" style="2" customWidth="1"/>
    <col min="7176" max="7176" width="3.21875" style="2" customWidth="1"/>
    <col min="7177" max="7425" width="8.77734375" style="2"/>
    <col min="7426" max="7426" width="24" style="2" customWidth="1"/>
    <col min="7427" max="7427" width="13.5546875" style="2" customWidth="1"/>
    <col min="7428" max="7428" width="3.21875" style="2" customWidth="1"/>
    <col min="7429" max="7429" width="14.77734375" style="2" customWidth="1"/>
    <col min="7430" max="7430" width="3.21875" style="2" customWidth="1"/>
    <col min="7431" max="7431" width="14.5546875" style="2" customWidth="1"/>
    <col min="7432" max="7432" width="3.21875" style="2" customWidth="1"/>
    <col min="7433" max="7681" width="8.77734375" style="2"/>
    <col min="7682" max="7682" width="24" style="2" customWidth="1"/>
    <col min="7683" max="7683" width="13.5546875" style="2" customWidth="1"/>
    <col min="7684" max="7684" width="3.21875" style="2" customWidth="1"/>
    <col min="7685" max="7685" width="14.77734375" style="2" customWidth="1"/>
    <col min="7686" max="7686" width="3.21875" style="2" customWidth="1"/>
    <col min="7687" max="7687" width="14.5546875" style="2" customWidth="1"/>
    <col min="7688" max="7688" width="3.21875" style="2" customWidth="1"/>
    <col min="7689" max="7937" width="8.77734375" style="2"/>
    <col min="7938" max="7938" width="24" style="2" customWidth="1"/>
    <col min="7939" max="7939" width="13.5546875" style="2" customWidth="1"/>
    <col min="7940" max="7940" width="3.21875" style="2" customWidth="1"/>
    <col min="7941" max="7941" width="14.77734375" style="2" customWidth="1"/>
    <col min="7942" max="7942" width="3.21875" style="2" customWidth="1"/>
    <col min="7943" max="7943" width="14.5546875" style="2" customWidth="1"/>
    <col min="7944" max="7944" width="3.21875" style="2" customWidth="1"/>
    <col min="7945" max="8193" width="8.77734375" style="2"/>
    <col min="8194" max="8194" width="24" style="2" customWidth="1"/>
    <col min="8195" max="8195" width="13.5546875" style="2" customWidth="1"/>
    <col min="8196" max="8196" width="3.21875" style="2" customWidth="1"/>
    <col min="8197" max="8197" width="14.77734375" style="2" customWidth="1"/>
    <col min="8198" max="8198" width="3.21875" style="2" customWidth="1"/>
    <col min="8199" max="8199" width="14.5546875" style="2" customWidth="1"/>
    <col min="8200" max="8200" width="3.21875" style="2" customWidth="1"/>
    <col min="8201" max="8449" width="8.77734375" style="2"/>
    <col min="8450" max="8450" width="24" style="2" customWidth="1"/>
    <col min="8451" max="8451" width="13.5546875" style="2" customWidth="1"/>
    <col min="8452" max="8452" width="3.21875" style="2" customWidth="1"/>
    <col min="8453" max="8453" width="14.77734375" style="2" customWidth="1"/>
    <col min="8454" max="8454" width="3.21875" style="2" customWidth="1"/>
    <col min="8455" max="8455" width="14.5546875" style="2" customWidth="1"/>
    <col min="8456" max="8456" width="3.21875" style="2" customWidth="1"/>
    <col min="8457" max="8705" width="8.77734375" style="2"/>
    <col min="8706" max="8706" width="24" style="2" customWidth="1"/>
    <col min="8707" max="8707" width="13.5546875" style="2" customWidth="1"/>
    <col min="8708" max="8708" width="3.21875" style="2" customWidth="1"/>
    <col min="8709" max="8709" width="14.77734375" style="2" customWidth="1"/>
    <col min="8710" max="8710" width="3.21875" style="2" customWidth="1"/>
    <col min="8711" max="8711" width="14.5546875" style="2" customWidth="1"/>
    <col min="8712" max="8712" width="3.21875" style="2" customWidth="1"/>
    <col min="8713" max="8961" width="8.77734375" style="2"/>
    <col min="8962" max="8962" width="24" style="2" customWidth="1"/>
    <col min="8963" max="8963" width="13.5546875" style="2" customWidth="1"/>
    <col min="8964" max="8964" width="3.21875" style="2" customWidth="1"/>
    <col min="8965" max="8965" width="14.77734375" style="2" customWidth="1"/>
    <col min="8966" max="8966" width="3.21875" style="2" customWidth="1"/>
    <col min="8967" max="8967" width="14.5546875" style="2" customWidth="1"/>
    <col min="8968" max="8968" width="3.21875" style="2" customWidth="1"/>
    <col min="8969" max="9217" width="8.77734375" style="2"/>
    <col min="9218" max="9218" width="24" style="2" customWidth="1"/>
    <col min="9219" max="9219" width="13.5546875" style="2" customWidth="1"/>
    <col min="9220" max="9220" width="3.21875" style="2" customWidth="1"/>
    <col min="9221" max="9221" width="14.77734375" style="2" customWidth="1"/>
    <col min="9222" max="9222" width="3.21875" style="2" customWidth="1"/>
    <col min="9223" max="9223" width="14.5546875" style="2" customWidth="1"/>
    <col min="9224" max="9224" width="3.21875" style="2" customWidth="1"/>
    <col min="9225" max="9473" width="8.77734375" style="2"/>
    <col min="9474" max="9474" width="24" style="2" customWidth="1"/>
    <col min="9475" max="9475" width="13.5546875" style="2" customWidth="1"/>
    <col min="9476" max="9476" width="3.21875" style="2" customWidth="1"/>
    <col min="9477" max="9477" width="14.77734375" style="2" customWidth="1"/>
    <col min="9478" max="9478" width="3.21875" style="2" customWidth="1"/>
    <col min="9479" max="9479" width="14.5546875" style="2" customWidth="1"/>
    <col min="9480" max="9480" width="3.21875" style="2" customWidth="1"/>
    <col min="9481" max="9729" width="8.77734375" style="2"/>
    <col min="9730" max="9730" width="24" style="2" customWidth="1"/>
    <col min="9731" max="9731" width="13.5546875" style="2" customWidth="1"/>
    <col min="9732" max="9732" width="3.21875" style="2" customWidth="1"/>
    <col min="9733" max="9733" width="14.77734375" style="2" customWidth="1"/>
    <col min="9734" max="9734" width="3.21875" style="2" customWidth="1"/>
    <col min="9735" max="9735" width="14.5546875" style="2" customWidth="1"/>
    <col min="9736" max="9736" width="3.21875" style="2" customWidth="1"/>
    <col min="9737" max="9985" width="8.77734375" style="2"/>
    <col min="9986" max="9986" width="24" style="2" customWidth="1"/>
    <col min="9987" max="9987" width="13.5546875" style="2" customWidth="1"/>
    <col min="9988" max="9988" width="3.21875" style="2" customWidth="1"/>
    <col min="9989" max="9989" width="14.77734375" style="2" customWidth="1"/>
    <col min="9990" max="9990" width="3.21875" style="2" customWidth="1"/>
    <col min="9991" max="9991" width="14.5546875" style="2" customWidth="1"/>
    <col min="9992" max="9992" width="3.21875" style="2" customWidth="1"/>
    <col min="9993" max="10241" width="8.77734375" style="2"/>
    <col min="10242" max="10242" width="24" style="2" customWidth="1"/>
    <col min="10243" max="10243" width="13.5546875" style="2" customWidth="1"/>
    <col min="10244" max="10244" width="3.21875" style="2" customWidth="1"/>
    <col min="10245" max="10245" width="14.77734375" style="2" customWidth="1"/>
    <col min="10246" max="10246" width="3.21875" style="2" customWidth="1"/>
    <col min="10247" max="10247" width="14.5546875" style="2" customWidth="1"/>
    <col min="10248" max="10248" width="3.21875" style="2" customWidth="1"/>
    <col min="10249" max="10497" width="8.77734375" style="2"/>
    <col min="10498" max="10498" width="24" style="2" customWidth="1"/>
    <col min="10499" max="10499" width="13.5546875" style="2" customWidth="1"/>
    <col min="10500" max="10500" width="3.21875" style="2" customWidth="1"/>
    <col min="10501" max="10501" width="14.77734375" style="2" customWidth="1"/>
    <col min="10502" max="10502" width="3.21875" style="2" customWidth="1"/>
    <col min="10503" max="10503" width="14.5546875" style="2" customWidth="1"/>
    <col min="10504" max="10504" width="3.21875" style="2" customWidth="1"/>
    <col min="10505" max="10753" width="8.77734375" style="2"/>
    <col min="10754" max="10754" width="24" style="2" customWidth="1"/>
    <col min="10755" max="10755" width="13.5546875" style="2" customWidth="1"/>
    <col min="10756" max="10756" width="3.21875" style="2" customWidth="1"/>
    <col min="10757" max="10757" width="14.77734375" style="2" customWidth="1"/>
    <col min="10758" max="10758" width="3.21875" style="2" customWidth="1"/>
    <col min="10759" max="10759" width="14.5546875" style="2" customWidth="1"/>
    <col min="10760" max="10760" width="3.21875" style="2" customWidth="1"/>
    <col min="10761" max="11009" width="8.77734375" style="2"/>
    <col min="11010" max="11010" width="24" style="2" customWidth="1"/>
    <col min="11011" max="11011" width="13.5546875" style="2" customWidth="1"/>
    <col min="11012" max="11012" width="3.21875" style="2" customWidth="1"/>
    <col min="11013" max="11013" width="14.77734375" style="2" customWidth="1"/>
    <col min="11014" max="11014" width="3.21875" style="2" customWidth="1"/>
    <col min="11015" max="11015" width="14.5546875" style="2" customWidth="1"/>
    <col min="11016" max="11016" width="3.21875" style="2" customWidth="1"/>
    <col min="11017" max="11265" width="8.77734375" style="2"/>
    <col min="11266" max="11266" width="24" style="2" customWidth="1"/>
    <col min="11267" max="11267" width="13.5546875" style="2" customWidth="1"/>
    <col min="11268" max="11268" width="3.21875" style="2" customWidth="1"/>
    <col min="11269" max="11269" width="14.77734375" style="2" customWidth="1"/>
    <col min="11270" max="11270" width="3.21875" style="2" customWidth="1"/>
    <col min="11271" max="11271" width="14.5546875" style="2" customWidth="1"/>
    <col min="11272" max="11272" width="3.21875" style="2" customWidth="1"/>
    <col min="11273" max="11521" width="8.77734375" style="2"/>
    <col min="11522" max="11522" width="24" style="2" customWidth="1"/>
    <col min="11523" max="11523" width="13.5546875" style="2" customWidth="1"/>
    <col min="11524" max="11524" width="3.21875" style="2" customWidth="1"/>
    <col min="11525" max="11525" width="14.77734375" style="2" customWidth="1"/>
    <col min="11526" max="11526" width="3.21875" style="2" customWidth="1"/>
    <col min="11527" max="11527" width="14.5546875" style="2" customWidth="1"/>
    <col min="11528" max="11528" width="3.21875" style="2" customWidth="1"/>
    <col min="11529" max="11777" width="8.77734375" style="2"/>
    <col min="11778" max="11778" width="24" style="2" customWidth="1"/>
    <col min="11779" max="11779" width="13.5546875" style="2" customWidth="1"/>
    <col min="11780" max="11780" width="3.21875" style="2" customWidth="1"/>
    <col min="11781" max="11781" width="14.77734375" style="2" customWidth="1"/>
    <col min="11782" max="11782" width="3.21875" style="2" customWidth="1"/>
    <col min="11783" max="11783" width="14.5546875" style="2" customWidth="1"/>
    <col min="11784" max="11784" width="3.21875" style="2" customWidth="1"/>
    <col min="11785" max="12033" width="8.77734375" style="2"/>
    <col min="12034" max="12034" width="24" style="2" customWidth="1"/>
    <col min="12035" max="12035" width="13.5546875" style="2" customWidth="1"/>
    <col min="12036" max="12036" width="3.21875" style="2" customWidth="1"/>
    <col min="12037" max="12037" width="14.77734375" style="2" customWidth="1"/>
    <col min="12038" max="12038" width="3.21875" style="2" customWidth="1"/>
    <col min="12039" max="12039" width="14.5546875" style="2" customWidth="1"/>
    <col min="12040" max="12040" width="3.21875" style="2" customWidth="1"/>
    <col min="12041" max="12289" width="8.77734375" style="2"/>
    <col min="12290" max="12290" width="24" style="2" customWidth="1"/>
    <col min="12291" max="12291" width="13.5546875" style="2" customWidth="1"/>
    <col min="12292" max="12292" width="3.21875" style="2" customWidth="1"/>
    <col min="12293" max="12293" width="14.77734375" style="2" customWidth="1"/>
    <col min="12294" max="12294" width="3.21875" style="2" customWidth="1"/>
    <col min="12295" max="12295" width="14.5546875" style="2" customWidth="1"/>
    <col min="12296" max="12296" width="3.21875" style="2" customWidth="1"/>
    <col min="12297" max="12545" width="8.77734375" style="2"/>
    <col min="12546" max="12546" width="24" style="2" customWidth="1"/>
    <col min="12547" max="12547" width="13.5546875" style="2" customWidth="1"/>
    <col min="12548" max="12548" width="3.21875" style="2" customWidth="1"/>
    <col min="12549" max="12549" width="14.77734375" style="2" customWidth="1"/>
    <col min="12550" max="12550" width="3.21875" style="2" customWidth="1"/>
    <col min="12551" max="12551" width="14.5546875" style="2" customWidth="1"/>
    <col min="12552" max="12552" width="3.21875" style="2" customWidth="1"/>
    <col min="12553" max="12801" width="8.77734375" style="2"/>
    <col min="12802" max="12802" width="24" style="2" customWidth="1"/>
    <col min="12803" max="12803" width="13.5546875" style="2" customWidth="1"/>
    <col min="12804" max="12804" width="3.21875" style="2" customWidth="1"/>
    <col min="12805" max="12805" width="14.77734375" style="2" customWidth="1"/>
    <col min="12806" max="12806" width="3.21875" style="2" customWidth="1"/>
    <col min="12807" max="12807" width="14.5546875" style="2" customWidth="1"/>
    <col min="12808" max="12808" width="3.21875" style="2" customWidth="1"/>
    <col min="12809" max="13057" width="8.77734375" style="2"/>
    <col min="13058" max="13058" width="24" style="2" customWidth="1"/>
    <col min="13059" max="13059" width="13.5546875" style="2" customWidth="1"/>
    <col min="13060" max="13060" width="3.21875" style="2" customWidth="1"/>
    <col min="13061" max="13061" width="14.77734375" style="2" customWidth="1"/>
    <col min="13062" max="13062" width="3.21875" style="2" customWidth="1"/>
    <col min="13063" max="13063" width="14.5546875" style="2" customWidth="1"/>
    <col min="13064" max="13064" width="3.21875" style="2" customWidth="1"/>
    <col min="13065" max="13313" width="8.77734375" style="2"/>
    <col min="13314" max="13314" width="24" style="2" customWidth="1"/>
    <col min="13315" max="13315" width="13.5546875" style="2" customWidth="1"/>
    <col min="13316" max="13316" width="3.21875" style="2" customWidth="1"/>
    <col min="13317" max="13317" width="14.77734375" style="2" customWidth="1"/>
    <col min="13318" max="13318" width="3.21875" style="2" customWidth="1"/>
    <col min="13319" max="13319" width="14.5546875" style="2" customWidth="1"/>
    <col min="13320" max="13320" width="3.21875" style="2" customWidth="1"/>
    <col min="13321" max="13569" width="8.77734375" style="2"/>
    <col min="13570" max="13570" width="24" style="2" customWidth="1"/>
    <col min="13571" max="13571" width="13.5546875" style="2" customWidth="1"/>
    <col min="13572" max="13572" width="3.21875" style="2" customWidth="1"/>
    <col min="13573" max="13573" width="14.77734375" style="2" customWidth="1"/>
    <col min="13574" max="13574" width="3.21875" style="2" customWidth="1"/>
    <col min="13575" max="13575" width="14.5546875" style="2" customWidth="1"/>
    <col min="13576" max="13576" width="3.21875" style="2" customWidth="1"/>
    <col min="13577" max="13825" width="8.77734375" style="2"/>
    <col min="13826" max="13826" width="24" style="2" customWidth="1"/>
    <col min="13827" max="13827" width="13.5546875" style="2" customWidth="1"/>
    <col min="13828" max="13828" width="3.21875" style="2" customWidth="1"/>
    <col min="13829" max="13829" width="14.77734375" style="2" customWidth="1"/>
    <col min="13830" max="13830" width="3.21875" style="2" customWidth="1"/>
    <col min="13831" max="13831" width="14.5546875" style="2" customWidth="1"/>
    <col min="13832" max="13832" width="3.21875" style="2" customWidth="1"/>
    <col min="13833" max="14081" width="8.77734375" style="2"/>
    <col min="14082" max="14082" width="24" style="2" customWidth="1"/>
    <col min="14083" max="14083" width="13.5546875" style="2" customWidth="1"/>
    <col min="14084" max="14084" width="3.21875" style="2" customWidth="1"/>
    <col min="14085" max="14085" width="14.77734375" style="2" customWidth="1"/>
    <col min="14086" max="14086" width="3.21875" style="2" customWidth="1"/>
    <col min="14087" max="14087" width="14.5546875" style="2" customWidth="1"/>
    <col min="14088" max="14088" width="3.21875" style="2" customWidth="1"/>
    <col min="14089" max="14337" width="8.77734375" style="2"/>
    <col min="14338" max="14338" width="24" style="2" customWidth="1"/>
    <col min="14339" max="14339" width="13.5546875" style="2" customWidth="1"/>
    <col min="14340" max="14340" width="3.21875" style="2" customWidth="1"/>
    <col min="14341" max="14341" width="14.77734375" style="2" customWidth="1"/>
    <col min="14342" max="14342" width="3.21875" style="2" customWidth="1"/>
    <col min="14343" max="14343" width="14.5546875" style="2" customWidth="1"/>
    <col min="14344" max="14344" width="3.21875" style="2" customWidth="1"/>
    <col min="14345" max="14593" width="8.77734375" style="2"/>
    <col min="14594" max="14594" width="24" style="2" customWidth="1"/>
    <col min="14595" max="14595" width="13.5546875" style="2" customWidth="1"/>
    <col min="14596" max="14596" width="3.21875" style="2" customWidth="1"/>
    <col min="14597" max="14597" width="14.77734375" style="2" customWidth="1"/>
    <col min="14598" max="14598" width="3.21875" style="2" customWidth="1"/>
    <col min="14599" max="14599" width="14.5546875" style="2" customWidth="1"/>
    <col min="14600" max="14600" width="3.21875" style="2" customWidth="1"/>
    <col min="14601" max="14849" width="8.77734375" style="2"/>
    <col min="14850" max="14850" width="24" style="2" customWidth="1"/>
    <col min="14851" max="14851" width="13.5546875" style="2" customWidth="1"/>
    <col min="14852" max="14852" width="3.21875" style="2" customWidth="1"/>
    <col min="14853" max="14853" width="14.77734375" style="2" customWidth="1"/>
    <col min="14854" max="14854" width="3.21875" style="2" customWidth="1"/>
    <col min="14855" max="14855" width="14.5546875" style="2" customWidth="1"/>
    <col min="14856" max="14856" width="3.21875" style="2" customWidth="1"/>
    <col min="14857" max="15105" width="8.77734375" style="2"/>
    <col min="15106" max="15106" width="24" style="2" customWidth="1"/>
    <col min="15107" max="15107" width="13.5546875" style="2" customWidth="1"/>
    <col min="15108" max="15108" width="3.21875" style="2" customWidth="1"/>
    <col min="15109" max="15109" width="14.77734375" style="2" customWidth="1"/>
    <col min="15110" max="15110" width="3.21875" style="2" customWidth="1"/>
    <col min="15111" max="15111" width="14.5546875" style="2" customWidth="1"/>
    <col min="15112" max="15112" width="3.21875" style="2" customWidth="1"/>
    <col min="15113" max="15361" width="8.77734375" style="2"/>
    <col min="15362" max="15362" width="24" style="2" customWidth="1"/>
    <col min="15363" max="15363" width="13.5546875" style="2" customWidth="1"/>
    <col min="15364" max="15364" width="3.21875" style="2" customWidth="1"/>
    <col min="15365" max="15365" width="14.77734375" style="2" customWidth="1"/>
    <col min="15366" max="15366" width="3.21875" style="2" customWidth="1"/>
    <col min="15367" max="15367" width="14.5546875" style="2" customWidth="1"/>
    <col min="15368" max="15368" width="3.21875" style="2" customWidth="1"/>
    <col min="15369" max="15617" width="8.77734375" style="2"/>
    <col min="15618" max="15618" width="24" style="2" customWidth="1"/>
    <col min="15619" max="15619" width="13.5546875" style="2" customWidth="1"/>
    <col min="15620" max="15620" width="3.21875" style="2" customWidth="1"/>
    <col min="15621" max="15621" width="14.77734375" style="2" customWidth="1"/>
    <col min="15622" max="15622" width="3.21875" style="2" customWidth="1"/>
    <col min="15623" max="15623" width="14.5546875" style="2" customWidth="1"/>
    <col min="15624" max="15624" width="3.21875" style="2" customWidth="1"/>
    <col min="15625" max="15873" width="8.77734375" style="2"/>
    <col min="15874" max="15874" width="24" style="2" customWidth="1"/>
    <col min="15875" max="15875" width="13.5546875" style="2" customWidth="1"/>
    <col min="15876" max="15876" width="3.21875" style="2" customWidth="1"/>
    <col min="15877" max="15877" width="14.77734375" style="2" customWidth="1"/>
    <col min="15878" max="15878" width="3.21875" style="2" customWidth="1"/>
    <col min="15879" max="15879" width="14.5546875" style="2" customWidth="1"/>
    <col min="15880" max="15880" width="3.21875" style="2" customWidth="1"/>
    <col min="15881" max="16129" width="8.77734375" style="2"/>
    <col min="16130" max="16130" width="24" style="2" customWidth="1"/>
    <col min="16131" max="16131" width="13.5546875" style="2" customWidth="1"/>
    <col min="16132" max="16132" width="3.21875" style="2" customWidth="1"/>
    <col min="16133" max="16133" width="14.77734375" style="2" customWidth="1"/>
    <col min="16134" max="16134" width="3.21875" style="2" customWidth="1"/>
    <col min="16135" max="16135" width="14.5546875" style="2" customWidth="1"/>
    <col min="16136" max="16136" width="3.21875" style="2" customWidth="1"/>
    <col min="16137" max="16384" width="8.77734375" style="2"/>
  </cols>
  <sheetData>
    <row r="1" spans="1:8" ht="20.399999999999999">
      <c r="A1" s="1" t="s">
        <v>1</v>
      </c>
      <c r="E1" s="3"/>
      <c r="G1" s="3"/>
    </row>
    <row r="2" spans="1:8" ht="15.75" customHeight="1">
      <c r="A2" s="1216" t="s">
        <v>2</v>
      </c>
      <c r="B2" s="1216"/>
      <c r="C2" s="1217" t="s">
        <v>3</v>
      </c>
      <c r="D2" s="4"/>
      <c r="E2" s="1217" t="s">
        <v>4</v>
      </c>
      <c r="F2" s="4"/>
      <c r="G2" s="1217" t="s">
        <v>5</v>
      </c>
      <c r="H2" s="4"/>
    </row>
    <row r="3" spans="1:8" ht="22.5" customHeight="1">
      <c r="A3" s="4"/>
      <c r="B3" s="4"/>
      <c r="C3" s="1217"/>
      <c r="D3" s="4"/>
      <c r="E3" s="1217"/>
      <c r="F3" s="4"/>
      <c r="G3" s="1217"/>
      <c r="H3" s="4"/>
    </row>
    <row r="4" spans="1:8" ht="13.8" thickBot="1">
      <c r="A4" s="5" t="s">
        <v>6</v>
      </c>
      <c r="C4" s="6">
        <f>+'Master Budget Sheet'!AM64</f>
        <v>20</v>
      </c>
      <c r="D4" s="4"/>
      <c r="E4" s="7">
        <f>+C4*'Master Budget Sheet'!$AM$8</f>
        <v>19</v>
      </c>
      <c r="F4" s="4"/>
      <c r="G4" s="8">
        <f>+E4</f>
        <v>19</v>
      </c>
      <c r="H4" s="4"/>
    </row>
    <row r="5" spans="1:8">
      <c r="A5" s="4"/>
      <c r="B5" s="4"/>
      <c r="C5" s="4"/>
      <c r="D5" s="4"/>
      <c r="E5" s="9"/>
      <c r="F5" s="4"/>
      <c r="G5" s="10"/>
      <c r="H5" s="4"/>
    </row>
    <row r="6" spans="1:8">
      <c r="A6" s="5" t="s">
        <v>7</v>
      </c>
      <c r="C6" s="11"/>
      <c r="D6" s="4"/>
      <c r="E6" s="9"/>
      <c r="F6" s="4"/>
      <c r="G6" s="10"/>
      <c r="H6" s="4"/>
    </row>
    <row r="7" spans="1:8" ht="14.4" thickBot="1">
      <c r="B7" s="12" t="s">
        <v>8</v>
      </c>
      <c r="C7" s="6">
        <f>SUM('Master Budget Sheet'!AM65:AM67)</f>
        <v>57</v>
      </c>
      <c r="D7" s="4"/>
      <c r="E7" s="7">
        <f>+C7*'Master Budget Sheet'!$AM$8</f>
        <v>54.15</v>
      </c>
      <c r="F7" s="4"/>
      <c r="G7" s="8">
        <f>+E7</f>
        <v>54.15</v>
      </c>
      <c r="H7" s="4"/>
    </row>
    <row r="8" spans="1:8" ht="14.4" thickBot="1">
      <c r="B8" s="12" t="s">
        <v>9</v>
      </c>
      <c r="C8" s="13">
        <f>SUM('Master Budget Sheet'!AM68:AM70)</f>
        <v>47</v>
      </c>
      <c r="D8" s="4"/>
      <c r="E8" s="7">
        <f>+C8*'Master Budget Sheet'!$AM$8</f>
        <v>44.65</v>
      </c>
      <c r="F8" s="4"/>
      <c r="G8" s="60">
        <f>+E8</f>
        <v>44.65</v>
      </c>
      <c r="H8" s="4"/>
    </row>
    <row r="9" spans="1:8">
      <c r="A9" s="4"/>
      <c r="B9" s="4"/>
      <c r="C9" s="4"/>
      <c r="D9" s="4"/>
      <c r="E9" s="14">
        <f>IF(E8+E7=0,0,E8+E7)</f>
        <v>98.8</v>
      </c>
      <c r="F9" s="4"/>
      <c r="G9" s="14">
        <f>IF(G8+G7=0,0,G8+G7)</f>
        <v>98.8</v>
      </c>
      <c r="H9" s="4"/>
    </row>
    <row r="10" spans="1:8" ht="13.8" thickBot="1">
      <c r="A10" s="5" t="s">
        <v>10</v>
      </c>
      <c r="C10" s="6">
        <f>SUM('Master Budget Sheet'!AM71:AM76)</f>
        <v>140</v>
      </c>
      <c r="D10" s="4"/>
      <c r="E10" s="7">
        <f>+C10*'Master Budget Sheet'!$AM$8</f>
        <v>133</v>
      </c>
      <c r="F10" s="4"/>
      <c r="G10" s="8">
        <f>+E10</f>
        <v>133</v>
      </c>
      <c r="H10" s="4"/>
    </row>
    <row r="11" spans="1:8">
      <c r="A11" s="15"/>
      <c r="B11" s="4"/>
      <c r="C11" s="16"/>
      <c r="D11" s="4"/>
      <c r="E11" s="17"/>
      <c r="F11" s="4"/>
      <c r="G11" s="18"/>
      <c r="H11" s="4"/>
    </row>
    <row r="12" spans="1:8">
      <c r="A12" s="4"/>
      <c r="B12" s="1218" t="s">
        <v>11</v>
      </c>
      <c r="C12" s="1218"/>
      <c r="D12" s="1218"/>
      <c r="E12" s="1218"/>
      <c r="F12" s="1218"/>
      <c r="G12" s="1218"/>
      <c r="H12" s="4"/>
    </row>
    <row r="13" spans="1:8">
      <c r="A13" s="4"/>
      <c r="B13" s="4"/>
      <c r="C13" s="1215"/>
      <c r="D13" s="1215"/>
      <c r="E13" s="19"/>
      <c r="F13" s="20"/>
      <c r="G13" s="19"/>
      <c r="H13" s="20"/>
    </row>
    <row r="14" spans="1:8" ht="13.8" thickBot="1">
      <c r="A14" s="21" t="s">
        <v>12</v>
      </c>
      <c r="C14" s="11"/>
      <c r="D14" s="4"/>
      <c r="E14" s="7"/>
      <c r="F14" s="4"/>
      <c r="G14" s="8"/>
      <c r="H14" s="4"/>
    </row>
    <row r="15" spans="1:8">
      <c r="A15" s="21" t="s">
        <v>13</v>
      </c>
      <c r="C15" s="11"/>
      <c r="D15" s="4"/>
      <c r="E15" s="22"/>
      <c r="F15" s="4"/>
      <c r="G15" s="10"/>
      <c r="H15" s="4"/>
    </row>
    <row r="16" spans="1:8">
      <c r="A16" s="23"/>
      <c r="B16" s="4"/>
      <c r="C16" s="11"/>
      <c r="D16" s="4"/>
      <c r="E16" s="17"/>
      <c r="F16" s="4"/>
      <c r="G16" s="10"/>
      <c r="H16" s="4"/>
    </row>
    <row r="17" spans="1:8">
      <c r="A17" s="21" t="s">
        <v>14</v>
      </c>
      <c r="C17" s="11"/>
      <c r="D17" s="4"/>
      <c r="E17" s="11"/>
      <c r="F17" s="4"/>
      <c r="G17" s="10"/>
      <c r="H17" s="4"/>
    </row>
    <row r="18" spans="1:8" ht="27" thickBot="1">
      <c r="A18" s="21"/>
      <c r="B18" s="24" t="s">
        <v>15</v>
      </c>
      <c r="C18" s="11"/>
      <c r="D18" s="4"/>
      <c r="E18" s="25"/>
      <c r="F18" s="4"/>
      <c r="G18" s="10"/>
      <c r="H18" s="4"/>
    </row>
    <row r="19" spans="1:8" ht="40.200000000000003" thickBot="1">
      <c r="A19" s="21"/>
      <c r="B19" s="24" t="s">
        <v>16</v>
      </c>
      <c r="C19" s="11"/>
      <c r="D19" s="4"/>
      <c r="E19" s="26"/>
      <c r="F19" s="4"/>
      <c r="G19" s="10"/>
      <c r="H19" s="4"/>
    </row>
    <row r="20" spans="1:8">
      <c r="A20" s="4"/>
      <c r="B20" s="4"/>
      <c r="C20" s="11"/>
      <c r="D20" s="4"/>
      <c r="E20" s="11"/>
      <c r="F20" s="4"/>
      <c r="G20" s="10"/>
      <c r="H20" s="4"/>
    </row>
    <row r="21" spans="1:8">
      <c r="A21" s="27" t="s">
        <v>17</v>
      </c>
      <c r="E21" s="4"/>
      <c r="F21" s="11"/>
      <c r="G21" s="11"/>
      <c r="H21" s="11"/>
    </row>
    <row r="22" spans="1:8" ht="13.8" thickBot="1">
      <c r="A22" s="28"/>
      <c r="B22" s="2" t="s">
        <v>18</v>
      </c>
      <c r="C22" s="29"/>
      <c r="D22" s="11"/>
      <c r="E22" s="11"/>
      <c r="F22" s="11"/>
      <c r="G22" s="11"/>
      <c r="H22" s="11"/>
    </row>
    <row r="23" spans="1:8" ht="13.8" thickBot="1">
      <c r="B23" s="2" t="s">
        <v>19</v>
      </c>
      <c r="C23" s="29"/>
      <c r="D23" s="11"/>
      <c r="E23" s="11"/>
      <c r="F23" s="11"/>
      <c r="G23" s="11"/>
      <c r="H23" s="11"/>
    </row>
    <row r="24" spans="1:8">
      <c r="A24" s="11"/>
      <c r="B24" s="11"/>
      <c r="C24" s="11"/>
      <c r="D24" s="11"/>
      <c r="E24" s="11"/>
      <c r="F24" s="11"/>
      <c r="G24" s="11"/>
      <c r="H24" s="11"/>
    </row>
  </sheetData>
  <sheetProtection password="CC16" sheet="1"/>
  <mergeCells count="6">
    <mergeCell ref="C13:D13"/>
    <mergeCell ref="A2:B2"/>
    <mergeCell ref="C2:C3"/>
    <mergeCell ref="E2:E3"/>
    <mergeCell ref="G2:G3"/>
    <mergeCell ref="B12:G12"/>
  </mergeCells>
  <conditionalFormatting sqref="F13 H13">
    <cfRule type="expression" dxfId="27" priority="1" stopIfTrue="1">
      <formula>E10=0</formula>
    </cfRule>
    <cfRule type="expression" dxfId="26" priority="2" stopIfTrue="1">
      <formula>E13="Grade 7 thru"</formula>
    </cfRule>
    <cfRule type="expression" dxfId="25" priority="3" stopIfTrue="1">
      <formula>E10&gt;99.99</formula>
    </cfRule>
  </conditionalFormatting>
  <pageMargins left="0.75" right="0.75" top="1" bottom="1" header="0.5" footer="0.5"/>
  <pageSetup orientation="portrait" r:id="rId1"/>
  <headerFooter alignWithMargins="0">
    <oddFooter>&amp;L&amp;F</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5"/>
  <dimension ref="A1:Q37"/>
  <sheetViews>
    <sheetView showGridLines="0" zoomScale="90" zoomScaleNormal="100" workbookViewId="0">
      <selection activeCell="C4" sqref="C4"/>
    </sheetView>
  </sheetViews>
  <sheetFormatPr defaultRowHeight="13.2"/>
  <cols>
    <col min="1" max="1" width="4.21875" style="30" customWidth="1"/>
    <col min="2" max="2" width="2.5546875" style="2" customWidth="1"/>
    <col min="3" max="4" width="8.77734375" style="2"/>
    <col min="5" max="5" width="5.77734375" style="2" customWidth="1"/>
    <col min="6" max="6" width="8.77734375" style="2" customWidth="1"/>
    <col min="7" max="7" width="3.21875" style="2" customWidth="1"/>
    <col min="8" max="8" width="10.21875" style="2" customWidth="1"/>
    <col min="9" max="9" width="3.77734375" style="2" customWidth="1"/>
    <col min="10" max="10" width="8.21875" style="2" customWidth="1"/>
    <col min="11" max="11" width="6.21875" style="2" customWidth="1"/>
    <col min="12" max="12" width="5.5546875" style="2" customWidth="1"/>
    <col min="13" max="13" width="10.77734375" style="2" customWidth="1"/>
    <col min="14" max="14" width="8.21875" style="2" customWidth="1"/>
    <col min="15" max="15" width="12.21875" style="2" customWidth="1"/>
    <col min="16" max="16" width="10.21875" style="2" customWidth="1"/>
    <col min="17" max="17" width="9.21875" style="32" customWidth="1"/>
    <col min="18" max="256" width="8.77734375" style="2"/>
    <col min="257" max="257" width="4.21875" style="2" customWidth="1"/>
    <col min="258" max="258" width="2.5546875" style="2" customWidth="1"/>
    <col min="259" max="260" width="8.77734375" style="2"/>
    <col min="261" max="261" width="5.77734375" style="2" customWidth="1"/>
    <col min="262" max="262" width="8.77734375" style="2" customWidth="1"/>
    <col min="263" max="263" width="3.21875" style="2" customWidth="1"/>
    <col min="264" max="264" width="10.21875" style="2" customWidth="1"/>
    <col min="265" max="265" width="3.77734375" style="2" customWidth="1"/>
    <col min="266" max="266" width="8.21875" style="2" customWidth="1"/>
    <col min="267" max="267" width="6.21875" style="2" customWidth="1"/>
    <col min="268" max="268" width="5.5546875" style="2" customWidth="1"/>
    <col min="269" max="269" width="10.77734375" style="2" customWidth="1"/>
    <col min="270" max="270" width="8.21875" style="2" customWidth="1"/>
    <col min="271" max="271" width="12.21875" style="2" customWidth="1"/>
    <col min="272" max="272" width="10.21875" style="2" customWidth="1"/>
    <col min="273" max="273" width="9.21875" style="2" customWidth="1"/>
    <col min="274" max="512" width="8.77734375" style="2"/>
    <col min="513" max="513" width="4.21875" style="2" customWidth="1"/>
    <col min="514" max="514" width="2.5546875" style="2" customWidth="1"/>
    <col min="515" max="516" width="8.77734375" style="2"/>
    <col min="517" max="517" width="5.77734375" style="2" customWidth="1"/>
    <col min="518" max="518" width="8.77734375" style="2" customWidth="1"/>
    <col min="519" max="519" width="3.21875" style="2" customWidth="1"/>
    <col min="520" max="520" width="10.21875" style="2" customWidth="1"/>
    <col min="521" max="521" width="3.77734375" style="2" customWidth="1"/>
    <col min="522" max="522" width="8.21875" style="2" customWidth="1"/>
    <col min="523" max="523" width="6.21875" style="2" customWidth="1"/>
    <col min="524" max="524" width="5.5546875" style="2" customWidth="1"/>
    <col min="525" max="525" width="10.77734375" style="2" customWidth="1"/>
    <col min="526" max="526" width="8.21875" style="2" customWidth="1"/>
    <col min="527" max="527" width="12.21875" style="2" customWidth="1"/>
    <col min="528" max="528" width="10.21875" style="2" customWidth="1"/>
    <col min="529" max="529" width="9.21875" style="2" customWidth="1"/>
    <col min="530" max="768" width="8.77734375" style="2"/>
    <col min="769" max="769" width="4.21875" style="2" customWidth="1"/>
    <col min="770" max="770" width="2.5546875" style="2" customWidth="1"/>
    <col min="771" max="772" width="8.77734375" style="2"/>
    <col min="773" max="773" width="5.77734375" style="2" customWidth="1"/>
    <col min="774" max="774" width="8.77734375" style="2" customWidth="1"/>
    <col min="775" max="775" width="3.21875" style="2" customWidth="1"/>
    <col min="776" max="776" width="10.21875" style="2" customWidth="1"/>
    <col min="777" max="777" width="3.77734375" style="2" customWidth="1"/>
    <col min="778" max="778" width="8.21875" style="2" customWidth="1"/>
    <col min="779" max="779" width="6.21875" style="2" customWidth="1"/>
    <col min="780" max="780" width="5.5546875" style="2" customWidth="1"/>
    <col min="781" max="781" width="10.77734375" style="2" customWidth="1"/>
    <col min="782" max="782" width="8.21875" style="2" customWidth="1"/>
    <col min="783" max="783" width="12.21875" style="2" customWidth="1"/>
    <col min="784" max="784" width="10.21875" style="2" customWidth="1"/>
    <col min="785" max="785" width="9.21875" style="2" customWidth="1"/>
    <col min="786" max="1024" width="8.77734375" style="2"/>
    <col min="1025" max="1025" width="4.21875" style="2" customWidth="1"/>
    <col min="1026" max="1026" width="2.5546875" style="2" customWidth="1"/>
    <col min="1027" max="1028" width="8.77734375" style="2"/>
    <col min="1029" max="1029" width="5.77734375" style="2" customWidth="1"/>
    <col min="1030" max="1030" width="8.77734375" style="2" customWidth="1"/>
    <col min="1031" max="1031" width="3.21875" style="2" customWidth="1"/>
    <col min="1032" max="1032" width="10.21875" style="2" customWidth="1"/>
    <col min="1033" max="1033" width="3.77734375" style="2" customWidth="1"/>
    <col min="1034" max="1034" width="8.21875" style="2" customWidth="1"/>
    <col min="1035" max="1035" width="6.21875" style="2" customWidth="1"/>
    <col min="1036" max="1036" width="5.5546875" style="2" customWidth="1"/>
    <col min="1037" max="1037" width="10.77734375" style="2" customWidth="1"/>
    <col min="1038" max="1038" width="8.21875" style="2" customWidth="1"/>
    <col min="1039" max="1039" width="12.21875" style="2" customWidth="1"/>
    <col min="1040" max="1040" width="10.21875" style="2" customWidth="1"/>
    <col min="1041" max="1041" width="9.21875" style="2" customWidth="1"/>
    <col min="1042" max="1280" width="8.77734375" style="2"/>
    <col min="1281" max="1281" width="4.21875" style="2" customWidth="1"/>
    <col min="1282" max="1282" width="2.5546875" style="2" customWidth="1"/>
    <col min="1283" max="1284" width="8.77734375" style="2"/>
    <col min="1285" max="1285" width="5.77734375" style="2" customWidth="1"/>
    <col min="1286" max="1286" width="8.77734375" style="2" customWidth="1"/>
    <col min="1287" max="1287" width="3.21875" style="2" customWidth="1"/>
    <col min="1288" max="1288" width="10.21875" style="2" customWidth="1"/>
    <col min="1289" max="1289" width="3.77734375" style="2" customWidth="1"/>
    <col min="1290" max="1290" width="8.21875" style="2" customWidth="1"/>
    <col min="1291" max="1291" width="6.21875" style="2" customWidth="1"/>
    <col min="1292" max="1292" width="5.5546875" style="2" customWidth="1"/>
    <col min="1293" max="1293" width="10.77734375" style="2" customWidth="1"/>
    <col min="1294" max="1294" width="8.21875" style="2" customWidth="1"/>
    <col min="1295" max="1295" width="12.21875" style="2" customWidth="1"/>
    <col min="1296" max="1296" width="10.21875" style="2" customWidth="1"/>
    <col min="1297" max="1297" width="9.21875" style="2" customWidth="1"/>
    <col min="1298" max="1536" width="8.77734375" style="2"/>
    <col min="1537" max="1537" width="4.21875" style="2" customWidth="1"/>
    <col min="1538" max="1538" width="2.5546875" style="2" customWidth="1"/>
    <col min="1539" max="1540" width="8.77734375" style="2"/>
    <col min="1541" max="1541" width="5.77734375" style="2" customWidth="1"/>
    <col min="1542" max="1542" width="8.77734375" style="2" customWidth="1"/>
    <col min="1543" max="1543" width="3.21875" style="2" customWidth="1"/>
    <col min="1544" max="1544" width="10.21875" style="2" customWidth="1"/>
    <col min="1545" max="1545" width="3.77734375" style="2" customWidth="1"/>
    <col min="1546" max="1546" width="8.21875" style="2" customWidth="1"/>
    <col min="1547" max="1547" width="6.21875" style="2" customWidth="1"/>
    <col min="1548" max="1548" width="5.5546875" style="2" customWidth="1"/>
    <col min="1549" max="1549" width="10.77734375" style="2" customWidth="1"/>
    <col min="1550" max="1550" width="8.21875" style="2" customWidth="1"/>
    <col min="1551" max="1551" width="12.21875" style="2" customWidth="1"/>
    <col min="1552" max="1552" width="10.21875" style="2" customWidth="1"/>
    <col min="1553" max="1553" width="9.21875" style="2" customWidth="1"/>
    <col min="1554" max="1792" width="8.77734375" style="2"/>
    <col min="1793" max="1793" width="4.21875" style="2" customWidth="1"/>
    <col min="1794" max="1794" width="2.5546875" style="2" customWidth="1"/>
    <col min="1795" max="1796" width="8.77734375" style="2"/>
    <col min="1797" max="1797" width="5.77734375" style="2" customWidth="1"/>
    <col min="1798" max="1798" width="8.77734375" style="2" customWidth="1"/>
    <col min="1799" max="1799" width="3.21875" style="2" customWidth="1"/>
    <col min="1800" max="1800" width="10.21875" style="2" customWidth="1"/>
    <col min="1801" max="1801" width="3.77734375" style="2" customWidth="1"/>
    <col min="1802" max="1802" width="8.21875" style="2" customWidth="1"/>
    <col min="1803" max="1803" width="6.21875" style="2" customWidth="1"/>
    <col min="1804" max="1804" width="5.5546875" style="2" customWidth="1"/>
    <col min="1805" max="1805" width="10.77734375" style="2" customWidth="1"/>
    <col min="1806" max="1806" width="8.21875" style="2" customWidth="1"/>
    <col min="1807" max="1807" width="12.21875" style="2" customWidth="1"/>
    <col min="1808" max="1808" width="10.21875" style="2" customWidth="1"/>
    <col min="1809" max="1809" width="9.21875" style="2" customWidth="1"/>
    <col min="1810" max="2048" width="8.77734375" style="2"/>
    <col min="2049" max="2049" width="4.21875" style="2" customWidth="1"/>
    <col min="2050" max="2050" width="2.5546875" style="2" customWidth="1"/>
    <col min="2051" max="2052" width="8.77734375" style="2"/>
    <col min="2053" max="2053" width="5.77734375" style="2" customWidth="1"/>
    <col min="2054" max="2054" width="8.77734375" style="2" customWidth="1"/>
    <col min="2055" max="2055" width="3.21875" style="2" customWidth="1"/>
    <col min="2056" max="2056" width="10.21875" style="2" customWidth="1"/>
    <col min="2057" max="2057" width="3.77734375" style="2" customWidth="1"/>
    <col min="2058" max="2058" width="8.21875" style="2" customWidth="1"/>
    <col min="2059" max="2059" width="6.21875" style="2" customWidth="1"/>
    <col min="2060" max="2060" width="5.5546875" style="2" customWidth="1"/>
    <col min="2061" max="2061" width="10.77734375" style="2" customWidth="1"/>
    <col min="2062" max="2062" width="8.21875" style="2" customWidth="1"/>
    <col min="2063" max="2063" width="12.21875" style="2" customWidth="1"/>
    <col min="2064" max="2064" width="10.21875" style="2" customWidth="1"/>
    <col min="2065" max="2065" width="9.21875" style="2" customWidth="1"/>
    <col min="2066" max="2304" width="8.77734375" style="2"/>
    <col min="2305" max="2305" width="4.21875" style="2" customWidth="1"/>
    <col min="2306" max="2306" width="2.5546875" style="2" customWidth="1"/>
    <col min="2307" max="2308" width="8.77734375" style="2"/>
    <col min="2309" max="2309" width="5.77734375" style="2" customWidth="1"/>
    <col min="2310" max="2310" width="8.77734375" style="2" customWidth="1"/>
    <col min="2311" max="2311" width="3.21875" style="2" customWidth="1"/>
    <col min="2312" max="2312" width="10.21875" style="2" customWidth="1"/>
    <col min="2313" max="2313" width="3.77734375" style="2" customWidth="1"/>
    <col min="2314" max="2314" width="8.21875" style="2" customWidth="1"/>
    <col min="2315" max="2315" width="6.21875" style="2" customWidth="1"/>
    <col min="2316" max="2316" width="5.5546875" style="2" customWidth="1"/>
    <col min="2317" max="2317" width="10.77734375" style="2" customWidth="1"/>
    <col min="2318" max="2318" width="8.21875" style="2" customWidth="1"/>
    <col min="2319" max="2319" width="12.21875" style="2" customWidth="1"/>
    <col min="2320" max="2320" width="10.21875" style="2" customWidth="1"/>
    <col min="2321" max="2321" width="9.21875" style="2" customWidth="1"/>
    <col min="2322" max="2560" width="8.77734375" style="2"/>
    <col min="2561" max="2561" width="4.21875" style="2" customWidth="1"/>
    <col min="2562" max="2562" width="2.5546875" style="2" customWidth="1"/>
    <col min="2563" max="2564" width="8.77734375" style="2"/>
    <col min="2565" max="2565" width="5.77734375" style="2" customWidth="1"/>
    <col min="2566" max="2566" width="8.77734375" style="2" customWidth="1"/>
    <col min="2567" max="2567" width="3.21875" style="2" customWidth="1"/>
    <col min="2568" max="2568" width="10.21875" style="2" customWidth="1"/>
    <col min="2569" max="2569" width="3.77734375" style="2" customWidth="1"/>
    <col min="2570" max="2570" width="8.21875" style="2" customWidth="1"/>
    <col min="2571" max="2571" width="6.21875" style="2" customWidth="1"/>
    <col min="2572" max="2572" width="5.5546875" style="2" customWidth="1"/>
    <col min="2573" max="2573" width="10.77734375" style="2" customWidth="1"/>
    <col min="2574" max="2574" width="8.21875" style="2" customWidth="1"/>
    <col min="2575" max="2575" width="12.21875" style="2" customWidth="1"/>
    <col min="2576" max="2576" width="10.21875" style="2" customWidth="1"/>
    <col min="2577" max="2577" width="9.21875" style="2" customWidth="1"/>
    <col min="2578" max="2816" width="8.77734375" style="2"/>
    <col min="2817" max="2817" width="4.21875" style="2" customWidth="1"/>
    <col min="2818" max="2818" width="2.5546875" style="2" customWidth="1"/>
    <col min="2819" max="2820" width="8.77734375" style="2"/>
    <col min="2821" max="2821" width="5.77734375" style="2" customWidth="1"/>
    <col min="2822" max="2822" width="8.77734375" style="2" customWidth="1"/>
    <col min="2823" max="2823" width="3.21875" style="2" customWidth="1"/>
    <col min="2824" max="2824" width="10.21875" style="2" customWidth="1"/>
    <col min="2825" max="2825" width="3.77734375" style="2" customWidth="1"/>
    <col min="2826" max="2826" width="8.21875" style="2" customWidth="1"/>
    <col min="2827" max="2827" width="6.21875" style="2" customWidth="1"/>
    <col min="2828" max="2828" width="5.5546875" style="2" customWidth="1"/>
    <col min="2829" max="2829" width="10.77734375" style="2" customWidth="1"/>
    <col min="2830" max="2830" width="8.21875" style="2" customWidth="1"/>
    <col min="2831" max="2831" width="12.21875" style="2" customWidth="1"/>
    <col min="2832" max="2832" width="10.21875" style="2" customWidth="1"/>
    <col min="2833" max="2833" width="9.21875" style="2" customWidth="1"/>
    <col min="2834" max="3072" width="8.77734375" style="2"/>
    <col min="3073" max="3073" width="4.21875" style="2" customWidth="1"/>
    <col min="3074" max="3074" width="2.5546875" style="2" customWidth="1"/>
    <col min="3075" max="3076" width="8.77734375" style="2"/>
    <col min="3077" max="3077" width="5.77734375" style="2" customWidth="1"/>
    <col min="3078" max="3078" width="8.77734375" style="2" customWidth="1"/>
    <col min="3079" max="3079" width="3.21875" style="2" customWidth="1"/>
    <col min="3080" max="3080" width="10.21875" style="2" customWidth="1"/>
    <col min="3081" max="3081" width="3.77734375" style="2" customWidth="1"/>
    <col min="3082" max="3082" width="8.21875" style="2" customWidth="1"/>
    <col min="3083" max="3083" width="6.21875" style="2" customWidth="1"/>
    <col min="3084" max="3084" width="5.5546875" style="2" customWidth="1"/>
    <col min="3085" max="3085" width="10.77734375" style="2" customWidth="1"/>
    <col min="3086" max="3086" width="8.21875" style="2" customWidth="1"/>
    <col min="3087" max="3087" width="12.21875" style="2" customWidth="1"/>
    <col min="3088" max="3088" width="10.21875" style="2" customWidth="1"/>
    <col min="3089" max="3089" width="9.21875" style="2" customWidth="1"/>
    <col min="3090" max="3328" width="8.77734375" style="2"/>
    <col min="3329" max="3329" width="4.21875" style="2" customWidth="1"/>
    <col min="3330" max="3330" width="2.5546875" style="2" customWidth="1"/>
    <col min="3331" max="3332" width="8.77734375" style="2"/>
    <col min="3333" max="3333" width="5.77734375" style="2" customWidth="1"/>
    <col min="3334" max="3334" width="8.77734375" style="2" customWidth="1"/>
    <col min="3335" max="3335" width="3.21875" style="2" customWidth="1"/>
    <col min="3336" max="3336" width="10.21875" style="2" customWidth="1"/>
    <col min="3337" max="3337" width="3.77734375" style="2" customWidth="1"/>
    <col min="3338" max="3338" width="8.21875" style="2" customWidth="1"/>
    <col min="3339" max="3339" width="6.21875" style="2" customWidth="1"/>
    <col min="3340" max="3340" width="5.5546875" style="2" customWidth="1"/>
    <col min="3341" max="3341" width="10.77734375" style="2" customWidth="1"/>
    <col min="3342" max="3342" width="8.21875" style="2" customWidth="1"/>
    <col min="3343" max="3343" width="12.21875" style="2" customWidth="1"/>
    <col min="3344" max="3344" width="10.21875" style="2" customWidth="1"/>
    <col min="3345" max="3345" width="9.21875" style="2" customWidth="1"/>
    <col min="3346" max="3584" width="8.77734375" style="2"/>
    <col min="3585" max="3585" width="4.21875" style="2" customWidth="1"/>
    <col min="3586" max="3586" width="2.5546875" style="2" customWidth="1"/>
    <col min="3587" max="3588" width="8.77734375" style="2"/>
    <col min="3589" max="3589" width="5.77734375" style="2" customWidth="1"/>
    <col min="3590" max="3590" width="8.77734375" style="2" customWidth="1"/>
    <col min="3591" max="3591" width="3.21875" style="2" customWidth="1"/>
    <col min="3592" max="3592" width="10.21875" style="2" customWidth="1"/>
    <col min="3593" max="3593" width="3.77734375" style="2" customWidth="1"/>
    <col min="3594" max="3594" width="8.21875" style="2" customWidth="1"/>
    <col min="3595" max="3595" width="6.21875" style="2" customWidth="1"/>
    <col min="3596" max="3596" width="5.5546875" style="2" customWidth="1"/>
    <col min="3597" max="3597" width="10.77734375" style="2" customWidth="1"/>
    <col min="3598" max="3598" width="8.21875" style="2" customWidth="1"/>
    <col min="3599" max="3599" width="12.21875" style="2" customWidth="1"/>
    <col min="3600" max="3600" width="10.21875" style="2" customWidth="1"/>
    <col min="3601" max="3601" width="9.21875" style="2" customWidth="1"/>
    <col min="3602" max="3840" width="8.77734375" style="2"/>
    <col min="3841" max="3841" width="4.21875" style="2" customWidth="1"/>
    <col min="3842" max="3842" width="2.5546875" style="2" customWidth="1"/>
    <col min="3843" max="3844" width="8.77734375" style="2"/>
    <col min="3845" max="3845" width="5.77734375" style="2" customWidth="1"/>
    <col min="3846" max="3846" width="8.77734375" style="2" customWidth="1"/>
    <col min="3847" max="3847" width="3.21875" style="2" customWidth="1"/>
    <col min="3848" max="3848" width="10.21875" style="2" customWidth="1"/>
    <col min="3849" max="3849" width="3.77734375" style="2" customWidth="1"/>
    <col min="3850" max="3850" width="8.21875" style="2" customWidth="1"/>
    <col min="3851" max="3851" width="6.21875" style="2" customWidth="1"/>
    <col min="3852" max="3852" width="5.5546875" style="2" customWidth="1"/>
    <col min="3853" max="3853" width="10.77734375" style="2" customWidth="1"/>
    <col min="3854" max="3854" width="8.21875" style="2" customWidth="1"/>
    <col min="3855" max="3855" width="12.21875" style="2" customWidth="1"/>
    <col min="3856" max="3856" width="10.21875" style="2" customWidth="1"/>
    <col min="3857" max="3857" width="9.21875" style="2" customWidth="1"/>
    <col min="3858" max="4096" width="8.77734375" style="2"/>
    <col min="4097" max="4097" width="4.21875" style="2" customWidth="1"/>
    <col min="4098" max="4098" width="2.5546875" style="2" customWidth="1"/>
    <col min="4099" max="4100" width="8.77734375" style="2"/>
    <col min="4101" max="4101" width="5.77734375" style="2" customWidth="1"/>
    <col min="4102" max="4102" width="8.77734375" style="2" customWidth="1"/>
    <col min="4103" max="4103" width="3.21875" style="2" customWidth="1"/>
    <col min="4104" max="4104" width="10.21875" style="2" customWidth="1"/>
    <col min="4105" max="4105" width="3.77734375" style="2" customWidth="1"/>
    <col min="4106" max="4106" width="8.21875" style="2" customWidth="1"/>
    <col min="4107" max="4107" width="6.21875" style="2" customWidth="1"/>
    <col min="4108" max="4108" width="5.5546875" style="2" customWidth="1"/>
    <col min="4109" max="4109" width="10.77734375" style="2" customWidth="1"/>
    <col min="4110" max="4110" width="8.21875" style="2" customWidth="1"/>
    <col min="4111" max="4111" width="12.21875" style="2" customWidth="1"/>
    <col min="4112" max="4112" width="10.21875" style="2" customWidth="1"/>
    <col min="4113" max="4113" width="9.21875" style="2" customWidth="1"/>
    <col min="4114" max="4352" width="8.77734375" style="2"/>
    <col min="4353" max="4353" width="4.21875" style="2" customWidth="1"/>
    <col min="4354" max="4354" width="2.5546875" style="2" customWidth="1"/>
    <col min="4355" max="4356" width="8.77734375" style="2"/>
    <col min="4357" max="4357" width="5.77734375" style="2" customWidth="1"/>
    <col min="4358" max="4358" width="8.77734375" style="2" customWidth="1"/>
    <col min="4359" max="4359" width="3.21875" style="2" customWidth="1"/>
    <col min="4360" max="4360" width="10.21875" style="2" customWidth="1"/>
    <col min="4361" max="4361" width="3.77734375" style="2" customWidth="1"/>
    <col min="4362" max="4362" width="8.21875" style="2" customWidth="1"/>
    <col min="4363" max="4363" width="6.21875" style="2" customWidth="1"/>
    <col min="4364" max="4364" width="5.5546875" style="2" customWidth="1"/>
    <col min="4365" max="4365" width="10.77734375" style="2" customWidth="1"/>
    <col min="4366" max="4366" width="8.21875" style="2" customWidth="1"/>
    <col min="4367" max="4367" width="12.21875" style="2" customWidth="1"/>
    <col min="4368" max="4368" width="10.21875" style="2" customWidth="1"/>
    <col min="4369" max="4369" width="9.21875" style="2" customWidth="1"/>
    <col min="4370" max="4608" width="8.77734375" style="2"/>
    <col min="4609" max="4609" width="4.21875" style="2" customWidth="1"/>
    <col min="4610" max="4610" width="2.5546875" style="2" customWidth="1"/>
    <col min="4611" max="4612" width="8.77734375" style="2"/>
    <col min="4613" max="4613" width="5.77734375" style="2" customWidth="1"/>
    <col min="4614" max="4614" width="8.77734375" style="2" customWidth="1"/>
    <col min="4615" max="4615" width="3.21875" style="2" customWidth="1"/>
    <col min="4616" max="4616" width="10.21875" style="2" customWidth="1"/>
    <col min="4617" max="4617" width="3.77734375" style="2" customWidth="1"/>
    <col min="4618" max="4618" width="8.21875" style="2" customWidth="1"/>
    <col min="4619" max="4619" width="6.21875" style="2" customWidth="1"/>
    <col min="4620" max="4620" width="5.5546875" style="2" customWidth="1"/>
    <col min="4621" max="4621" width="10.77734375" style="2" customWidth="1"/>
    <col min="4622" max="4622" width="8.21875" style="2" customWidth="1"/>
    <col min="4623" max="4623" width="12.21875" style="2" customWidth="1"/>
    <col min="4624" max="4624" width="10.21875" style="2" customWidth="1"/>
    <col min="4625" max="4625" width="9.21875" style="2" customWidth="1"/>
    <col min="4626" max="4864" width="8.77734375" style="2"/>
    <col min="4865" max="4865" width="4.21875" style="2" customWidth="1"/>
    <col min="4866" max="4866" width="2.5546875" style="2" customWidth="1"/>
    <col min="4867" max="4868" width="8.77734375" style="2"/>
    <col min="4869" max="4869" width="5.77734375" style="2" customWidth="1"/>
    <col min="4870" max="4870" width="8.77734375" style="2" customWidth="1"/>
    <col min="4871" max="4871" width="3.21875" style="2" customWidth="1"/>
    <col min="4872" max="4872" width="10.21875" style="2" customWidth="1"/>
    <col min="4873" max="4873" width="3.77734375" style="2" customWidth="1"/>
    <col min="4874" max="4874" width="8.21875" style="2" customWidth="1"/>
    <col min="4875" max="4875" width="6.21875" style="2" customWidth="1"/>
    <col min="4876" max="4876" width="5.5546875" style="2" customWidth="1"/>
    <col min="4877" max="4877" width="10.77734375" style="2" customWidth="1"/>
    <col min="4878" max="4878" width="8.21875" style="2" customWidth="1"/>
    <col min="4879" max="4879" width="12.21875" style="2" customWidth="1"/>
    <col min="4880" max="4880" width="10.21875" style="2" customWidth="1"/>
    <col min="4881" max="4881" width="9.21875" style="2" customWidth="1"/>
    <col min="4882" max="5120" width="8.77734375" style="2"/>
    <col min="5121" max="5121" width="4.21875" style="2" customWidth="1"/>
    <col min="5122" max="5122" width="2.5546875" style="2" customWidth="1"/>
    <col min="5123" max="5124" width="8.77734375" style="2"/>
    <col min="5125" max="5125" width="5.77734375" style="2" customWidth="1"/>
    <col min="5126" max="5126" width="8.77734375" style="2" customWidth="1"/>
    <col min="5127" max="5127" width="3.21875" style="2" customWidth="1"/>
    <col min="5128" max="5128" width="10.21875" style="2" customWidth="1"/>
    <col min="5129" max="5129" width="3.77734375" style="2" customWidth="1"/>
    <col min="5130" max="5130" width="8.21875" style="2" customWidth="1"/>
    <col min="5131" max="5131" width="6.21875" style="2" customWidth="1"/>
    <col min="5132" max="5132" width="5.5546875" style="2" customWidth="1"/>
    <col min="5133" max="5133" width="10.77734375" style="2" customWidth="1"/>
    <col min="5134" max="5134" width="8.21875" style="2" customWidth="1"/>
    <col min="5135" max="5135" width="12.21875" style="2" customWidth="1"/>
    <col min="5136" max="5136" width="10.21875" style="2" customWidth="1"/>
    <col min="5137" max="5137" width="9.21875" style="2" customWidth="1"/>
    <col min="5138" max="5376" width="8.77734375" style="2"/>
    <col min="5377" max="5377" width="4.21875" style="2" customWidth="1"/>
    <col min="5378" max="5378" width="2.5546875" style="2" customWidth="1"/>
    <col min="5379" max="5380" width="8.77734375" style="2"/>
    <col min="5381" max="5381" width="5.77734375" style="2" customWidth="1"/>
    <col min="5382" max="5382" width="8.77734375" style="2" customWidth="1"/>
    <col min="5383" max="5383" width="3.21875" style="2" customWidth="1"/>
    <col min="5384" max="5384" width="10.21875" style="2" customWidth="1"/>
    <col min="5385" max="5385" width="3.77734375" style="2" customWidth="1"/>
    <col min="5386" max="5386" width="8.21875" style="2" customWidth="1"/>
    <col min="5387" max="5387" width="6.21875" style="2" customWidth="1"/>
    <col min="5388" max="5388" width="5.5546875" style="2" customWidth="1"/>
    <col min="5389" max="5389" width="10.77734375" style="2" customWidth="1"/>
    <col min="5390" max="5390" width="8.21875" style="2" customWidth="1"/>
    <col min="5391" max="5391" width="12.21875" style="2" customWidth="1"/>
    <col min="5392" max="5392" width="10.21875" style="2" customWidth="1"/>
    <col min="5393" max="5393" width="9.21875" style="2" customWidth="1"/>
    <col min="5394" max="5632" width="8.77734375" style="2"/>
    <col min="5633" max="5633" width="4.21875" style="2" customWidth="1"/>
    <col min="5634" max="5634" width="2.5546875" style="2" customWidth="1"/>
    <col min="5635" max="5636" width="8.77734375" style="2"/>
    <col min="5637" max="5637" width="5.77734375" style="2" customWidth="1"/>
    <col min="5638" max="5638" width="8.77734375" style="2" customWidth="1"/>
    <col min="5639" max="5639" width="3.21875" style="2" customWidth="1"/>
    <col min="5640" max="5640" width="10.21875" style="2" customWidth="1"/>
    <col min="5641" max="5641" width="3.77734375" style="2" customWidth="1"/>
    <col min="5642" max="5642" width="8.21875" style="2" customWidth="1"/>
    <col min="5643" max="5643" width="6.21875" style="2" customWidth="1"/>
    <col min="5644" max="5644" width="5.5546875" style="2" customWidth="1"/>
    <col min="5645" max="5645" width="10.77734375" style="2" customWidth="1"/>
    <col min="5646" max="5646" width="8.21875" style="2" customWidth="1"/>
    <col min="5647" max="5647" width="12.21875" style="2" customWidth="1"/>
    <col min="5648" max="5648" width="10.21875" style="2" customWidth="1"/>
    <col min="5649" max="5649" width="9.21875" style="2" customWidth="1"/>
    <col min="5650" max="5888" width="8.77734375" style="2"/>
    <col min="5889" max="5889" width="4.21875" style="2" customWidth="1"/>
    <col min="5890" max="5890" width="2.5546875" style="2" customWidth="1"/>
    <col min="5891" max="5892" width="8.77734375" style="2"/>
    <col min="5893" max="5893" width="5.77734375" style="2" customWidth="1"/>
    <col min="5894" max="5894" width="8.77734375" style="2" customWidth="1"/>
    <col min="5895" max="5895" width="3.21875" style="2" customWidth="1"/>
    <col min="5896" max="5896" width="10.21875" style="2" customWidth="1"/>
    <col min="5897" max="5897" width="3.77734375" style="2" customWidth="1"/>
    <col min="5898" max="5898" width="8.21875" style="2" customWidth="1"/>
    <col min="5899" max="5899" width="6.21875" style="2" customWidth="1"/>
    <col min="5900" max="5900" width="5.5546875" style="2" customWidth="1"/>
    <col min="5901" max="5901" width="10.77734375" style="2" customWidth="1"/>
    <col min="5902" max="5902" width="8.21875" style="2" customWidth="1"/>
    <col min="5903" max="5903" width="12.21875" style="2" customWidth="1"/>
    <col min="5904" max="5904" width="10.21875" style="2" customWidth="1"/>
    <col min="5905" max="5905" width="9.21875" style="2" customWidth="1"/>
    <col min="5906" max="6144" width="8.77734375" style="2"/>
    <col min="6145" max="6145" width="4.21875" style="2" customWidth="1"/>
    <col min="6146" max="6146" width="2.5546875" style="2" customWidth="1"/>
    <col min="6147" max="6148" width="8.77734375" style="2"/>
    <col min="6149" max="6149" width="5.77734375" style="2" customWidth="1"/>
    <col min="6150" max="6150" width="8.77734375" style="2" customWidth="1"/>
    <col min="6151" max="6151" width="3.21875" style="2" customWidth="1"/>
    <col min="6152" max="6152" width="10.21875" style="2" customWidth="1"/>
    <col min="6153" max="6153" width="3.77734375" style="2" customWidth="1"/>
    <col min="6154" max="6154" width="8.21875" style="2" customWidth="1"/>
    <col min="6155" max="6155" width="6.21875" style="2" customWidth="1"/>
    <col min="6156" max="6156" width="5.5546875" style="2" customWidth="1"/>
    <col min="6157" max="6157" width="10.77734375" style="2" customWidth="1"/>
    <col min="6158" max="6158" width="8.21875" style="2" customWidth="1"/>
    <col min="6159" max="6159" width="12.21875" style="2" customWidth="1"/>
    <col min="6160" max="6160" width="10.21875" style="2" customWidth="1"/>
    <col min="6161" max="6161" width="9.21875" style="2" customWidth="1"/>
    <col min="6162" max="6400" width="8.77734375" style="2"/>
    <col min="6401" max="6401" width="4.21875" style="2" customWidth="1"/>
    <col min="6402" max="6402" width="2.5546875" style="2" customWidth="1"/>
    <col min="6403" max="6404" width="8.77734375" style="2"/>
    <col min="6405" max="6405" width="5.77734375" style="2" customWidth="1"/>
    <col min="6406" max="6406" width="8.77734375" style="2" customWidth="1"/>
    <col min="6407" max="6407" width="3.21875" style="2" customWidth="1"/>
    <col min="6408" max="6408" width="10.21875" style="2" customWidth="1"/>
    <col min="6409" max="6409" width="3.77734375" style="2" customWidth="1"/>
    <col min="6410" max="6410" width="8.21875" style="2" customWidth="1"/>
    <col min="6411" max="6411" width="6.21875" style="2" customWidth="1"/>
    <col min="6412" max="6412" width="5.5546875" style="2" customWidth="1"/>
    <col min="6413" max="6413" width="10.77734375" style="2" customWidth="1"/>
    <col min="6414" max="6414" width="8.21875" style="2" customWidth="1"/>
    <col min="6415" max="6415" width="12.21875" style="2" customWidth="1"/>
    <col min="6416" max="6416" width="10.21875" style="2" customWidth="1"/>
    <col min="6417" max="6417" width="9.21875" style="2" customWidth="1"/>
    <col min="6418" max="6656" width="8.77734375" style="2"/>
    <col min="6657" max="6657" width="4.21875" style="2" customWidth="1"/>
    <col min="6658" max="6658" width="2.5546875" style="2" customWidth="1"/>
    <col min="6659" max="6660" width="8.77734375" style="2"/>
    <col min="6661" max="6661" width="5.77734375" style="2" customWidth="1"/>
    <col min="6662" max="6662" width="8.77734375" style="2" customWidth="1"/>
    <col min="6663" max="6663" width="3.21875" style="2" customWidth="1"/>
    <col min="6664" max="6664" width="10.21875" style="2" customWidth="1"/>
    <col min="6665" max="6665" width="3.77734375" style="2" customWidth="1"/>
    <col min="6666" max="6666" width="8.21875" style="2" customWidth="1"/>
    <col min="6667" max="6667" width="6.21875" style="2" customWidth="1"/>
    <col min="6668" max="6668" width="5.5546875" style="2" customWidth="1"/>
    <col min="6669" max="6669" width="10.77734375" style="2" customWidth="1"/>
    <col min="6670" max="6670" width="8.21875" style="2" customWidth="1"/>
    <col min="6671" max="6671" width="12.21875" style="2" customWidth="1"/>
    <col min="6672" max="6672" width="10.21875" style="2" customWidth="1"/>
    <col min="6673" max="6673" width="9.21875" style="2" customWidth="1"/>
    <col min="6674" max="6912" width="8.77734375" style="2"/>
    <col min="6913" max="6913" width="4.21875" style="2" customWidth="1"/>
    <col min="6914" max="6914" width="2.5546875" style="2" customWidth="1"/>
    <col min="6915" max="6916" width="8.77734375" style="2"/>
    <col min="6917" max="6917" width="5.77734375" style="2" customWidth="1"/>
    <col min="6918" max="6918" width="8.77734375" style="2" customWidth="1"/>
    <col min="6919" max="6919" width="3.21875" style="2" customWidth="1"/>
    <col min="6920" max="6920" width="10.21875" style="2" customWidth="1"/>
    <col min="6921" max="6921" width="3.77734375" style="2" customWidth="1"/>
    <col min="6922" max="6922" width="8.21875" style="2" customWidth="1"/>
    <col min="6923" max="6923" width="6.21875" style="2" customWidth="1"/>
    <col min="6924" max="6924" width="5.5546875" style="2" customWidth="1"/>
    <col min="6925" max="6925" width="10.77734375" style="2" customWidth="1"/>
    <col min="6926" max="6926" width="8.21875" style="2" customWidth="1"/>
    <col min="6927" max="6927" width="12.21875" style="2" customWidth="1"/>
    <col min="6928" max="6928" width="10.21875" style="2" customWidth="1"/>
    <col min="6929" max="6929" width="9.21875" style="2" customWidth="1"/>
    <col min="6930" max="7168" width="8.77734375" style="2"/>
    <col min="7169" max="7169" width="4.21875" style="2" customWidth="1"/>
    <col min="7170" max="7170" width="2.5546875" style="2" customWidth="1"/>
    <col min="7171" max="7172" width="8.77734375" style="2"/>
    <col min="7173" max="7173" width="5.77734375" style="2" customWidth="1"/>
    <col min="7174" max="7174" width="8.77734375" style="2" customWidth="1"/>
    <col min="7175" max="7175" width="3.21875" style="2" customWidth="1"/>
    <col min="7176" max="7176" width="10.21875" style="2" customWidth="1"/>
    <col min="7177" max="7177" width="3.77734375" style="2" customWidth="1"/>
    <col min="7178" max="7178" width="8.21875" style="2" customWidth="1"/>
    <col min="7179" max="7179" width="6.21875" style="2" customWidth="1"/>
    <col min="7180" max="7180" width="5.5546875" style="2" customWidth="1"/>
    <col min="7181" max="7181" width="10.77734375" style="2" customWidth="1"/>
    <col min="7182" max="7182" width="8.21875" style="2" customWidth="1"/>
    <col min="7183" max="7183" width="12.21875" style="2" customWidth="1"/>
    <col min="7184" max="7184" width="10.21875" style="2" customWidth="1"/>
    <col min="7185" max="7185" width="9.21875" style="2" customWidth="1"/>
    <col min="7186" max="7424" width="8.77734375" style="2"/>
    <col min="7425" max="7425" width="4.21875" style="2" customWidth="1"/>
    <col min="7426" max="7426" width="2.5546875" style="2" customWidth="1"/>
    <col min="7427" max="7428" width="8.77734375" style="2"/>
    <col min="7429" max="7429" width="5.77734375" style="2" customWidth="1"/>
    <col min="7430" max="7430" width="8.77734375" style="2" customWidth="1"/>
    <col min="7431" max="7431" width="3.21875" style="2" customWidth="1"/>
    <col min="7432" max="7432" width="10.21875" style="2" customWidth="1"/>
    <col min="7433" max="7433" width="3.77734375" style="2" customWidth="1"/>
    <col min="7434" max="7434" width="8.21875" style="2" customWidth="1"/>
    <col min="7435" max="7435" width="6.21875" style="2" customWidth="1"/>
    <col min="7436" max="7436" width="5.5546875" style="2" customWidth="1"/>
    <col min="7437" max="7437" width="10.77734375" style="2" customWidth="1"/>
    <col min="7438" max="7438" width="8.21875" style="2" customWidth="1"/>
    <col min="7439" max="7439" width="12.21875" style="2" customWidth="1"/>
    <col min="7440" max="7440" width="10.21875" style="2" customWidth="1"/>
    <col min="7441" max="7441" width="9.21875" style="2" customWidth="1"/>
    <col min="7442" max="7680" width="8.77734375" style="2"/>
    <col min="7681" max="7681" width="4.21875" style="2" customWidth="1"/>
    <col min="7682" max="7682" width="2.5546875" style="2" customWidth="1"/>
    <col min="7683" max="7684" width="8.77734375" style="2"/>
    <col min="7685" max="7685" width="5.77734375" style="2" customWidth="1"/>
    <col min="7686" max="7686" width="8.77734375" style="2" customWidth="1"/>
    <col min="7687" max="7687" width="3.21875" style="2" customWidth="1"/>
    <col min="7688" max="7688" width="10.21875" style="2" customWidth="1"/>
    <col min="7689" max="7689" width="3.77734375" style="2" customWidth="1"/>
    <col min="7690" max="7690" width="8.21875" style="2" customWidth="1"/>
    <col min="7691" max="7691" width="6.21875" style="2" customWidth="1"/>
    <col min="7692" max="7692" width="5.5546875" style="2" customWidth="1"/>
    <col min="7693" max="7693" width="10.77734375" style="2" customWidth="1"/>
    <col min="7694" max="7694" width="8.21875" style="2" customWidth="1"/>
    <col min="7695" max="7695" width="12.21875" style="2" customWidth="1"/>
    <col min="7696" max="7696" width="10.21875" style="2" customWidth="1"/>
    <col min="7697" max="7697" width="9.21875" style="2" customWidth="1"/>
    <col min="7698" max="7936" width="8.77734375" style="2"/>
    <col min="7937" max="7937" width="4.21875" style="2" customWidth="1"/>
    <col min="7938" max="7938" width="2.5546875" style="2" customWidth="1"/>
    <col min="7939" max="7940" width="8.77734375" style="2"/>
    <col min="7941" max="7941" width="5.77734375" style="2" customWidth="1"/>
    <col min="7942" max="7942" width="8.77734375" style="2" customWidth="1"/>
    <col min="7943" max="7943" width="3.21875" style="2" customWidth="1"/>
    <col min="7944" max="7944" width="10.21875" style="2" customWidth="1"/>
    <col min="7945" max="7945" width="3.77734375" style="2" customWidth="1"/>
    <col min="7946" max="7946" width="8.21875" style="2" customWidth="1"/>
    <col min="7947" max="7947" width="6.21875" style="2" customWidth="1"/>
    <col min="7948" max="7948" width="5.5546875" style="2" customWidth="1"/>
    <col min="7949" max="7949" width="10.77734375" style="2" customWidth="1"/>
    <col min="7950" max="7950" width="8.21875" style="2" customWidth="1"/>
    <col min="7951" max="7951" width="12.21875" style="2" customWidth="1"/>
    <col min="7952" max="7952" width="10.21875" style="2" customWidth="1"/>
    <col min="7953" max="7953" width="9.21875" style="2" customWidth="1"/>
    <col min="7954" max="8192" width="8.77734375" style="2"/>
    <col min="8193" max="8193" width="4.21875" style="2" customWidth="1"/>
    <col min="8194" max="8194" width="2.5546875" style="2" customWidth="1"/>
    <col min="8195" max="8196" width="8.77734375" style="2"/>
    <col min="8197" max="8197" width="5.77734375" style="2" customWidth="1"/>
    <col min="8198" max="8198" width="8.77734375" style="2" customWidth="1"/>
    <col min="8199" max="8199" width="3.21875" style="2" customWidth="1"/>
    <col min="8200" max="8200" width="10.21875" style="2" customWidth="1"/>
    <col min="8201" max="8201" width="3.77734375" style="2" customWidth="1"/>
    <col min="8202" max="8202" width="8.21875" style="2" customWidth="1"/>
    <col min="8203" max="8203" width="6.21875" style="2" customWidth="1"/>
    <col min="8204" max="8204" width="5.5546875" style="2" customWidth="1"/>
    <col min="8205" max="8205" width="10.77734375" style="2" customWidth="1"/>
    <col min="8206" max="8206" width="8.21875" style="2" customWidth="1"/>
    <col min="8207" max="8207" width="12.21875" style="2" customWidth="1"/>
    <col min="8208" max="8208" width="10.21875" style="2" customWidth="1"/>
    <col min="8209" max="8209" width="9.21875" style="2" customWidth="1"/>
    <col min="8210" max="8448" width="8.77734375" style="2"/>
    <col min="8449" max="8449" width="4.21875" style="2" customWidth="1"/>
    <col min="8450" max="8450" width="2.5546875" style="2" customWidth="1"/>
    <col min="8451" max="8452" width="8.77734375" style="2"/>
    <col min="8453" max="8453" width="5.77734375" style="2" customWidth="1"/>
    <col min="8454" max="8454" width="8.77734375" style="2" customWidth="1"/>
    <col min="8455" max="8455" width="3.21875" style="2" customWidth="1"/>
    <col min="8456" max="8456" width="10.21875" style="2" customWidth="1"/>
    <col min="8457" max="8457" width="3.77734375" style="2" customWidth="1"/>
    <col min="8458" max="8458" width="8.21875" style="2" customWidth="1"/>
    <col min="8459" max="8459" width="6.21875" style="2" customWidth="1"/>
    <col min="8460" max="8460" width="5.5546875" style="2" customWidth="1"/>
    <col min="8461" max="8461" width="10.77734375" style="2" customWidth="1"/>
    <col min="8462" max="8462" width="8.21875" style="2" customWidth="1"/>
    <col min="8463" max="8463" width="12.21875" style="2" customWidth="1"/>
    <col min="8464" max="8464" width="10.21875" style="2" customWidth="1"/>
    <col min="8465" max="8465" width="9.21875" style="2" customWidth="1"/>
    <col min="8466" max="8704" width="8.77734375" style="2"/>
    <col min="8705" max="8705" width="4.21875" style="2" customWidth="1"/>
    <col min="8706" max="8706" width="2.5546875" style="2" customWidth="1"/>
    <col min="8707" max="8708" width="8.77734375" style="2"/>
    <col min="8709" max="8709" width="5.77734375" style="2" customWidth="1"/>
    <col min="8710" max="8710" width="8.77734375" style="2" customWidth="1"/>
    <col min="8711" max="8711" width="3.21875" style="2" customWidth="1"/>
    <col min="8712" max="8712" width="10.21875" style="2" customWidth="1"/>
    <col min="8713" max="8713" width="3.77734375" style="2" customWidth="1"/>
    <col min="8714" max="8714" width="8.21875" style="2" customWidth="1"/>
    <col min="8715" max="8715" width="6.21875" style="2" customWidth="1"/>
    <col min="8716" max="8716" width="5.5546875" style="2" customWidth="1"/>
    <col min="8717" max="8717" width="10.77734375" style="2" customWidth="1"/>
    <col min="8718" max="8718" width="8.21875" style="2" customWidth="1"/>
    <col min="8719" max="8719" width="12.21875" style="2" customWidth="1"/>
    <col min="8720" max="8720" width="10.21875" style="2" customWidth="1"/>
    <col min="8721" max="8721" width="9.21875" style="2" customWidth="1"/>
    <col min="8722" max="8960" width="8.77734375" style="2"/>
    <col min="8961" max="8961" width="4.21875" style="2" customWidth="1"/>
    <col min="8962" max="8962" width="2.5546875" style="2" customWidth="1"/>
    <col min="8963" max="8964" width="8.77734375" style="2"/>
    <col min="8965" max="8965" width="5.77734375" style="2" customWidth="1"/>
    <col min="8966" max="8966" width="8.77734375" style="2" customWidth="1"/>
    <col min="8967" max="8967" width="3.21875" style="2" customWidth="1"/>
    <col min="8968" max="8968" width="10.21875" style="2" customWidth="1"/>
    <col min="8969" max="8969" width="3.77734375" style="2" customWidth="1"/>
    <col min="8970" max="8970" width="8.21875" style="2" customWidth="1"/>
    <col min="8971" max="8971" width="6.21875" style="2" customWidth="1"/>
    <col min="8972" max="8972" width="5.5546875" style="2" customWidth="1"/>
    <col min="8973" max="8973" width="10.77734375" style="2" customWidth="1"/>
    <col min="8974" max="8974" width="8.21875" style="2" customWidth="1"/>
    <col min="8975" max="8975" width="12.21875" style="2" customWidth="1"/>
    <col min="8976" max="8976" width="10.21875" style="2" customWidth="1"/>
    <col min="8977" max="8977" width="9.21875" style="2" customWidth="1"/>
    <col min="8978" max="9216" width="8.77734375" style="2"/>
    <col min="9217" max="9217" width="4.21875" style="2" customWidth="1"/>
    <col min="9218" max="9218" width="2.5546875" style="2" customWidth="1"/>
    <col min="9219" max="9220" width="8.77734375" style="2"/>
    <col min="9221" max="9221" width="5.77734375" style="2" customWidth="1"/>
    <col min="9222" max="9222" width="8.77734375" style="2" customWidth="1"/>
    <col min="9223" max="9223" width="3.21875" style="2" customWidth="1"/>
    <col min="9224" max="9224" width="10.21875" style="2" customWidth="1"/>
    <col min="9225" max="9225" width="3.77734375" style="2" customWidth="1"/>
    <col min="9226" max="9226" width="8.21875" style="2" customWidth="1"/>
    <col min="9227" max="9227" width="6.21875" style="2" customWidth="1"/>
    <col min="9228" max="9228" width="5.5546875" style="2" customWidth="1"/>
    <col min="9229" max="9229" width="10.77734375" style="2" customWidth="1"/>
    <col min="9230" max="9230" width="8.21875" style="2" customWidth="1"/>
    <col min="9231" max="9231" width="12.21875" style="2" customWidth="1"/>
    <col min="9232" max="9232" width="10.21875" style="2" customWidth="1"/>
    <col min="9233" max="9233" width="9.21875" style="2" customWidth="1"/>
    <col min="9234" max="9472" width="8.77734375" style="2"/>
    <col min="9473" max="9473" width="4.21875" style="2" customWidth="1"/>
    <col min="9474" max="9474" width="2.5546875" style="2" customWidth="1"/>
    <col min="9475" max="9476" width="8.77734375" style="2"/>
    <col min="9477" max="9477" width="5.77734375" style="2" customWidth="1"/>
    <col min="9478" max="9478" width="8.77734375" style="2" customWidth="1"/>
    <col min="9479" max="9479" width="3.21875" style="2" customWidth="1"/>
    <col min="9480" max="9480" width="10.21875" style="2" customWidth="1"/>
    <col min="9481" max="9481" width="3.77734375" style="2" customWidth="1"/>
    <col min="9482" max="9482" width="8.21875" style="2" customWidth="1"/>
    <col min="9483" max="9483" width="6.21875" style="2" customWidth="1"/>
    <col min="9484" max="9484" width="5.5546875" style="2" customWidth="1"/>
    <col min="9485" max="9485" width="10.77734375" style="2" customWidth="1"/>
    <col min="9486" max="9486" width="8.21875" style="2" customWidth="1"/>
    <col min="9487" max="9487" width="12.21875" style="2" customWidth="1"/>
    <col min="9488" max="9488" width="10.21875" style="2" customWidth="1"/>
    <col min="9489" max="9489" width="9.21875" style="2" customWidth="1"/>
    <col min="9490" max="9728" width="8.77734375" style="2"/>
    <col min="9729" max="9729" width="4.21875" style="2" customWidth="1"/>
    <col min="9730" max="9730" width="2.5546875" style="2" customWidth="1"/>
    <col min="9731" max="9732" width="8.77734375" style="2"/>
    <col min="9733" max="9733" width="5.77734375" style="2" customWidth="1"/>
    <col min="9734" max="9734" width="8.77734375" style="2" customWidth="1"/>
    <col min="9735" max="9735" width="3.21875" style="2" customWidth="1"/>
    <col min="9736" max="9736" width="10.21875" style="2" customWidth="1"/>
    <col min="9737" max="9737" width="3.77734375" style="2" customWidth="1"/>
    <col min="9738" max="9738" width="8.21875" style="2" customWidth="1"/>
    <col min="9739" max="9739" width="6.21875" style="2" customWidth="1"/>
    <col min="9740" max="9740" width="5.5546875" style="2" customWidth="1"/>
    <col min="9741" max="9741" width="10.77734375" style="2" customWidth="1"/>
    <col min="9742" max="9742" width="8.21875" style="2" customWidth="1"/>
    <col min="9743" max="9743" width="12.21875" style="2" customWidth="1"/>
    <col min="9744" max="9744" width="10.21875" style="2" customWidth="1"/>
    <col min="9745" max="9745" width="9.21875" style="2" customWidth="1"/>
    <col min="9746" max="9984" width="8.77734375" style="2"/>
    <col min="9985" max="9985" width="4.21875" style="2" customWidth="1"/>
    <col min="9986" max="9986" width="2.5546875" style="2" customWidth="1"/>
    <col min="9987" max="9988" width="8.77734375" style="2"/>
    <col min="9989" max="9989" width="5.77734375" style="2" customWidth="1"/>
    <col min="9990" max="9990" width="8.77734375" style="2" customWidth="1"/>
    <col min="9991" max="9991" width="3.21875" style="2" customWidth="1"/>
    <col min="9992" max="9992" width="10.21875" style="2" customWidth="1"/>
    <col min="9993" max="9993" width="3.77734375" style="2" customWidth="1"/>
    <col min="9994" max="9994" width="8.21875" style="2" customWidth="1"/>
    <col min="9995" max="9995" width="6.21875" style="2" customWidth="1"/>
    <col min="9996" max="9996" width="5.5546875" style="2" customWidth="1"/>
    <col min="9997" max="9997" width="10.77734375" style="2" customWidth="1"/>
    <col min="9998" max="9998" width="8.21875" style="2" customWidth="1"/>
    <col min="9999" max="9999" width="12.21875" style="2" customWidth="1"/>
    <col min="10000" max="10000" width="10.21875" style="2" customWidth="1"/>
    <col min="10001" max="10001" width="9.21875" style="2" customWidth="1"/>
    <col min="10002" max="10240" width="8.77734375" style="2"/>
    <col min="10241" max="10241" width="4.21875" style="2" customWidth="1"/>
    <col min="10242" max="10242" width="2.5546875" style="2" customWidth="1"/>
    <col min="10243" max="10244" width="8.77734375" style="2"/>
    <col min="10245" max="10245" width="5.77734375" style="2" customWidth="1"/>
    <col min="10246" max="10246" width="8.77734375" style="2" customWidth="1"/>
    <col min="10247" max="10247" width="3.21875" style="2" customWidth="1"/>
    <col min="10248" max="10248" width="10.21875" style="2" customWidth="1"/>
    <col min="10249" max="10249" width="3.77734375" style="2" customWidth="1"/>
    <col min="10250" max="10250" width="8.21875" style="2" customWidth="1"/>
    <col min="10251" max="10251" width="6.21875" style="2" customWidth="1"/>
    <col min="10252" max="10252" width="5.5546875" style="2" customWidth="1"/>
    <col min="10253" max="10253" width="10.77734375" style="2" customWidth="1"/>
    <col min="10254" max="10254" width="8.21875" style="2" customWidth="1"/>
    <col min="10255" max="10255" width="12.21875" style="2" customWidth="1"/>
    <col min="10256" max="10256" width="10.21875" style="2" customWidth="1"/>
    <col min="10257" max="10257" width="9.21875" style="2" customWidth="1"/>
    <col min="10258" max="10496" width="8.77734375" style="2"/>
    <col min="10497" max="10497" width="4.21875" style="2" customWidth="1"/>
    <col min="10498" max="10498" width="2.5546875" style="2" customWidth="1"/>
    <col min="10499" max="10500" width="8.77734375" style="2"/>
    <col min="10501" max="10501" width="5.77734375" style="2" customWidth="1"/>
    <col min="10502" max="10502" width="8.77734375" style="2" customWidth="1"/>
    <col min="10503" max="10503" width="3.21875" style="2" customWidth="1"/>
    <col min="10504" max="10504" width="10.21875" style="2" customWidth="1"/>
    <col min="10505" max="10505" width="3.77734375" style="2" customWidth="1"/>
    <col min="10506" max="10506" width="8.21875" style="2" customWidth="1"/>
    <col min="10507" max="10507" width="6.21875" style="2" customWidth="1"/>
    <col min="10508" max="10508" width="5.5546875" style="2" customWidth="1"/>
    <col min="10509" max="10509" width="10.77734375" style="2" customWidth="1"/>
    <col min="10510" max="10510" width="8.21875" style="2" customWidth="1"/>
    <col min="10511" max="10511" width="12.21875" style="2" customWidth="1"/>
    <col min="10512" max="10512" width="10.21875" style="2" customWidth="1"/>
    <col min="10513" max="10513" width="9.21875" style="2" customWidth="1"/>
    <col min="10514" max="10752" width="8.77734375" style="2"/>
    <col min="10753" max="10753" width="4.21875" style="2" customWidth="1"/>
    <col min="10754" max="10754" width="2.5546875" style="2" customWidth="1"/>
    <col min="10755" max="10756" width="8.77734375" style="2"/>
    <col min="10757" max="10757" width="5.77734375" style="2" customWidth="1"/>
    <col min="10758" max="10758" width="8.77734375" style="2" customWidth="1"/>
    <col min="10759" max="10759" width="3.21875" style="2" customWidth="1"/>
    <col min="10760" max="10760" width="10.21875" style="2" customWidth="1"/>
    <col min="10761" max="10761" width="3.77734375" style="2" customWidth="1"/>
    <col min="10762" max="10762" width="8.21875" style="2" customWidth="1"/>
    <col min="10763" max="10763" width="6.21875" style="2" customWidth="1"/>
    <col min="10764" max="10764" width="5.5546875" style="2" customWidth="1"/>
    <col min="10765" max="10765" width="10.77734375" style="2" customWidth="1"/>
    <col min="10766" max="10766" width="8.21875" style="2" customWidth="1"/>
    <col min="10767" max="10767" width="12.21875" style="2" customWidth="1"/>
    <col min="10768" max="10768" width="10.21875" style="2" customWidth="1"/>
    <col min="10769" max="10769" width="9.21875" style="2" customWidth="1"/>
    <col min="10770" max="11008" width="8.77734375" style="2"/>
    <col min="11009" max="11009" width="4.21875" style="2" customWidth="1"/>
    <col min="11010" max="11010" width="2.5546875" style="2" customWidth="1"/>
    <col min="11011" max="11012" width="8.77734375" style="2"/>
    <col min="11013" max="11013" width="5.77734375" style="2" customWidth="1"/>
    <col min="11014" max="11014" width="8.77734375" style="2" customWidth="1"/>
    <col min="11015" max="11015" width="3.21875" style="2" customWidth="1"/>
    <col min="11016" max="11016" width="10.21875" style="2" customWidth="1"/>
    <col min="11017" max="11017" width="3.77734375" style="2" customWidth="1"/>
    <col min="11018" max="11018" width="8.21875" style="2" customWidth="1"/>
    <col min="11019" max="11019" width="6.21875" style="2" customWidth="1"/>
    <col min="11020" max="11020" width="5.5546875" style="2" customWidth="1"/>
    <col min="11021" max="11021" width="10.77734375" style="2" customWidth="1"/>
    <col min="11022" max="11022" width="8.21875" style="2" customWidth="1"/>
    <col min="11023" max="11023" width="12.21875" style="2" customWidth="1"/>
    <col min="11024" max="11024" width="10.21875" style="2" customWidth="1"/>
    <col min="11025" max="11025" width="9.21875" style="2" customWidth="1"/>
    <col min="11026" max="11264" width="8.77734375" style="2"/>
    <col min="11265" max="11265" width="4.21875" style="2" customWidth="1"/>
    <col min="11266" max="11266" width="2.5546875" style="2" customWidth="1"/>
    <col min="11267" max="11268" width="8.77734375" style="2"/>
    <col min="11269" max="11269" width="5.77734375" style="2" customWidth="1"/>
    <col min="11270" max="11270" width="8.77734375" style="2" customWidth="1"/>
    <col min="11271" max="11271" width="3.21875" style="2" customWidth="1"/>
    <col min="11272" max="11272" width="10.21875" style="2" customWidth="1"/>
    <col min="11273" max="11273" width="3.77734375" style="2" customWidth="1"/>
    <col min="11274" max="11274" width="8.21875" style="2" customWidth="1"/>
    <col min="11275" max="11275" width="6.21875" style="2" customWidth="1"/>
    <col min="11276" max="11276" width="5.5546875" style="2" customWidth="1"/>
    <col min="11277" max="11277" width="10.77734375" style="2" customWidth="1"/>
    <col min="11278" max="11278" width="8.21875" style="2" customWidth="1"/>
    <col min="11279" max="11279" width="12.21875" style="2" customWidth="1"/>
    <col min="11280" max="11280" width="10.21875" style="2" customWidth="1"/>
    <col min="11281" max="11281" width="9.21875" style="2" customWidth="1"/>
    <col min="11282" max="11520" width="8.77734375" style="2"/>
    <col min="11521" max="11521" width="4.21875" style="2" customWidth="1"/>
    <col min="11522" max="11522" width="2.5546875" style="2" customWidth="1"/>
    <col min="11523" max="11524" width="8.77734375" style="2"/>
    <col min="11525" max="11525" width="5.77734375" style="2" customWidth="1"/>
    <col min="11526" max="11526" width="8.77734375" style="2" customWidth="1"/>
    <col min="11527" max="11527" width="3.21875" style="2" customWidth="1"/>
    <col min="11528" max="11528" width="10.21875" style="2" customWidth="1"/>
    <col min="11529" max="11529" width="3.77734375" style="2" customWidth="1"/>
    <col min="11530" max="11530" width="8.21875" style="2" customWidth="1"/>
    <col min="11531" max="11531" width="6.21875" style="2" customWidth="1"/>
    <col min="11532" max="11532" width="5.5546875" style="2" customWidth="1"/>
    <col min="11533" max="11533" width="10.77734375" style="2" customWidth="1"/>
    <col min="11534" max="11534" width="8.21875" style="2" customWidth="1"/>
    <col min="11535" max="11535" width="12.21875" style="2" customWidth="1"/>
    <col min="11536" max="11536" width="10.21875" style="2" customWidth="1"/>
    <col min="11537" max="11537" width="9.21875" style="2" customWidth="1"/>
    <col min="11538" max="11776" width="8.77734375" style="2"/>
    <col min="11777" max="11777" width="4.21875" style="2" customWidth="1"/>
    <col min="11778" max="11778" width="2.5546875" style="2" customWidth="1"/>
    <col min="11779" max="11780" width="8.77734375" style="2"/>
    <col min="11781" max="11781" width="5.77734375" style="2" customWidth="1"/>
    <col min="11782" max="11782" width="8.77734375" style="2" customWidth="1"/>
    <col min="11783" max="11783" width="3.21875" style="2" customWidth="1"/>
    <col min="11784" max="11784" width="10.21875" style="2" customWidth="1"/>
    <col min="11785" max="11785" width="3.77734375" style="2" customWidth="1"/>
    <col min="11786" max="11786" width="8.21875" style="2" customWidth="1"/>
    <col min="11787" max="11787" width="6.21875" style="2" customWidth="1"/>
    <col min="11788" max="11788" width="5.5546875" style="2" customWidth="1"/>
    <col min="11789" max="11789" width="10.77734375" style="2" customWidth="1"/>
    <col min="11790" max="11790" width="8.21875" style="2" customWidth="1"/>
    <col min="11791" max="11791" width="12.21875" style="2" customWidth="1"/>
    <col min="11792" max="11792" width="10.21875" style="2" customWidth="1"/>
    <col min="11793" max="11793" width="9.21875" style="2" customWidth="1"/>
    <col min="11794" max="12032" width="8.77734375" style="2"/>
    <col min="12033" max="12033" width="4.21875" style="2" customWidth="1"/>
    <col min="12034" max="12034" width="2.5546875" style="2" customWidth="1"/>
    <col min="12035" max="12036" width="8.77734375" style="2"/>
    <col min="12037" max="12037" width="5.77734375" style="2" customWidth="1"/>
    <col min="12038" max="12038" width="8.77734375" style="2" customWidth="1"/>
    <col min="12039" max="12039" width="3.21875" style="2" customWidth="1"/>
    <col min="12040" max="12040" width="10.21875" style="2" customWidth="1"/>
    <col min="12041" max="12041" width="3.77734375" style="2" customWidth="1"/>
    <col min="12042" max="12042" width="8.21875" style="2" customWidth="1"/>
    <col min="12043" max="12043" width="6.21875" style="2" customWidth="1"/>
    <col min="12044" max="12044" width="5.5546875" style="2" customWidth="1"/>
    <col min="12045" max="12045" width="10.77734375" style="2" customWidth="1"/>
    <col min="12046" max="12046" width="8.21875" style="2" customWidth="1"/>
    <col min="12047" max="12047" width="12.21875" style="2" customWidth="1"/>
    <col min="12048" max="12048" width="10.21875" style="2" customWidth="1"/>
    <col min="12049" max="12049" width="9.21875" style="2" customWidth="1"/>
    <col min="12050" max="12288" width="8.77734375" style="2"/>
    <col min="12289" max="12289" width="4.21875" style="2" customWidth="1"/>
    <col min="12290" max="12290" width="2.5546875" style="2" customWidth="1"/>
    <col min="12291" max="12292" width="8.77734375" style="2"/>
    <col min="12293" max="12293" width="5.77734375" style="2" customWidth="1"/>
    <col min="12294" max="12294" width="8.77734375" style="2" customWidth="1"/>
    <col min="12295" max="12295" width="3.21875" style="2" customWidth="1"/>
    <col min="12296" max="12296" width="10.21875" style="2" customWidth="1"/>
    <col min="12297" max="12297" width="3.77734375" style="2" customWidth="1"/>
    <col min="12298" max="12298" width="8.21875" style="2" customWidth="1"/>
    <col min="12299" max="12299" width="6.21875" style="2" customWidth="1"/>
    <col min="12300" max="12300" width="5.5546875" style="2" customWidth="1"/>
    <col min="12301" max="12301" width="10.77734375" style="2" customWidth="1"/>
    <col min="12302" max="12302" width="8.21875" style="2" customWidth="1"/>
    <col min="12303" max="12303" width="12.21875" style="2" customWidth="1"/>
    <col min="12304" max="12304" width="10.21875" style="2" customWidth="1"/>
    <col min="12305" max="12305" width="9.21875" style="2" customWidth="1"/>
    <col min="12306" max="12544" width="8.77734375" style="2"/>
    <col min="12545" max="12545" width="4.21875" style="2" customWidth="1"/>
    <col min="12546" max="12546" width="2.5546875" style="2" customWidth="1"/>
    <col min="12547" max="12548" width="8.77734375" style="2"/>
    <col min="12549" max="12549" width="5.77734375" style="2" customWidth="1"/>
    <col min="12550" max="12550" width="8.77734375" style="2" customWidth="1"/>
    <col min="12551" max="12551" width="3.21875" style="2" customWidth="1"/>
    <col min="12552" max="12552" width="10.21875" style="2" customWidth="1"/>
    <col min="12553" max="12553" width="3.77734375" style="2" customWidth="1"/>
    <col min="12554" max="12554" width="8.21875" style="2" customWidth="1"/>
    <col min="12555" max="12555" width="6.21875" style="2" customWidth="1"/>
    <col min="12556" max="12556" width="5.5546875" style="2" customWidth="1"/>
    <col min="12557" max="12557" width="10.77734375" style="2" customWidth="1"/>
    <col min="12558" max="12558" width="8.21875" style="2" customWidth="1"/>
    <col min="12559" max="12559" width="12.21875" style="2" customWidth="1"/>
    <col min="12560" max="12560" width="10.21875" style="2" customWidth="1"/>
    <col min="12561" max="12561" width="9.21875" style="2" customWidth="1"/>
    <col min="12562" max="12800" width="8.77734375" style="2"/>
    <col min="12801" max="12801" width="4.21875" style="2" customWidth="1"/>
    <col min="12802" max="12802" width="2.5546875" style="2" customWidth="1"/>
    <col min="12803" max="12804" width="8.77734375" style="2"/>
    <col min="12805" max="12805" width="5.77734375" style="2" customWidth="1"/>
    <col min="12806" max="12806" width="8.77734375" style="2" customWidth="1"/>
    <col min="12807" max="12807" width="3.21875" style="2" customWidth="1"/>
    <col min="12808" max="12808" width="10.21875" style="2" customWidth="1"/>
    <col min="12809" max="12809" width="3.77734375" style="2" customWidth="1"/>
    <col min="12810" max="12810" width="8.21875" style="2" customWidth="1"/>
    <col min="12811" max="12811" width="6.21875" style="2" customWidth="1"/>
    <col min="12812" max="12812" width="5.5546875" style="2" customWidth="1"/>
    <col min="12813" max="12813" width="10.77734375" style="2" customWidth="1"/>
    <col min="12814" max="12814" width="8.21875" style="2" customWidth="1"/>
    <col min="12815" max="12815" width="12.21875" style="2" customWidth="1"/>
    <col min="12816" max="12816" width="10.21875" style="2" customWidth="1"/>
    <col min="12817" max="12817" width="9.21875" style="2" customWidth="1"/>
    <col min="12818" max="13056" width="8.77734375" style="2"/>
    <col min="13057" max="13057" width="4.21875" style="2" customWidth="1"/>
    <col min="13058" max="13058" width="2.5546875" style="2" customWidth="1"/>
    <col min="13059" max="13060" width="8.77734375" style="2"/>
    <col min="13061" max="13061" width="5.77734375" style="2" customWidth="1"/>
    <col min="13062" max="13062" width="8.77734375" style="2" customWidth="1"/>
    <col min="13063" max="13063" width="3.21875" style="2" customWidth="1"/>
    <col min="13064" max="13064" width="10.21875" style="2" customWidth="1"/>
    <col min="13065" max="13065" width="3.77734375" style="2" customWidth="1"/>
    <col min="13066" max="13066" width="8.21875" style="2" customWidth="1"/>
    <col min="13067" max="13067" width="6.21875" style="2" customWidth="1"/>
    <col min="13068" max="13068" width="5.5546875" style="2" customWidth="1"/>
    <col min="13069" max="13069" width="10.77734375" style="2" customWidth="1"/>
    <col min="13070" max="13070" width="8.21875" style="2" customWidth="1"/>
    <col min="13071" max="13071" width="12.21875" style="2" customWidth="1"/>
    <col min="13072" max="13072" width="10.21875" style="2" customWidth="1"/>
    <col min="13073" max="13073" width="9.21875" style="2" customWidth="1"/>
    <col min="13074" max="13312" width="8.77734375" style="2"/>
    <col min="13313" max="13313" width="4.21875" style="2" customWidth="1"/>
    <col min="13314" max="13314" width="2.5546875" style="2" customWidth="1"/>
    <col min="13315" max="13316" width="8.77734375" style="2"/>
    <col min="13317" max="13317" width="5.77734375" style="2" customWidth="1"/>
    <col min="13318" max="13318" width="8.77734375" style="2" customWidth="1"/>
    <col min="13319" max="13319" width="3.21875" style="2" customWidth="1"/>
    <col min="13320" max="13320" width="10.21875" style="2" customWidth="1"/>
    <col min="13321" max="13321" width="3.77734375" style="2" customWidth="1"/>
    <col min="13322" max="13322" width="8.21875" style="2" customWidth="1"/>
    <col min="13323" max="13323" width="6.21875" style="2" customWidth="1"/>
    <col min="13324" max="13324" width="5.5546875" style="2" customWidth="1"/>
    <col min="13325" max="13325" width="10.77734375" style="2" customWidth="1"/>
    <col min="13326" max="13326" width="8.21875" style="2" customWidth="1"/>
    <col min="13327" max="13327" width="12.21875" style="2" customWidth="1"/>
    <col min="13328" max="13328" width="10.21875" style="2" customWidth="1"/>
    <col min="13329" max="13329" width="9.21875" style="2" customWidth="1"/>
    <col min="13330" max="13568" width="8.77734375" style="2"/>
    <col min="13569" max="13569" width="4.21875" style="2" customWidth="1"/>
    <col min="13570" max="13570" width="2.5546875" style="2" customWidth="1"/>
    <col min="13571" max="13572" width="8.77734375" style="2"/>
    <col min="13573" max="13573" width="5.77734375" style="2" customWidth="1"/>
    <col min="13574" max="13574" width="8.77734375" style="2" customWidth="1"/>
    <col min="13575" max="13575" width="3.21875" style="2" customWidth="1"/>
    <col min="13576" max="13576" width="10.21875" style="2" customWidth="1"/>
    <col min="13577" max="13577" width="3.77734375" style="2" customWidth="1"/>
    <col min="13578" max="13578" width="8.21875" style="2" customWidth="1"/>
    <col min="13579" max="13579" width="6.21875" style="2" customWidth="1"/>
    <col min="13580" max="13580" width="5.5546875" style="2" customWidth="1"/>
    <col min="13581" max="13581" width="10.77734375" style="2" customWidth="1"/>
    <col min="13582" max="13582" width="8.21875" style="2" customWidth="1"/>
    <col min="13583" max="13583" width="12.21875" style="2" customWidth="1"/>
    <col min="13584" max="13584" width="10.21875" style="2" customWidth="1"/>
    <col min="13585" max="13585" width="9.21875" style="2" customWidth="1"/>
    <col min="13586" max="13824" width="8.77734375" style="2"/>
    <col min="13825" max="13825" width="4.21875" style="2" customWidth="1"/>
    <col min="13826" max="13826" width="2.5546875" style="2" customWidth="1"/>
    <col min="13827" max="13828" width="8.77734375" style="2"/>
    <col min="13829" max="13829" width="5.77734375" style="2" customWidth="1"/>
    <col min="13830" max="13830" width="8.77734375" style="2" customWidth="1"/>
    <col min="13831" max="13831" width="3.21875" style="2" customWidth="1"/>
    <col min="13832" max="13832" width="10.21875" style="2" customWidth="1"/>
    <col min="13833" max="13833" width="3.77734375" style="2" customWidth="1"/>
    <col min="13834" max="13834" width="8.21875" style="2" customWidth="1"/>
    <col min="13835" max="13835" width="6.21875" style="2" customWidth="1"/>
    <col min="13836" max="13836" width="5.5546875" style="2" customWidth="1"/>
    <col min="13837" max="13837" width="10.77734375" style="2" customWidth="1"/>
    <col min="13838" max="13838" width="8.21875" style="2" customWidth="1"/>
    <col min="13839" max="13839" width="12.21875" style="2" customWidth="1"/>
    <col min="13840" max="13840" width="10.21875" style="2" customWidth="1"/>
    <col min="13841" max="13841" width="9.21875" style="2" customWidth="1"/>
    <col min="13842" max="14080" width="8.77734375" style="2"/>
    <col min="14081" max="14081" width="4.21875" style="2" customWidth="1"/>
    <col min="14082" max="14082" width="2.5546875" style="2" customWidth="1"/>
    <col min="14083" max="14084" width="8.77734375" style="2"/>
    <col min="14085" max="14085" width="5.77734375" style="2" customWidth="1"/>
    <col min="14086" max="14086" width="8.77734375" style="2" customWidth="1"/>
    <col min="14087" max="14087" width="3.21875" style="2" customWidth="1"/>
    <col min="14088" max="14088" width="10.21875" style="2" customWidth="1"/>
    <col min="14089" max="14089" width="3.77734375" style="2" customWidth="1"/>
    <col min="14090" max="14090" width="8.21875" style="2" customWidth="1"/>
    <col min="14091" max="14091" width="6.21875" style="2" customWidth="1"/>
    <col min="14092" max="14092" width="5.5546875" style="2" customWidth="1"/>
    <col min="14093" max="14093" width="10.77734375" style="2" customWidth="1"/>
    <col min="14094" max="14094" width="8.21875" style="2" customWidth="1"/>
    <col min="14095" max="14095" width="12.21875" style="2" customWidth="1"/>
    <col min="14096" max="14096" width="10.21875" style="2" customWidth="1"/>
    <col min="14097" max="14097" width="9.21875" style="2" customWidth="1"/>
    <col min="14098" max="14336" width="8.77734375" style="2"/>
    <col min="14337" max="14337" width="4.21875" style="2" customWidth="1"/>
    <col min="14338" max="14338" width="2.5546875" style="2" customWidth="1"/>
    <col min="14339" max="14340" width="8.77734375" style="2"/>
    <col min="14341" max="14341" width="5.77734375" style="2" customWidth="1"/>
    <col min="14342" max="14342" width="8.77734375" style="2" customWidth="1"/>
    <col min="14343" max="14343" width="3.21875" style="2" customWidth="1"/>
    <col min="14344" max="14344" width="10.21875" style="2" customWidth="1"/>
    <col min="14345" max="14345" width="3.77734375" style="2" customWidth="1"/>
    <col min="14346" max="14346" width="8.21875" style="2" customWidth="1"/>
    <col min="14347" max="14347" width="6.21875" style="2" customWidth="1"/>
    <col min="14348" max="14348" width="5.5546875" style="2" customWidth="1"/>
    <col min="14349" max="14349" width="10.77734375" style="2" customWidth="1"/>
    <col min="14350" max="14350" width="8.21875" style="2" customWidth="1"/>
    <col min="14351" max="14351" width="12.21875" style="2" customWidth="1"/>
    <col min="14352" max="14352" width="10.21875" style="2" customWidth="1"/>
    <col min="14353" max="14353" width="9.21875" style="2" customWidth="1"/>
    <col min="14354" max="14592" width="8.77734375" style="2"/>
    <col min="14593" max="14593" width="4.21875" style="2" customWidth="1"/>
    <col min="14594" max="14594" width="2.5546875" style="2" customWidth="1"/>
    <col min="14595" max="14596" width="8.77734375" style="2"/>
    <col min="14597" max="14597" width="5.77734375" style="2" customWidth="1"/>
    <col min="14598" max="14598" width="8.77734375" style="2" customWidth="1"/>
    <col min="14599" max="14599" width="3.21875" style="2" customWidth="1"/>
    <col min="14600" max="14600" width="10.21875" style="2" customWidth="1"/>
    <col min="14601" max="14601" width="3.77734375" style="2" customWidth="1"/>
    <col min="14602" max="14602" width="8.21875" style="2" customWidth="1"/>
    <col min="14603" max="14603" width="6.21875" style="2" customWidth="1"/>
    <col min="14604" max="14604" width="5.5546875" style="2" customWidth="1"/>
    <col min="14605" max="14605" width="10.77734375" style="2" customWidth="1"/>
    <col min="14606" max="14606" width="8.21875" style="2" customWidth="1"/>
    <col min="14607" max="14607" width="12.21875" style="2" customWidth="1"/>
    <col min="14608" max="14608" width="10.21875" style="2" customWidth="1"/>
    <col min="14609" max="14609" width="9.21875" style="2" customWidth="1"/>
    <col min="14610" max="14848" width="8.77734375" style="2"/>
    <col min="14849" max="14849" width="4.21875" style="2" customWidth="1"/>
    <col min="14850" max="14850" width="2.5546875" style="2" customWidth="1"/>
    <col min="14851" max="14852" width="8.77734375" style="2"/>
    <col min="14853" max="14853" width="5.77734375" style="2" customWidth="1"/>
    <col min="14854" max="14854" width="8.77734375" style="2" customWidth="1"/>
    <col min="14855" max="14855" width="3.21875" style="2" customWidth="1"/>
    <col min="14856" max="14856" width="10.21875" style="2" customWidth="1"/>
    <col min="14857" max="14857" width="3.77734375" style="2" customWidth="1"/>
    <col min="14858" max="14858" width="8.21875" style="2" customWidth="1"/>
    <col min="14859" max="14859" width="6.21875" style="2" customWidth="1"/>
    <col min="14860" max="14860" width="5.5546875" style="2" customWidth="1"/>
    <col min="14861" max="14861" width="10.77734375" style="2" customWidth="1"/>
    <col min="14862" max="14862" width="8.21875" style="2" customWidth="1"/>
    <col min="14863" max="14863" width="12.21875" style="2" customWidth="1"/>
    <col min="14864" max="14864" width="10.21875" style="2" customWidth="1"/>
    <col min="14865" max="14865" width="9.21875" style="2" customWidth="1"/>
    <col min="14866" max="15104" width="8.77734375" style="2"/>
    <col min="15105" max="15105" width="4.21875" style="2" customWidth="1"/>
    <col min="15106" max="15106" width="2.5546875" style="2" customWidth="1"/>
    <col min="15107" max="15108" width="8.77734375" style="2"/>
    <col min="15109" max="15109" width="5.77734375" style="2" customWidth="1"/>
    <col min="15110" max="15110" width="8.77734375" style="2" customWidth="1"/>
    <col min="15111" max="15111" width="3.21875" style="2" customWidth="1"/>
    <col min="15112" max="15112" width="10.21875" style="2" customWidth="1"/>
    <col min="15113" max="15113" width="3.77734375" style="2" customWidth="1"/>
    <col min="15114" max="15114" width="8.21875" style="2" customWidth="1"/>
    <col min="15115" max="15115" width="6.21875" style="2" customWidth="1"/>
    <col min="15116" max="15116" width="5.5546875" style="2" customWidth="1"/>
    <col min="15117" max="15117" width="10.77734375" style="2" customWidth="1"/>
    <col min="15118" max="15118" width="8.21875" style="2" customWidth="1"/>
    <col min="15119" max="15119" width="12.21875" style="2" customWidth="1"/>
    <col min="15120" max="15120" width="10.21875" style="2" customWidth="1"/>
    <col min="15121" max="15121" width="9.21875" style="2" customWidth="1"/>
    <col min="15122" max="15360" width="8.77734375" style="2"/>
    <col min="15361" max="15361" width="4.21875" style="2" customWidth="1"/>
    <col min="15362" max="15362" width="2.5546875" style="2" customWidth="1"/>
    <col min="15363" max="15364" width="8.77734375" style="2"/>
    <col min="15365" max="15365" width="5.77734375" style="2" customWidth="1"/>
    <col min="15366" max="15366" width="8.77734375" style="2" customWidth="1"/>
    <col min="15367" max="15367" width="3.21875" style="2" customWidth="1"/>
    <col min="15368" max="15368" width="10.21875" style="2" customWidth="1"/>
    <col min="15369" max="15369" width="3.77734375" style="2" customWidth="1"/>
    <col min="15370" max="15370" width="8.21875" style="2" customWidth="1"/>
    <col min="15371" max="15371" width="6.21875" style="2" customWidth="1"/>
    <col min="15372" max="15372" width="5.5546875" style="2" customWidth="1"/>
    <col min="15373" max="15373" width="10.77734375" style="2" customWidth="1"/>
    <col min="15374" max="15374" width="8.21875" style="2" customWidth="1"/>
    <col min="15375" max="15375" width="12.21875" style="2" customWidth="1"/>
    <col min="15376" max="15376" width="10.21875" style="2" customWidth="1"/>
    <col min="15377" max="15377" width="9.21875" style="2" customWidth="1"/>
    <col min="15378" max="15616" width="8.77734375" style="2"/>
    <col min="15617" max="15617" width="4.21875" style="2" customWidth="1"/>
    <col min="15618" max="15618" width="2.5546875" style="2" customWidth="1"/>
    <col min="15619" max="15620" width="8.77734375" style="2"/>
    <col min="15621" max="15621" width="5.77734375" style="2" customWidth="1"/>
    <col min="15622" max="15622" width="8.77734375" style="2" customWidth="1"/>
    <col min="15623" max="15623" width="3.21875" style="2" customWidth="1"/>
    <col min="15624" max="15624" width="10.21875" style="2" customWidth="1"/>
    <col min="15625" max="15625" width="3.77734375" style="2" customWidth="1"/>
    <col min="15626" max="15626" width="8.21875" style="2" customWidth="1"/>
    <col min="15627" max="15627" width="6.21875" style="2" customWidth="1"/>
    <col min="15628" max="15628" width="5.5546875" style="2" customWidth="1"/>
    <col min="15629" max="15629" width="10.77734375" style="2" customWidth="1"/>
    <col min="15630" max="15630" width="8.21875" style="2" customWidth="1"/>
    <col min="15631" max="15631" width="12.21875" style="2" customWidth="1"/>
    <col min="15632" max="15632" width="10.21875" style="2" customWidth="1"/>
    <col min="15633" max="15633" width="9.21875" style="2" customWidth="1"/>
    <col min="15634" max="15872" width="8.77734375" style="2"/>
    <col min="15873" max="15873" width="4.21875" style="2" customWidth="1"/>
    <col min="15874" max="15874" width="2.5546875" style="2" customWidth="1"/>
    <col min="15875" max="15876" width="8.77734375" style="2"/>
    <col min="15877" max="15877" width="5.77734375" style="2" customWidth="1"/>
    <col min="15878" max="15878" width="8.77734375" style="2" customWidth="1"/>
    <col min="15879" max="15879" width="3.21875" style="2" customWidth="1"/>
    <col min="15880" max="15880" width="10.21875" style="2" customWidth="1"/>
    <col min="15881" max="15881" width="3.77734375" style="2" customWidth="1"/>
    <col min="15882" max="15882" width="8.21875" style="2" customWidth="1"/>
    <col min="15883" max="15883" width="6.21875" style="2" customWidth="1"/>
    <col min="15884" max="15884" width="5.5546875" style="2" customWidth="1"/>
    <col min="15885" max="15885" width="10.77734375" style="2" customWidth="1"/>
    <col min="15886" max="15886" width="8.21875" style="2" customWidth="1"/>
    <col min="15887" max="15887" width="12.21875" style="2" customWidth="1"/>
    <col min="15888" max="15888" width="10.21875" style="2" customWidth="1"/>
    <col min="15889" max="15889" width="9.21875" style="2" customWidth="1"/>
    <col min="15890" max="16128" width="8.77734375" style="2"/>
    <col min="16129" max="16129" width="4.21875" style="2" customWidth="1"/>
    <col min="16130" max="16130" width="2.5546875" style="2" customWidth="1"/>
    <col min="16131" max="16132" width="8.77734375" style="2"/>
    <col min="16133" max="16133" width="5.77734375" style="2" customWidth="1"/>
    <col min="16134" max="16134" width="8.77734375" style="2" customWidth="1"/>
    <col min="16135" max="16135" width="3.21875" style="2" customWidth="1"/>
    <col min="16136" max="16136" width="10.21875" style="2" customWidth="1"/>
    <col min="16137" max="16137" width="3.77734375" style="2" customWidth="1"/>
    <col min="16138" max="16138" width="8.21875" style="2" customWidth="1"/>
    <col min="16139" max="16139" width="6.21875" style="2" customWidth="1"/>
    <col min="16140" max="16140" width="5.5546875" style="2" customWidth="1"/>
    <col min="16141" max="16141" width="10.77734375" style="2" customWidth="1"/>
    <col min="16142" max="16142" width="8.21875" style="2" customWidth="1"/>
    <col min="16143" max="16143" width="12.21875" style="2" customWidth="1"/>
    <col min="16144" max="16144" width="10.21875" style="2" customWidth="1"/>
    <col min="16145" max="16145" width="9.21875" style="2" customWidth="1"/>
    <col min="16146" max="16384" width="8.77734375" style="2"/>
  </cols>
  <sheetData>
    <row r="1" spans="1:17" ht="14.25" customHeight="1">
      <c r="P1" s="31"/>
    </row>
    <row r="2" spans="1:17" ht="15.6">
      <c r="A2" s="1220" t="s">
        <v>20</v>
      </c>
      <c r="B2" s="1220"/>
      <c r="C2" s="1220"/>
      <c r="D2" s="1220"/>
      <c r="E2" s="1220"/>
      <c r="F2" s="1220"/>
      <c r="G2" s="1220"/>
      <c r="H2" s="1220"/>
      <c r="I2" s="1220"/>
      <c r="J2" s="1220"/>
      <c r="K2" s="1220"/>
      <c r="L2" s="1220"/>
      <c r="M2" s="1220"/>
      <c r="N2" s="1220"/>
      <c r="O2" s="1220"/>
    </row>
    <row r="3" spans="1:17" ht="15.6">
      <c r="A3" s="1220" t="s">
        <v>21</v>
      </c>
      <c r="B3" s="1220"/>
      <c r="C3" s="1220"/>
      <c r="D3" s="1220"/>
      <c r="E3" s="1220"/>
      <c r="F3" s="1220"/>
      <c r="G3" s="1220"/>
      <c r="H3" s="1220"/>
      <c r="I3" s="1220"/>
      <c r="J3" s="1220"/>
      <c r="K3" s="1220"/>
      <c r="L3" s="1220"/>
      <c r="M3" s="1220"/>
      <c r="N3" s="1220"/>
      <c r="O3" s="1220"/>
    </row>
    <row r="4" spans="1:17" ht="7.5" customHeight="1"/>
    <row r="5" spans="1:17" ht="31.5" customHeight="1">
      <c r="A5" s="33" t="s">
        <v>22</v>
      </c>
      <c r="F5" s="34" t="s">
        <v>23</v>
      </c>
      <c r="H5" s="35" t="s">
        <v>24</v>
      </c>
      <c r="I5" s="36"/>
      <c r="J5" s="1221" t="s">
        <v>25</v>
      </c>
      <c r="K5" s="1217"/>
      <c r="M5" s="3" t="s">
        <v>26</v>
      </c>
      <c r="O5" s="37" t="s">
        <v>27</v>
      </c>
    </row>
    <row r="6" spans="1:17" ht="6.75" customHeight="1"/>
    <row r="7" spans="1:17" ht="15">
      <c r="B7" s="5" t="s">
        <v>6</v>
      </c>
      <c r="F7" s="38">
        <f>IF('Input (5)'!$E$4=0,"0",'Input (5)'!$E$4)</f>
        <v>19</v>
      </c>
      <c r="G7" s="39"/>
      <c r="J7" s="1222">
        <f>IF('Input (5)'!$E$4=0,"0",'Input (5)'!$E$4)</f>
        <v>19</v>
      </c>
      <c r="K7" s="1222"/>
      <c r="L7" s="40" t="s">
        <v>28</v>
      </c>
      <c r="M7" s="41">
        <f>IF('Input (5)'!E4=0,0,LOOKUP(J7,'criteria (5)'!$A$3:$A$10,'criteria (5)'!$B$3:$B$10))</f>
        <v>40</v>
      </c>
      <c r="N7" s="42" t="s">
        <v>29</v>
      </c>
      <c r="O7" s="38">
        <f>IF(Q7=0,0,IF(Q7&lt;LOOKUP(J7,'criteria (5)'!$A$3:$A$10,'criteria (5)'!$C$3:$C$10),LOOKUP(J7,'criteria (5)'!$A$3:$A$10,'criteria (5)'!$C$3:$C$10),IF(LOOKUP(J7,'criteria (5)'!$A$3:$A$10,'criteria (5)'!$C$3:$C$10)=0,0,Q7)))</f>
        <v>0.6</v>
      </c>
      <c r="P7" s="28" t="str">
        <f>IF('Input (5)'!E4=0," ",IF(O7=0,"ADD to 1-6",IF(O7=Q7," ","Minimum")))</f>
        <v>Minimum</v>
      </c>
      <c r="Q7" s="32">
        <f>ROUND(IF('Input (5)'!E4=0,0,IF(M7=0,0,(J7/M7))),2)</f>
        <v>0.48</v>
      </c>
    </row>
    <row r="8" spans="1:17" ht="6.75" customHeight="1">
      <c r="J8" s="43"/>
      <c r="K8" s="43"/>
      <c r="O8" s="43"/>
    </row>
    <row r="9" spans="1:17">
      <c r="B9" s="5" t="s">
        <v>7</v>
      </c>
      <c r="J9" s="43"/>
      <c r="K9" s="43"/>
      <c r="O9" s="43"/>
    </row>
    <row r="10" spans="1:17">
      <c r="B10" s="28" t="s">
        <v>30</v>
      </c>
      <c r="J10" s="43"/>
      <c r="K10" s="43"/>
      <c r="O10" s="43"/>
    </row>
    <row r="11" spans="1:17" ht="16.5" customHeight="1">
      <c r="C11" s="12" t="s">
        <v>8</v>
      </c>
      <c r="F11" s="41" t="str">
        <f>IF(J11=0," ",IF($J$16&gt;300," ",'Input (5)'!E7))</f>
        <v xml:space="preserve"> </v>
      </c>
      <c r="G11" s="44" t="s">
        <v>31</v>
      </c>
      <c r="H11" s="38" t="str">
        <f>IF(J11=0," ",'C (5)'!H25)</f>
        <v xml:space="preserve"> </v>
      </c>
      <c r="I11" s="42" t="s">
        <v>29</v>
      </c>
      <c r="J11" s="1222">
        <f>IF('Input (5)'!E7=0,0,IF(SUM('Input (5)'!E7-'C (5)'!H25)+SUM('Input (5)'!E8-'C (5)'!H26)&gt;299.99,SUM('Input (5)'!E7-'C (5)'!H25),0))</f>
        <v>0</v>
      </c>
      <c r="K11" s="1222"/>
      <c r="L11" s="40" t="s">
        <v>28</v>
      </c>
      <c r="M11" s="41">
        <f>IF(SUM('Input (5)'!$E$7-'C (5)'!$H$25)+SUM('Input (5)'!$E$8-'C (5)'!$H$26)&gt;299.99,20,0)</f>
        <v>0</v>
      </c>
      <c r="N11" s="42" t="s">
        <v>29</v>
      </c>
      <c r="O11" s="38">
        <f>ROUND(IF(SUM('Input (5)'!$E$7-'C (5)'!$H$25)+SUM('Input (5)'!$E$8-'C (5)'!$H$26)&lt;299.99,0,IF(Q11+Q13&lt;15,0,(J11/M11))),2)</f>
        <v>0</v>
      </c>
      <c r="P11" s="2" t="str">
        <f>IF(O11=0," ",IF(O11=Q11," ","Minimum"))</f>
        <v xml:space="preserve"> </v>
      </c>
      <c r="Q11" s="32">
        <f>ROUND(IF(SUM('Input (5)'!$E$7-'C (5)'!$H$25)+SUM('Input (5)'!$E$8-'C (5)'!$H$26)&lt;299.99,0,(J11/M11)),2)</f>
        <v>0</v>
      </c>
    </row>
    <row r="12" spans="1:17" ht="9" customHeight="1">
      <c r="B12" s="12"/>
      <c r="J12" s="43"/>
      <c r="K12" s="43"/>
      <c r="O12" s="43"/>
    </row>
    <row r="13" spans="1:17" ht="15">
      <c r="C13" s="12" t="s">
        <v>9</v>
      </c>
      <c r="F13" s="41" t="str">
        <f>IF(J13=0," ",IF($J$16&gt;300," ",'Input (5)'!E8))</f>
        <v xml:space="preserve"> </v>
      </c>
      <c r="G13" s="44" t="s">
        <v>31</v>
      </c>
      <c r="H13" s="38" t="str">
        <f>IF(J13=0," ",'C (5)'!H26)</f>
        <v xml:space="preserve"> </v>
      </c>
      <c r="I13" s="42" t="s">
        <v>29</v>
      </c>
      <c r="J13" s="1222">
        <f>IF('Input (5)'!E8=0,0,IF(SUM('Input (5)'!E7-'C (5)'!H25)+SUM('Input (5)'!E8-'C (5)'!H26)&gt;299.99,SUM('Input (5)'!E8-'C (5)'!H26),0))</f>
        <v>0</v>
      </c>
      <c r="K13" s="1222"/>
      <c r="L13" s="40" t="s">
        <v>28</v>
      </c>
      <c r="M13" s="41">
        <f>IF(SUM('Input (5)'!$E$7-'C (5)'!$H$25)+SUM('Input (5)'!$E$8-'C (5)'!$H$26)&gt;299.99,23,0)</f>
        <v>0</v>
      </c>
      <c r="N13" s="42" t="s">
        <v>29</v>
      </c>
      <c r="O13" s="38">
        <f>ROUND(IF(SUM('Input (5)'!$E$7-'C (5)'!$H$25)+SUM('Input (5)'!$E$8-'C (5)'!$H$26)&lt;299.99,0,IF(Q11+Q13&lt;15,0,($J$13/$M$13))),2)</f>
        <v>0</v>
      </c>
      <c r="P13" s="2" t="str">
        <f>IF(O13=0," ",IF(O13=Q13," ","Minimum"))</f>
        <v xml:space="preserve"> </v>
      </c>
      <c r="Q13" s="32">
        <f>ROUND(IF(SUM('Input (5)'!$E$7-'C (5)'!$H$25)+SUM('Input (5)'!$E$8-'C (5)'!$H$26)&lt;299.99,0,($J$13/$M$13)),2)</f>
        <v>0</v>
      </c>
    </row>
    <row r="14" spans="1:17" ht="17.25" customHeight="1">
      <c r="B14" s="5" t="s">
        <v>7</v>
      </c>
      <c r="F14" s="36"/>
      <c r="G14" s="44"/>
      <c r="H14" s="39"/>
      <c r="I14" s="42"/>
      <c r="J14" s="39"/>
      <c r="K14" s="39"/>
      <c r="M14" s="36"/>
      <c r="N14" s="42"/>
      <c r="O14" s="39"/>
    </row>
    <row r="15" spans="1:17">
      <c r="B15" s="28" t="s">
        <v>32</v>
      </c>
      <c r="O15" s="39" t="str">
        <f>IF(P15="Minimum",15," ")</f>
        <v xml:space="preserve"> </v>
      </c>
      <c r="P15" s="2" t="str">
        <f>IF(Q11+Q13=0," ",IF(Q11+Q13&lt;15,"Minimum"," "))</f>
        <v xml:space="preserve"> </v>
      </c>
    </row>
    <row r="16" spans="1:17" ht="15">
      <c r="C16" s="12" t="s">
        <v>33</v>
      </c>
      <c r="F16" s="41">
        <f>IF(J16=0," ",IF(J16&lt;300,SUM('Input (5)'!E7+'Input (5)'!E8)," "))</f>
        <v>98.8</v>
      </c>
      <c r="G16" s="44" t="s">
        <v>31</v>
      </c>
      <c r="H16" s="38">
        <f>IF(J16=0," ",'C (5)'!H22)</f>
        <v>7.4399999999999995</v>
      </c>
      <c r="I16" s="42" t="s">
        <v>29</v>
      </c>
      <c r="J16" s="1222">
        <f>IF('Input (5)'!E9=0,0,IF(SUM('Input (5)'!E7-'C (5)'!H25)+SUM('Input (5)'!E8-'C (5)'!H26)&lt;300,IF(P7="ADD to 1-6",SUM('Input (5)'!E7-'C (5)'!H25)+SUM('Input (5)'!E8-'C (5)'!H26)+'Input (5)'!E4,SUM('Input (5)'!E7-'C (5)'!H25)+SUM('Input (5)'!E8-'C (5)'!H26)),0))</f>
        <v>91.36</v>
      </c>
      <c r="K16" s="1222"/>
      <c r="L16" s="40" t="s">
        <v>28</v>
      </c>
      <c r="M16" s="41">
        <f>IF(J16=0,0,LOOKUP(J16,'criteria (5)'!$M$3:$M$11,'criteria (5)'!$N$3:$N$11))</f>
        <v>16</v>
      </c>
      <c r="N16" s="42" t="s">
        <v>29</v>
      </c>
      <c r="O16" s="38">
        <f>IF(Q16=0,0,IF(Q16&lt;LOOKUP(J16,'criteria (5)'!$M$3:$M$10,'criteria (5)'!$O$3:$O$10),LOOKUP(J16,'criteria (5)'!$M$3:$M$10,'criteria (5)'!$O$3:$O$10),Q16))</f>
        <v>5.71</v>
      </c>
      <c r="P16" s="2" t="str">
        <f>IF(O16=0," ",IF(O16=Q16," ","Minimum"))</f>
        <v xml:space="preserve"> </v>
      </c>
      <c r="Q16" s="32">
        <f>ROUND(IF('Input (5)'!E9=0,0,IF(SUM('Input (5)'!$E$7-'C (5)'!$H$25)+SUM('Input (5)'!$E$8-'C (5)'!$H$26)&gt;299.99,0,(J16/M16))),2)</f>
        <v>5.71</v>
      </c>
    </row>
    <row r="17" spans="1:17" ht="6" customHeight="1">
      <c r="J17" s="43"/>
      <c r="K17" s="43"/>
      <c r="O17" s="43"/>
    </row>
    <row r="18" spans="1:17" ht="15">
      <c r="B18" s="5" t="s">
        <v>10</v>
      </c>
      <c r="F18" s="41">
        <f>IF(J18=0," ",'Input (5)'!E10)</f>
        <v>133</v>
      </c>
      <c r="G18" s="44" t="s">
        <v>31</v>
      </c>
      <c r="H18" s="38">
        <f>IF('C (5)'!$H$43=0," ",'C (5)'!$H$43)</f>
        <v>7.7</v>
      </c>
      <c r="I18" s="42" t="s">
        <v>29</v>
      </c>
      <c r="J18" s="1222">
        <f>IF('Input (5)'!E10=0,0,SUM('Input (5)'!E10-'C (5)'!H43))</f>
        <v>125.3</v>
      </c>
      <c r="K18" s="1222"/>
      <c r="L18" s="40" t="s">
        <v>28</v>
      </c>
      <c r="M18" s="41">
        <f>IF('Input (5)'!C10=0,0,IF(J18&gt;99.99,LOOKUP(J18,'criteria (5)'!Q3:Q10,'criteria (5)'!R3:R10),12))</f>
        <v>12</v>
      </c>
      <c r="N18" s="42" t="s">
        <v>29</v>
      </c>
      <c r="O18" s="38">
        <f>ROUND(IF(J18=0,0,IF(J18&lt;99.99,IF(M18=0,8,(J18/M18)),IF(Q18&lt;LOOKUP(J18,'criteria (5)'!$Q$3:$Q$10,'criteria (5)'!$S$3:$S$10),LOOKUP(J18,'criteria (5)'!$Q$3:$Q$10,'criteria (5)'!$S$3:$S$10),Q18))),2)</f>
        <v>10.44</v>
      </c>
      <c r="P18" s="2" t="str">
        <f>IF(O18=0," ",IF(O18=Q18," ","Minimum"))</f>
        <v xml:space="preserve"> </v>
      </c>
      <c r="Q18" s="32">
        <f>ROUND(IF(M18=0,0,(J18/M18)),2)</f>
        <v>10.44</v>
      </c>
    </row>
    <row r="19" spans="1:17" ht="9" customHeight="1">
      <c r="B19" s="5"/>
      <c r="F19" s="36"/>
      <c r="G19" s="44"/>
      <c r="H19" s="39"/>
      <c r="I19" s="42"/>
      <c r="J19" s="39"/>
      <c r="K19" s="39"/>
      <c r="M19" s="36"/>
      <c r="N19" s="42"/>
      <c r="O19" s="36"/>
    </row>
    <row r="20" spans="1:17" ht="15">
      <c r="A20" s="45" t="s">
        <v>34</v>
      </c>
      <c r="J20" s="43"/>
      <c r="K20" s="43"/>
    </row>
    <row r="21" spans="1:17" ht="3.75" customHeight="1">
      <c r="J21" s="43"/>
      <c r="K21" s="43"/>
    </row>
    <row r="22" spans="1:17">
      <c r="B22" s="2" t="s">
        <v>35</v>
      </c>
      <c r="J22" s="1222" t="str">
        <f>IF('C (5)'!H55=0," ",'C (5)'!H55)</f>
        <v xml:space="preserve"> </v>
      </c>
      <c r="K22" s="1222"/>
    </row>
    <row r="23" spans="1:17" ht="9" customHeight="1">
      <c r="J23" s="43"/>
      <c r="K23" s="43"/>
    </row>
    <row r="24" spans="1:17">
      <c r="B24" s="2" t="s">
        <v>36</v>
      </c>
      <c r="J24" s="1222">
        <f>IF('C (5)'!H22=0," ",'C (5)'!H22)</f>
        <v>7.4399999999999995</v>
      </c>
      <c r="K24" s="1222"/>
    </row>
    <row r="25" spans="1:17" ht="9" customHeight="1">
      <c r="J25" s="43"/>
      <c r="K25" s="43"/>
    </row>
    <row r="26" spans="1:17">
      <c r="B26" s="2" t="s">
        <v>37</v>
      </c>
      <c r="J26" s="1222">
        <f>IF('C (5)'!$H$43=0," ",'C (5)'!$H$43)</f>
        <v>7.7</v>
      </c>
      <c r="K26" s="1222"/>
    </row>
    <row r="27" spans="1:17" ht="8.25" customHeight="1">
      <c r="J27" s="43"/>
      <c r="K27" s="43"/>
    </row>
    <row r="28" spans="1:17" ht="6" customHeight="1">
      <c r="J28" s="39"/>
      <c r="K28" s="39"/>
    </row>
    <row r="29" spans="1:17" ht="15.6" thickBot="1">
      <c r="B29" s="46" t="s">
        <v>38</v>
      </c>
      <c r="J29" s="1219">
        <f>SUM(J22:K27)</f>
        <v>15.14</v>
      </c>
      <c r="K29" s="1219"/>
      <c r="L29" s="40" t="s">
        <v>28</v>
      </c>
      <c r="M29" s="41">
        <f>IF(SUM('Input (5)'!C4:C10)=0,0,IF(J29&gt;=14,LOOKUP(J29,'criteria (5)'!$U$3:$U$10,'criteria (5)'!$V$3:$V$10),0))</f>
        <v>14.5</v>
      </c>
      <c r="N29" s="42" t="s">
        <v>29</v>
      </c>
      <c r="O29" s="38">
        <f>IF(J29=0,0,IF(Q29&lt;LOOKUP(J29,'criteria (5)'!$U$3:$U$10,'criteria (5)'!$W$3:$W$10),LOOKUP(J29,'criteria (5)'!$U$3:$U$10,'criteria (5)'!$W$3:$W$10),Q29))</f>
        <v>1.04</v>
      </c>
      <c r="P29" s="2" t="str">
        <f>IF(O29=0," ",IF(O29=Q29," ","Minimum"))</f>
        <v xml:space="preserve"> </v>
      </c>
      <c r="Q29" s="32">
        <f>ROUND(IF(SUM('Input (5)'!C4:C10)=0,0,IF(M29=0,0,(J29/M29))),2)</f>
        <v>1.04</v>
      </c>
    </row>
    <row r="30" spans="1:17" ht="21" customHeight="1" thickTop="1">
      <c r="B30" s="47"/>
      <c r="C30" s="47"/>
      <c r="D30" s="47"/>
      <c r="E30" s="47"/>
      <c r="F30" s="47"/>
      <c r="G30" s="47"/>
      <c r="H30" s="47"/>
      <c r="J30" s="12"/>
      <c r="N30" s="42"/>
      <c r="O30" s="36"/>
      <c r="P30" s="46"/>
    </row>
    <row r="31" spans="1:17" ht="19.5" customHeight="1">
      <c r="A31" s="48" t="s">
        <v>39</v>
      </c>
    </row>
    <row r="32" spans="1:17" ht="15">
      <c r="B32" s="1223" t="str">
        <f>IF('Input (5)'!E14=0," ","Alternative Secondary High School")</f>
        <v xml:space="preserve"> </v>
      </c>
      <c r="C32" s="1223"/>
      <c r="D32" s="1223"/>
      <c r="E32" s="1223"/>
      <c r="F32" s="1223"/>
      <c r="G32" s="1223"/>
      <c r="J32" s="1222">
        <f>'Input (5)'!E14</f>
        <v>0</v>
      </c>
      <c r="K32" s="1222"/>
      <c r="L32" s="40" t="s">
        <v>28</v>
      </c>
      <c r="M32" s="41">
        <f>IF(J32=0,0,IF(Q32&lt;1,M18,12))</f>
        <v>0</v>
      </c>
      <c r="N32" s="42" t="s">
        <v>29</v>
      </c>
      <c r="O32" s="38">
        <f>ROUND(IF(J32=0,0,J32/M32),2)</f>
        <v>0</v>
      </c>
      <c r="P32" s="45"/>
      <c r="Q32" s="32">
        <f>ROUND(IF(J32=0,0,J32/12),2)</f>
        <v>0</v>
      </c>
    </row>
    <row r="33" spans="1:17" ht="11.25" customHeight="1">
      <c r="J33" s="43"/>
      <c r="K33" s="43"/>
      <c r="O33" s="43"/>
    </row>
    <row r="34" spans="1:17" ht="11.25" customHeight="1">
      <c r="B34" s="1223" t="str">
        <f>IF('Input (5)'!E15=0," ","Summer Alternative Secondary High School")</f>
        <v xml:space="preserve"> </v>
      </c>
      <c r="C34" s="1223"/>
      <c r="D34" s="1223"/>
      <c r="E34" s="1223"/>
      <c r="F34" s="1223"/>
      <c r="G34" s="1223"/>
      <c r="J34" s="1222">
        <f>'Input (5)'!E15</f>
        <v>0</v>
      </c>
      <c r="K34" s="1222"/>
      <c r="L34" s="40" t="s">
        <v>28</v>
      </c>
      <c r="M34" s="41">
        <f>IF(J34=0,0,40)</f>
        <v>0</v>
      </c>
      <c r="N34" s="42" t="s">
        <v>29</v>
      </c>
      <c r="O34" s="38">
        <f>ROUND(IF(J34=0,0,J34/M34),2)</f>
        <v>0</v>
      </c>
      <c r="P34" s="45"/>
      <c r="Q34" s="32">
        <f>ROUND(IF(J34=0,0,J34/12),2)</f>
        <v>0</v>
      </c>
    </row>
    <row r="35" spans="1:17" ht="13.5" customHeight="1">
      <c r="J35" s="36"/>
      <c r="K35" s="36"/>
      <c r="L35" s="40"/>
      <c r="M35" s="36"/>
      <c r="N35" s="42"/>
      <c r="O35" s="36"/>
      <c r="P35" s="46"/>
    </row>
    <row r="36" spans="1:17" ht="18.75" customHeight="1" thickBot="1">
      <c r="A36" s="45"/>
      <c r="B36" s="12" t="s">
        <v>40</v>
      </c>
      <c r="C36" s="46"/>
      <c r="D36" s="46"/>
      <c r="E36" s="46"/>
      <c r="F36" s="46"/>
      <c r="G36" s="46"/>
      <c r="H36" s="46"/>
      <c r="I36" s="46"/>
      <c r="J36" s="46"/>
      <c r="K36" s="46"/>
      <c r="M36" s="36" t="s">
        <v>29</v>
      </c>
      <c r="N36" s="1224">
        <f>ROUND(IF(SUM(O7:O34)=0,0,SUM(O7:O34)),2)</f>
        <v>17.79</v>
      </c>
      <c r="O36" s="1224"/>
    </row>
    <row r="37" spans="1:17" ht="13.8" thickTop="1"/>
  </sheetData>
  <sheetProtection password="CC16" sheet="1" objects="1" scenarios="1"/>
  <mergeCells count="17">
    <mergeCell ref="B32:G32"/>
    <mergeCell ref="J32:K32"/>
    <mergeCell ref="B34:G34"/>
    <mergeCell ref="J34:K34"/>
    <mergeCell ref="N36:O36"/>
    <mergeCell ref="J29:K29"/>
    <mergeCell ref="A2:O2"/>
    <mergeCell ref="A3:O3"/>
    <mergeCell ref="J5:K5"/>
    <mergeCell ref="J7:K7"/>
    <mergeCell ref="J11:K11"/>
    <mergeCell ref="J13:K13"/>
    <mergeCell ref="J16:K16"/>
    <mergeCell ref="J18:K18"/>
    <mergeCell ref="J22:K22"/>
    <mergeCell ref="J24:K24"/>
    <mergeCell ref="J26:K26"/>
  </mergeCells>
  <pageMargins left="0.5" right="0.5" top="0.5" bottom="0.5" header="0.25" footer="0.25"/>
  <pageSetup scale="81" orientation="portrait" r:id="rId1"/>
  <headerFooter alignWithMargins="0">
    <oddFooter>&amp;L&amp;F</oddFooter>
  </headerFooter>
  <colBreaks count="1" manualBreakCount="1">
    <brk id="16"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6"/>
  <dimension ref="A1:R37"/>
  <sheetViews>
    <sheetView showGridLines="0" zoomScale="90" zoomScaleNormal="100" workbookViewId="0">
      <selection activeCell="C4" sqref="C4"/>
    </sheetView>
  </sheetViews>
  <sheetFormatPr defaultRowHeight="13.2"/>
  <cols>
    <col min="1" max="1" width="4.21875" style="30" customWidth="1"/>
    <col min="2" max="2" width="2.5546875" style="2" customWidth="1"/>
    <col min="3" max="6" width="8.77734375" style="2"/>
    <col min="7" max="7" width="4.5546875" style="2" customWidth="1"/>
    <col min="8" max="8" width="10.21875" style="2" customWidth="1"/>
    <col min="9" max="9" width="3.21875" style="2" customWidth="1"/>
    <col min="10" max="10" width="8.77734375" style="2"/>
    <col min="11" max="11" width="6.21875" style="2" customWidth="1"/>
    <col min="12" max="12" width="3.77734375" style="2" customWidth="1"/>
    <col min="13" max="13" width="10.77734375" style="2" customWidth="1"/>
    <col min="14" max="14" width="4.21875" style="2" customWidth="1"/>
    <col min="15" max="15" width="12.21875" style="2" customWidth="1"/>
    <col min="16" max="16" width="10.21875" style="2" customWidth="1"/>
    <col min="17" max="17" width="9.21875" style="32" customWidth="1"/>
    <col min="18" max="256" width="8.77734375" style="2"/>
    <col min="257" max="257" width="4.21875" style="2" customWidth="1"/>
    <col min="258" max="258" width="2.5546875" style="2" customWidth="1"/>
    <col min="259" max="262" width="8.77734375" style="2"/>
    <col min="263" max="263" width="4.5546875" style="2" customWidth="1"/>
    <col min="264" max="264" width="10.21875" style="2" customWidth="1"/>
    <col min="265" max="265" width="3.21875" style="2" customWidth="1"/>
    <col min="266" max="266" width="8.77734375" style="2"/>
    <col min="267" max="267" width="6.21875" style="2" customWidth="1"/>
    <col min="268" max="268" width="3.77734375" style="2" customWidth="1"/>
    <col min="269" max="269" width="10.77734375" style="2" customWidth="1"/>
    <col min="270" max="270" width="4.21875" style="2" customWidth="1"/>
    <col min="271" max="271" width="12.21875" style="2" customWidth="1"/>
    <col min="272" max="272" width="10.21875" style="2" customWidth="1"/>
    <col min="273" max="273" width="9.21875" style="2" customWidth="1"/>
    <col min="274" max="512" width="8.77734375" style="2"/>
    <col min="513" max="513" width="4.21875" style="2" customWidth="1"/>
    <col min="514" max="514" width="2.5546875" style="2" customWidth="1"/>
    <col min="515" max="518" width="8.77734375" style="2"/>
    <col min="519" max="519" width="4.5546875" style="2" customWidth="1"/>
    <col min="520" max="520" width="10.21875" style="2" customWidth="1"/>
    <col min="521" max="521" width="3.21875" style="2" customWidth="1"/>
    <col min="522" max="522" width="8.77734375" style="2"/>
    <col min="523" max="523" width="6.21875" style="2" customWidth="1"/>
    <col min="524" max="524" width="3.77734375" style="2" customWidth="1"/>
    <col min="525" max="525" width="10.77734375" style="2" customWidth="1"/>
    <col min="526" max="526" width="4.21875" style="2" customWidth="1"/>
    <col min="527" max="527" width="12.21875" style="2" customWidth="1"/>
    <col min="528" max="528" width="10.21875" style="2" customWidth="1"/>
    <col min="529" max="529" width="9.21875" style="2" customWidth="1"/>
    <col min="530" max="768" width="8.77734375" style="2"/>
    <col min="769" max="769" width="4.21875" style="2" customWidth="1"/>
    <col min="770" max="770" width="2.5546875" style="2" customWidth="1"/>
    <col min="771" max="774" width="8.77734375" style="2"/>
    <col min="775" max="775" width="4.5546875" style="2" customWidth="1"/>
    <col min="776" max="776" width="10.21875" style="2" customWidth="1"/>
    <col min="777" max="777" width="3.21875" style="2" customWidth="1"/>
    <col min="778" max="778" width="8.77734375" style="2"/>
    <col min="779" max="779" width="6.21875" style="2" customWidth="1"/>
    <col min="780" max="780" width="3.77734375" style="2" customWidth="1"/>
    <col min="781" max="781" width="10.77734375" style="2" customWidth="1"/>
    <col min="782" max="782" width="4.21875" style="2" customWidth="1"/>
    <col min="783" max="783" width="12.21875" style="2" customWidth="1"/>
    <col min="784" max="784" width="10.21875" style="2" customWidth="1"/>
    <col min="785" max="785" width="9.21875" style="2" customWidth="1"/>
    <col min="786" max="1024" width="8.77734375" style="2"/>
    <col min="1025" max="1025" width="4.21875" style="2" customWidth="1"/>
    <col min="1026" max="1026" width="2.5546875" style="2" customWidth="1"/>
    <col min="1027" max="1030" width="8.77734375" style="2"/>
    <col min="1031" max="1031" width="4.5546875" style="2" customWidth="1"/>
    <col min="1032" max="1032" width="10.21875" style="2" customWidth="1"/>
    <col min="1033" max="1033" width="3.21875" style="2" customWidth="1"/>
    <col min="1034" max="1034" width="8.77734375" style="2"/>
    <col min="1035" max="1035" width="6.21875" style="2" customWidth="1"/>
    <col min="1036" max="1036" width="3.77734375" style="2" customWidth="1"/>
    <col min="1037" max="1037" width="10.77734375" style="2" customWidth="1"/>
    <col min="1038" max="1038" width="4.21875" style="2" customWidth="1"/>
    <col min="1039" max="1039" width="12.21875" style="2" customWidth="1"/>
    <col min="1040" max="1040" width="10.21875" style="2" customWidth="1"/>
    <col min="1041" max="1041" width="9.21875" style="2" customWidth="1"/>
    <col min="1042" max="1280" width="8.77734375" style="2"/>
    <col min="1281" max="1281" width="4.21875" style="2" customWidth="1"/>
    <col min="1282" max="1282" width="2.5546875" style="2" customWidth="1"/>
    <col min="1283" max="1286" width="8.77734375" style="2"/>
    <col min="1287" max="1287" width="4.5546875" style="2" customWidth="1"/>
    <col min="1288" max="1288" width="10.21875" style="2" customWidth="1"/>
    <col min="1289" max="1289" width="3.21875" style="2" customWidth="1"/>
    <col min="1290" max="1290" width="8.77734375" style="2"/>
    <col min="1291" max="1291" width="6.21875" style="2" customWidth="1"/>
    <col min="1292" max="1292" width="3.77734375" style="2" customWidth="1"/>
    <col min="1293" max="1293" width="10.77734375" style="2" customWidth="1"/>
    <col min="1294" max="1294" width="4.21875" style="2" customWidth="1"/>
    <col min="1295" max="1295" width="12.21875" style="2" customWidth="1"/>
    <col min="1296" max="1296" width="10.21875" style="2" customWidth="1"/>
    <col min="1297" max="1297" width="9.21875" style="2" customWidth="1"/>
    <col min="1298" max="1536" width="8.77734375" style="2"/>
    <col min="1537" max="1537" width="4.21875" style="2" customWidth="1"/>
    <col min="1538" max="1538" width="2.5546875" style="2" customWidth="1"/>
    <col min="1539" max="1542" width="8.77734375" style="2"/>
    <col min="1543" max="1543" width="4.5546875" style="2" customWidth="1"/>
    <col min="1544" max="1544" width="10.21875" style="2" customWidth="1"/>
    <col min="1545" max="1545" width="3.21875" style="2" customWidth="1"/>
    <col min="1546" max="1546" width="8.77734375" style="2"/>
    <col min="1547" max="1547" width="6.21875" style="2" customWidth="1"/>
    <col min="1548" max="1548" width="3.77734375" style="2" customWidth="1"/>
    <col min="1549" max="1549" width="10.77734375" style="2" customWidth="1"/>
    <col min="1550" max="1550" width="4.21875" style="2" customWidth="1"/>
    <col min="1551" max="1551" width="12.21875" style="2" customWidth="1"/>
    <col min="1552" max="1552" width="10.21875" style="2" customWidth="1"/>
    <col min="1553" max="1553" width="9.21875" style="2" customWidth="1"/>
    <col min="1554" max="1792" width="8.77734375" style="2"/>
    <col min="1793" max="1793" width="4.21875" style="2" customWidth="1"/>
    <col min="1794" max="1794" width="2.5546875" style="2" customWidth="1"/>
    <col min="1795" max="1798" width="8.77734375" style="2"/>
    <col min="1799" max="1799" width="4.5546875" style="2" customWidth="1"/>
    <col min="1800" max="1800" width="10.21875" style="2" customWidth="1"/>
    <col min="1801" max="1801" width="3.21875" style="2" customWidth="1"/>
    <col min="1802" max="1802" width="8.77734375" style="2"/>
    <col min="1803" max="1803" width="6.21875" style="2" customWidth="1"/>
    <col min="1804" max="1804" width="3.77734375" style="2" customWidth="1"/>
    <col min="1805" max="1805" width="10.77734375" style="2" customWidth="1"/>
    <col min="1806" max="1806" width="4.21875" style="2" customWidth="1"/>
    <col min="1807" max="1807" width="12.21875" style="2" customWidth="1"/>
    <col min="1808" max="1808" width="10.21875" style="2" customWidth="1"/>
    <col min="1809" max="1809" width="9.21875" style="2" customWidth="1"/>
    <col min="1810" max="2048" width="8.77734375" style="2"/>
    <col min="2049" max="2049" width="4.21875" style="2" customWidth="1"/>
    <col min="2050" max="2050" width="2.5546875" style="2" customWidth="1"/>
    <col min="2051" max="2054" width="8.77734375" style="2"/>
    <col min="2055" max="2055" width="4.5546875" style="2" customWidth="1"/>
    <col min="2056" max="2056" width="10.21875" style="2" customWidth="1"/>
    <col min="2057" max="2057" width="3.21875" style="2" customWidth="1"/>
    <col min="2058" max="2058" width="8.77734375" style="2"/>
    <col min="2059" max="2059" width="6.21875" style="2" customWidth="1"/>
    <col min="2060" max="2060" width="3.77734375" style="2" customWidth="1"/>
    <col min="2061" max="2061" width="10.77734375" style="2" customWidth="1"/>
    <col min="2062" max="2062" width="4.21875" style="2" customWidth="1"/>
    <col min="2063" max="2063" width="12.21875" style="2" customWidth="1"/>
    <col min="2064" max="2064" width="10.21875" style="2" customWidth="1"/>
    <col min="2065" max="2065" width="9.21875" style="2" customWidth="1"/>
    <col min="2066" max="2304" width="8.77734375" style="2"/>
    <col min="2305" max="2305" width="4.21875" style="2" customWidth="1"/>
    <col min="2306" max="2306" width="2.5546875" style="2" customWidth="1"/>
    <col min="2307" max="2310" width="8.77734375" style="2"/>
    <col min="2311" max="2311" width="4.5546875" style="2" customWidth="1"/>
    <col min="2312" max="2312" width="10.21875" style="2" customWidth="1"/>
    <col min="2313" max="2313" width="3.21875" style="2" customWidth="1"/>
    <col min="2314" max="2314" width="8.77734375" style="2"/>
    <col min="2315" max="2315" width="6.21875" style="2" customWidth="1"/>
    <col min="2316" max="2316" width="3.77734375" style="2" customWidth="1"/>
    <col min="2317" max="2317" width="10.77734375" style="2" customWidth="1"/>
    <col min="2318" max="2318" width="4.21875" style="2" customWidth="1"/>
    <col min="2319" max="2319" width="12.21875" style="2" customWidth="1"/>
    <col min="2320" max="2320" width="10.21875" style="2" customWidth="1"/>
    <col min="2321" max="2321" width="9.21875" style="2" customWidth="1"/>
    <col min="2322" max="2560" width="8.77734375" style="2"/>
    <col min="2561" max="2561" width="4.21875" style="2" customWidth="1"/>
    <col min="2562" max="2562" width="2.5546875" style="2" customWidth="1"/>
    <col min="2563" max="2566" width="8.77734375" style="2"/>
    <col min="2567" max="2567" width="4.5546875" style="2" customWidth="1"/>
    <col min="2568" max="2568" width="10.21875" style="2" customWidth="1"/>
    <col min="2569" max="2569" width="3.21875" style="2" customWidth="1"/>
    <col min="2570" max="2570" width="8.77734375" style="2"/>
    <col min="2571" max="2571" width="6.21875" style="2" customWidth="1"/>
    <col min="2572" max="2572" width="3.77734375" style="2" customWidth="1"/>
    <col min="2573" max="2573" width="10.77734375" style="2" customWidth="1"/>
    <col min="2574" max="2574" width="4.21875" style="2" customWidth="1"/>
    <col min="2575" max="2575" width="12.21875" style="2" customWidth="1"/>
    <col min="2576" max="2576" width="10.21875" style="2" customWidth="1"/>
    <col min="2577" max="2577" width="9.21875" style="2" customWidth="1"/>
    <col min="2578" max="2816" width="8.77734375" style="2"/>
    <col min="2817" max="2817" width="4.21875" style="2" customWidth="1"/>
    <col min="2818" max="2818" width="2.5546875" style="2" customWidth="1"/>
    <col min="2819" max="2822" width="8.77734375" style="2"/>
    <col min="2823" max="2823" width="4.5546875" style="2" customWidth="1"/>
    <col min="2824" max="2824" width="10.21875" style="2" customWidth="1"/>
    <col min="2825" max="2825" width="3.21875" style="2" customWidth="1"/>
    <col min="2826" max="2826" width="8.77734375" style="2"/>
    <col min="2827" max="2827" width="6.21875" style="2" customWidth="1"/>
    <col min="2828" max="2828" width="3.77734375" style="2" customWidth="1"/>
    <col min="2829" max="2829" width="10.77734375" style="2" customWidth="1"/>
    <col min="2830" max="2830" width="4.21875" style="2" customWidth="1"/>
    <col min="2831" max="2831" width="12.21875" style="2" customWidth="1"/>
    <col min="2832" max="2832" width="10.21875" style="2" customWidth="1"/>
    <col min="2833" max="2833" width="9.21875" style="2" customWidth="1"/>
    <col min="2834" max="3072" width="8.77734375" style="2"/>
    <col min="3073" max="3073" width="4.21875" style="2" customWidth="1"/>
    <col min="3074" max="3074" width="2.5546875" style="2" customWidth="1"/>
    <col min="3075" max="3078" width="8.77734375" style="2"/>
    <col min="3079" max="3079" width="4.5546875" style="2" customWidth="1"/>
    <col min="3080" max="3080" width="10.21875" style="2" customWidth="1"/>
    <col min="3081" max="3081" width="3.21875" style="2" customWidth="1"/>
    <col min="3082" max="3082" width="8.77734375" style="2"/>
    <col min="3083" max="3083" width="6.21875" style="2" customWidth="1"/>
    <col min="3084" max="3084" width="3.77734375" style="2" customWidth="1"/>
    <col min="3085" max="3085" width="10.77734375" style="2" customWidth="1"/>
    <col min="3086" max="3086" width="4.21875" style="2" customWidth="1"/>
    <col min="3087" max="3087" width="12.21875" style="2" customWidth="1"/>
    <col min="3088" max="3088" width="10.21875" style="2" customWidth="1"/>
    <col min="3089" max="3089" width="9.21875" style="2" customWidth="1"/>
    <col min="3090" max="3328" width="8.77734375" style="2"/>
    <col min="3329" max="3329" width="4.21875" style="2" customWidth="1"/>
    <col min="3330" max="3330" width="2.5546875" style="2" customWidth="1"/>
    <col min="3331" max="3334" width="8.77734375" style="2"/>
    <col min="3335" max="3335" width="4.5546875" style="2" customWidth="1"/>
    <col min="3336" max="3336" width="10.21875" style="2" customWidth="1"/>
    <col min="3337" max="3337" width="3.21875" style="2" customWidth="1"/>
    <col min="3338" max="3338" width="8.77734375" style="2"/>
    <col min="3339" max="3339" width="6.21875" style="2" customWidth="1"/>
    <col min="3340" max="3340" width="3.77734375" style="2" customWidth="1"/>
    <col min="3341" max="3341" width="10.77734375" style="2" customWidth="1"/>
    <col min="3342" max="3342" width="4.21875" style="2" customWidth="1"/>
    <col min="3343" max="3343" width="12.21875" style="2" customWidth="1"/>
    <col min="3344" max="3344" width="10.21875" style="2" customWidth="1"/>
    <col min="3345" max="3345" width="9.21875" style="2" customWidth="1"/>
    <col min="3346" max="3584" width="8.77734375" style="2"/>
    <col min="3585" max="3585" width="4.21875" style="2" customWidth="1"/>
    <col min="3586" max="3586" width="2.5546875" style="2" customWidth="1"/>
    <col min="3587" max="3590" width="8.77734375" style="2"/>
    <col min="3591" max="3591" width="4.5546875" style="2" customWidth="1"/>
    <col min="3592" max="3592" width="10.21875" style="2" customWidth="1"/>
    <col min="3593" max="3593" width="3.21875" style="2" customWidth="1"/>
    <col min="3594" max="3594" width="8.77734375" style="2"/>
    <col min="3595" max="3595" width="6.21875" style="2" customWidth="1"/>
    <col min="3596" max="3596" width="3.77734375" style="2" customWidth="1"/>
    <col min="3597" max="3597" width="10.77734375" style="2" customWidth="1"/>
    <col min="3598" max="3598" width="4.21875" style="2" customWidth="1"/>
    <col min="3599" max="3599" width="12.21875" style="2" customWidth="1"/>
    <col min="3600" max="3600" width="10.21875" style="2" customWidth="1"/>
    <col min="3601" max="3601" width="9.21875" style="2" customWidth="1"/>
    <col min="3602" max="3840" width="8.77734375" style="2"/>
    <col min="3841" max="3841" width="4.21875" style="2" customWidth="1"/>
    <col min="3842" max="3842" width="2.5546875" style="2" customWidth="1"/>
    <col min="3843" max="3846" width="8.77734375" style="2"/>
    <col min="3847" max="3847" width="4.5546875" style="2" customWidth="1"/>
    <col min="3848" max="3848" width="10.21875" style="2" customWidth="1"/>
    <col min="3849" max="3849" width="3.21875" style="2" customWidth="1"/>
    <col min="3850" max="3850" width="8.77734375" style="2"/>
    <col min="3851" max="3851" width="6.21875" style="2" customWidth="1"/>
    <col min="3852" max="3852" width="3.77734375" style="2" customWidth="1"/>
    <col min="3853" max="3853" width="10.77734375" style="2" customWidth="1"/>
    <col min="3854" max="3854" width="4.21875" style="2" customWidth="1"/>
    <col min="3855" max="3855" width="12.21875" style="2" customWidth="1"/>
    <col min="3856" max="3856" width="10.21875" style="2" customWidth="1"/>
    <col min="3857" max="3857" width="9.21875" style="2" customWidth="1"/>
    <col min="3858" max="4096" width="8.77734375" style="2"/>
    <col min="4097" max="4097" width="4.21875" style="2" customWidth="1"/>
    <col min="4098" max="4098" width="2.5546875" style="2" customWidth="1"/>
    <col min="4099" max="4102" width="8.77734375" style="2"/>
    <col min="4103" max="4103" width="4.5546875" style="2" customWidth="1"/>
    <col min="4104" max="4104" width="10.21875" style="2" customWidth="1"/>
    <col min="4105" max="4105" width="3.21875" style="2" customWidth="1"/>
    <col min="4106" max="4106" width="8.77734375" style="2"/>
    <col min="4107" max="4107" width="6.21875" style="2" customWidth="1"/>
    <col min="4108" max="4108" width="3.77734375" style="2" customWidth="1"/>
    <col min="4109" max="4109" width="10.77734375" style="2" customWidth="1"/>
    <col min="4110" max="4110" width="4.21875" style="2" customWidth="1"/>
    <col min="4111" max="4111" width="12.21875" style="2" customWidth="1"/>
    <col min="4112" max="4112" width="10.21875" style="2" customWidth="1"/>
    <col min="4113" max="4113" width="9.21875" style="2" customWidth="1"/>
    <col min="4114" max="4352" width="8.77734375" style="2"/>
    <col min="4353" max="4353" width="4.21875" style="2" customWidth="1"/>
    <col min="4354" max="4354" width="2.5546875" style="2" customWidth="1"/>
    <col min="4355" max="4358" width="8.77734375" style="2"/>
    <col min="4359" max="4359" width="4.5546875" style="2" customWidth="1"/>
    <col min="4360" max="4360" width="10.21875" style="2" customWidth="1"/>
    <col min="4361" max="4361" width="3.21875" style="2" customWidth="1"/>
    <col min="4362" max="4362" width="8.77734375" style="2"/>
    <col min="4363" max="4363" width="6.21875" style="2" customWidth="1"/>
    <col min="4364" max="4364" width="3.77734375" style="2" customWidth="1"/>
    <col min="4365" max="4365" width="10.77734375" style="2" customWidth="1"/>
    <col min="4366" max="4366" width="4.21875" style="2" customWidth="1"/>
    <col min="4367" max="4367" width="12.21875" style="2" customWidth="1"/>
    <col min="4368" max="4368" width="10.21875" style="2" customWidth="1"/>
    <col min="4369" max="4369" width="9.21875" style="2" customWidth="1"/>
    <col min="4370" max="4608" width="8.77734375" style="2"/>
    <col min="4609" max="4609" width="4.21875" style="2" customWidth="1"/>
    <col min="4610" max="4610" width="2.5546875" style="2" customWidth="1"/>
    <col min="4611" max="4614" width="8.77734375" style="2"/>
    <col min="4615" max="4615" width="4.5546875" style="2" customWidth="1"/>
    <col min="4616" max="4616" width="10.21875" style="2" customWidth="1"/>
    <col min="4617" max="4617" width="3.21875" style="2" customWidth="1"/>
    <col min="4618" max="4618" width="8.77734375" style="2"/>
    <col min="4619" max="4619" width="6.21875" style="2" customWidth="1"/>
    <col min="4620" max="4620" width="3.77734375" style="2" customWidth="1"/>
    <col min="4621" max="4621" width="10.77734375" style="2" customWidth="1"/>
    <col min="4622" max="4622" width="4.21875" style="2" customWidth="1"/>
    <col min="4623" max="4623" width="12.21875" style="2" customWidth="1"/>
    <col min="4624" max="4624" width="10.21875" style="2" customWidth="1"/>
    <col min="4625" max="4625" width="9.21875" style="2" customWidth="1"/>
    <col min="4626" max="4864" width="8.77734375" style="2"/>
    <col min="4865" max="4865" width="4.21875" style="2" customWidth="1"/>
    <col min="4866" max="4866" width="2.5546875" style="2" customWidth="1"/>
    <col min="4867" max="4870" width="8.77734375" style="2"/>
    <col min="4871" max="4871" width="4.5546875" style="2" customWidth="1"/>
    <col min="4872" max="4872" width="10.21875" style="2" customWidth="1"/>
    <col min="4873" max="4873" width="3.21875" style="2" customWidth="1"/>
    <col min="4874" max="4874" width="8.77734375" style="2"/>
    <col min="4875" max="4875" width="6.21875" style="2" customWidth="1"/>
    <col min="4876" max="4876" width="3.77734375" style="2" customWidth="1"/>
    <col min="4877" max="4877" width="10.77734375" style="2" customWidth="1"/>
    <col min="4878" max="4878" width="4.21875" style="2" customWidth="1"/>
    <col min="4879" max="4879" width="12.21875" style="2" customWidth="1"/>
    <col min="4880" max="4880" width="10.21875" style="2" customWidth="1"/>
    <col min="4881" max="4881" width="9.21875" style="2" customWidth="1"/>
    <col min="4882" max="5120" width="8.77734375" style="2"/>
    <col min="5121" max="5121" width="4.21875" style="2" customWidth="1"/>
    <col min="5122" max="5122" width="2.5546875" style="2" customWidth="1"/>
    <col min="5123" max="5126" width="8.77734375" style="2"/>
    <col min="5127" max="5127" width="4.5546875" style="2" customWidth="1"/>
    <col min="5128" max="5128" width="10.21875" style="2" customWidth="1"/>
    <col min="5129" max="5129" width="3.21875" style="2" customWidth="1"/>
    <col min="5130" max="5130" width="8.77734375" style="2"/>
    <col min="5131" max="5131" width="6.21875" style="2" customWidth="1"/>
    <col min="5132" max="5132" width="3.77734375" style="2" customWidth="1"/>
    <col min="5133" max="5133" width="10.77734375" style="2" customWidth="1"/>
    <col min="5134" max="5134" width="4.21875" style="2" customWidth="1"/>
    <col min="5135" max="5135" width="12.21875" style="2" customWidth="1"/>
    <col min="5136" max="5136" width="10.21875" style="2" customWidth="1"/>
    <col min="5137" max="5137" width="9.21875" style="2" customWidth="1"/>
    <col min="5138" max="5376" width="8.77734375" style="2"/>
    <col min="5377" max="5377" width="4.21875" style="2" customWidth="1"/>
    <col min="5378" max="5378" width="2.5546875" style="2" customWidth="1"/>
    <col min="5379" max="5382" width="8.77734375" style="2"/>
    <col min="5383" max="5383" width="4.5546875" style="2" customWidth="1"/>
    <col min="5384" max="5384" width="10.21875" style="2" customWidth="1"/>
    <col min="5385" max="5385" width="3.21875" style="2" customWidth="1"/>
    <col min="5386" max="5386" width="8.77734375" style="2"/>
    <col min="5387" max="5387" width="6.21875" style="2" customWidth="1"/>
    <col min="5388" max="5388" width="3.77734375" style="2" customWidth="1"/>
    <col min="5389" max="5389" width="10.77734375" style="2" customWidth="1"/>
    <col min="5390" max="5390" width="4.21875" style="2" customWidth="1"/>
    <col min="5391" max="5391" width="12.21875" style="2" customWidth="1"/>
    <col min="5392" max="5392" width="10.21875" style="2" customWidth="1"/>
    <col min="5393" max="5393" width="9.21875" style="2" customWidth="1"/>
    <col min="5394" max="5632" width="8.77734375" style="2"/>
    <col min="5633" max="5633" width="4.21875" style="2" customWidth="1"/>
    <col min="5634" max="5634" width="2.5546875" style="2" customWidth="1"/>
    <col min="5635" max="5638" width="8.77734375" style="2"/>
    <col min="5639" max="5639" width="4.5546875" style="2" customWidth="1"/>
    <col min="5640" max="5640" width="10.21875" style="2" customWidth="1"/>
    <col min="5641" max="5641" width="3.21875" style="2" customWidth="1"/>
    <col min="5642" max="5642" width="8.77734375" style="2"/>
    <col min="5643" max="5643" width="6.21875" style="2" customWidth="1"/>
    <col min="5644" max="5644" width="3.77734375" style="2" customWidth="1"/>
    <col min="5645" max="5645" width="10.77734375" style="2" customWidth="1"/>
    <col min="5646" max="5646" width="4.21875" style="2" customWidth="1"/>
    <col min="5647" max="5647" width="12.21875" style="2" customWidth="1"/>
    <col min="5648" max="5648" width="10.21875" style="2" customWidth="1"/>
    <col min="5649" max="5649" width="9.21875" style="2" customWidth="1"/>
    <col min="5650" max="5888" width="8.77734375" style="2"/>
    <col min="5889" max="5889" width="4.21875" style="2" customWidth="1"/>
    <col min="5890" max="5890" width="2.5546875" style="2" customWidth="1"/>
    <col min="5891" max="5894" width="8.77734375" style="2"/>
    <col min="5895" max="5895" width="4.5546875" style="2" customWidth="1"/>
    <col min="5896" max="5896" width="10.21875" style="2" customWidth="1"/>
    <col min="5897" max="5897" width="3.21875" style="2" customWidth="1"/>
    <col min="5898" max="5898" width="8.77734375" style="2"/>
    <col min="5899" max="5899" width="6.21875" style="2" customWidth="1"/>
    <col min="5900" max="5900" width="3.77734375" style="2" customWidth="1"/>
    <col min="5901" max="5901" width="10.77734375" style="2" customWidth="1"/>
    <col min="5902" max="5902" width="4.21875" style="2" customWidth="1"/>
    <col min="5903" max="5903" width="12.21875" style="2" customWidth="1"/>
    <col min="5904" max="5904" width="10.21875" style="2" customWidth="1"/>
    <col min="5905" max="5905" width="9.21875" style="2" customWidth="1"/>
    <col min="5906" max="6144" width="8.77734375" style="2"/>
    <col min="6145" max="6145" width="4.21875" style="2" customWidth="1"/>
    <col min="6146" max="6146" width="2.5546875" style="2" customWidth="1"/>
    <col min="6147" max="6150" width="8.77734375" style="2"/>
    <col min="6151" max="6151" width="4.5546875" style="2" customWidth="1"/>
    <col min="6152" max="6152" width="10.21875" style="2" customWidth="1"/>
    <col min="6153" max="6153" width="3.21875" style="2" customWidth="1"/>
    <col min="6154" max="6154" width="8.77734375" style="2"/>
    <col min="6155" max="6155" width="6.21875" style="2" customWidth="1"/>
    <col min="6156" max="6156" width="3.77734375" style="2" customWidth="1"/>
    <col min="6157" max="6157" width="10.77734375" style="2" customWidth="1"/>
    <col min="6158" max="6158" width="4.21875" style="2" customWidth="1"/>
    <col min="6159" max="6159" width="12.21875" style="2" customWidth="1"/>
    <col min="6160" max="6160" width="10.21875" style="2" customWidth="1"/>
    <col min="6161" max="6161" width="9.21875" style="2" customWidth="1"/>
    <col min="6162" max="6400" width="8.77734375" style="2"/>
    <col min="6401" max="6401" width="4.21875" style="2" customWidth="1"/>
    <col min="6402" max="6402" width="2.5546875" style="2" customWidth="1"/>
    <col min="6403" max="6406" width="8.77734375" style="2"/>
    <col min="6407" max="6407" width="4.5546875" style="2" customWidth="1"/>
    <col min="6408" max="6408" width="10.21875" style="2" customWidth="1"/>
    <col min="6409" max="6409" width="3.21875" style="2" customWidth="1"/>
    <col min="6410" max="6410" width="8.77734375" style="2"/>
    <col min="6411" max="6411" width="6.21875" style="2" customWidth="1"/>
    <col min="6412" max="6412" width="3.77734375" style="2" customWidth="1"/>
    <col min="6413" max="6413" width="10.77734375" style="2" customWidth="1"/>
    <col min="6414" max="6414" width="4.21875" style="2" customWidth="1"/>
    <col min="6415" max="6415" width="12.21875" style="2" customWidth="1"/>
    <col min="6416" max="6416" width="10.21875" style="2" customWidth="1"/>
    <col min="6417" max="6417" width="9.21875" style="2" customWidth="1"/>
    <col min="6418" max="6656" width="8.77734375" style="2"/>
    <col min="6657" max="6657" width="4.21875" style="2" customWidth="1"/>
    <col min="6658" max="6658" width="2.5546875" style="2" customWidth="1"/>
    <col min="6659" max="6662" width="8.77734375" style="2"/>
    <col min="6663" max="6663" width="4.5546875" style="2" customWidth="1"/>
    <col min="6664" max="6664" width="10.21875" style="2" customWidth="1"/>
    <col min="6665" max="6665" width="3.21875" style="2" customWidth="1"/>
    <col min="6666" max="6666" width="8.77734375" style="2"/>
    <col min="6667" max="6667" width="6.21875" style="2" customWidth="1"/>
    <col min="6668" max="6668" width="3.77734375" style="2" customWidth="1"/>
    <col min="6669" max="6669" width="10.77734375" style="2" customWidth="1"/>
    <col min="6670" max="6670" width="4.21875" style="2" customWidth="1"/>
    <col min="6671" max="6671" width="12.21875" style="2" customWidth="1"/>
    <col min="6672" max="6672" width="10.21875" style="2" customWidth="1"/>
    <col min="6673" max="6673" width="9.21875" style="2" customWidth="1"/>
    <col min="6674" max="6912" width="8.77734375" style="2"/>
    <col min="6913" max="6913" width="4.21875" style="2" customWidth="1"/>
    <col min="6914" max="6914" width="2.5546875" style="2" customWidth="1"/>
    <col min="6915" max="6918" width="8.77734375" style="2"/>
    <col min="6919" max="6919" width="4.5546875" style="2" customWidth="1"/>
    <col min="6920" max="6920" width="10.21875" style="2" customWidth="1"/>
    <col min="6921" max="6921" width="3.21875" style="2" customWidth="1"/>
    <col min="6922" max="6922" width="8.77734375" style="2"/>
    <col min="6923" max="6923" width="6.21875" style="2" customWidth="1"/>
    <col min="6924" max="6924" width="3.77734375" style="2" customWidth="1"/>
    <col min="6925" max="6925" width="10.77734375" style="2" customWidth="1"/>
    <col min="6926" max="6926" width="4.21875" style="2" customWidth="1"/>
    <col min="6927" max="6927" width="12.21875" style="2" customWidth="1"/>
    <col min="6928" max="6928" width="10.21875" style="2" customWidth="1"/>
    <col min="6929" max="6929" width="9.21875" style="2" customWidth="1"/>
    <col min="6930" max="7168" width="8.77734375" style="2"/>
    <col min="7169" max="7169" width="4.21875" style="2" customWidth="1"/>
    <col min="7170" max="7170" width="2.5546875" style="2" customWidth="1"/>
    <col min="7171" max="7174" width="8.77734375" style="2"/>
    <col min="7175" max="7175" width="4.5546875" style="2" customWidth="1"/>
    <col min="7176" max="7176" width="10.21875" style="2" customWidth="1"/>
    <col min="7177" max="7177" width="3.21875" style="2" customWidth="1"/>
    <col min="7178" max="7178" width="8.77734375" style="2"/>
    <col min="7179" max="7179" width="6.21875" style="2" customWidth="1"/>
    <col min="7180" max="7180" width="3.77734375" style="2" customWidth="1"/>
    <col min="7181" max="7181" width="10.77734375" style="2" customWidth="1"/>
    <col min="7182" max="7182" width="4.21875" style="2" customWidth="1"/>
    <col min="7183" max="7183" width="12.21875" style="2" customWidth="1"/>
    <col min="7184" max="7184" width="10.21875" style="2" customWidth="1"/>
    <col min="7185" max="7185" width="9.21875" style="2" customWidth="1"/>
    <col min="7186" max="7424" width="8.77734375" style="2"/>
    <col min="7425" max="7425" width="4.21875" style="2" customWidth="1"/>
    <col min="7426" max="7426" width="2.5546875" style="2" customWidth="1"/>
    <col min="7427" max="7430" width="8.77734375" style="2"/>
    <col min="7431" max="7431" width="4.5546875" style="2" customWidth="1"/>
    <col min="7432" max="7432" width="10.21875" style="2" customWidth="1"/>
    <col min="7433" max="7433" width="3.21875" style="2" customWidth="1"/>
    <col min="7434" max="7434" width="8.77734375" style="2"/>
    <col min="7435" max="7435" width="6.21875" style="2" customWidth="1"/>
    <col min="7436" max="7436" width="3.77734375" style="2" customWidth="1"/>
    <col min="7437" max="7437" width="10.77734375" style="2" customWidth="1"/>
    <col min="7438" max="7438" width="4.21875" style="2" customWidth="1"/>
    <col min="7439" max="7439" width="12.21875" style="2" customWidth="1"/>
    <col min="7440" max="7440" width="10.21875" style="2" customWidth="1"/>
    <col min="7441" max="7441" width="9.21875" style="2" customWidth="1"/>
    <col min="7442" max="7680" width="8.77734375" style="2"/>
    <col min="7681" max="7681" width="4.21875" style="2" customWidth="1"/>
    <col min="7682" max="7682" width="2.5546875" style="2" customWidth="1"/>
    <col min="7683" max="7686" width="8.77734375" style="2"/>
    <col min="7687" max="7687" width="4.5546875" style="2" customWidth="1"/>
    <col min="7688" max="7688" width="10.21875" style="2" customWidth="1"/>
    <col min="7689" max="7689" width="3.21875" style="2" customWidth="1"/>
    <col min="7690" max="7690" width="8.77734375" style="2"/>
    <col min="7691" max="7691" width="6.21875" style="2" customWidth="1"/>
    <col min="7692" max="7692" width="3.77734375" style="2" customWidth="1"/>
    <col min="7693" max="7693" width="10.77734375" style="2" customWidth="1"/>
    <col min="7694" max="7694" width="4.21875" style="2" customWidth="1"/>
    <col min="7695" max="7695" width="12.21875" style="2" customWidth="1"/>
    <col min="7696" max="7696" width="10.21875" style="2" customWidth="1"/>
    <col min="7697" max="7697" width="9.21875" style="2" customWidth="1"/>
    <col min="7698" max="7936" width="8.77734375" style="2"/>
    <col min="7937" max="7937" width="4.21875" style="2" customWidth="1"/>
    <col min="7938" max="7938" width="2.5546875" style="2" customWidth="1"/>
    <col min="7939" max="7942" width="8.77734375" style="2"/>
    <col min="7943" max="7943" width="4.5546875" style="2" customWidth="1"/>
    <col min="7944" max="7944" width="10.21875" style="2" customWidth="1"/>
    <col min="7945" max="7945" width="3.21875" style="2" customWidth="1"/>
    <col min="7946" max="7946" width="8.77734375" style="2"/>
    <col min="7947" max="7947" width="6.21875" style="2" customWidth="1"/>
    <col min="7948" max="7948" width="3.77734375" style="2" customWidth="1"/>
    <col min="7949" max="7949" width="10.77734375" style="2" customWidth="1"/>
    <col min="7950" max="7950" width="4.21875" style="2" customWidth="1"/>
    <col min="7951" max="7951" width="12.21875" style="2" customWidth="1"/>
    <col min="7952" max="7952" width="10.21875" style="2" customWidth="1"/>
    <col min="7953" max="7953" width="9.21875" style="2" customWidth="1"/>
    <col min="7954" max="8192" width="8.77734375" style="2"/>
    <col min="8193" max="8193" width="4.21875" style="2" customWidth="1"/>
    <col min="8194" max="8194" width="2.5546875" style="2" customWidth="1"/>
    <col min="8195" max="8198" width="8.77734375" style="2"/>
    <col min="8199" max="8199" width="4.5546875" style="2" customWidth="1"/>
    <col min="8200" max="8200" width="10.21875" style="2" customWidth="1"/>
    <col min="8201" max="8201" width="3.21875" style="2" customWidth="1"/>
    <col min="8202" max="8202" width="8.77734375" style="2"/>
    <col min="8203" max="8203" width="6.21875" style="2" customWidth="1"/>
    <col min="8204" max="8204" width="3.77734375" style="2" customWidth="1"/>
    <col min="8205" max="8205" width="10.77734375" style="2" customWidth="1"/>
    <col min="8206" max="8206" width="4.21875" style="2" customWidth="1"/>
    <col min="8207" max="8207" width="12.21875" style="2" customWidth="1"/>
    <col min="8208" max="8208" width="10.21875" style="2" customWidth="1"/>
    <col min="8209" max="8209" width="9.21875" style="2" customWidth="1"/>
    <col min="8210" max="8448" width="8.77734375" style="2"/>
    <col min="8449" max="8449" width="4.21875" style="2" customWidth="1"/>
    <col min="8450" max="8450" width="2.5546875" style="2" customWidth="1"/>
    <col min="8451" max="8454" width="8.77734375" style="2"/>
    <col min="8455" max="8455" width="4.5546875" style="2" customWidth="1"/>
    <col min="8456" max="8456" width="10.21875" style="2" customWidth="1"/>
    <col min="8457" max="8457" width="3.21875" style="2" customWidth="1"/>
    <col min="8458" max="8458" width="8.77734375" style="2"/>
    <col min="8459" max="8459" width="6.21875" style="2" customWidth="1"/>
    <col min="8460" max="8460" width="3.77734375" style="2" customWidth="1"/>
    <col min="8461" max="8461" width="10.77734375" style="2" customWidth="1"/>
    <col min="8462" max="8462" width="4.21875" style="2" customWidth="1"/>
    <col min="8463" max="8463" width="12.21875" style="2" customWidth="1"/>
    <col min="8464" max="8464" width="10.21875" style="2" customWidth="1"/>
    <col min="8465" max="8465" width="9.21875" style="2" customWidth="1"/>
    <col min="8466" max="8704" width="8.77734375" style="2"/>
    <col min="8705" max="8705" width="4.21875" style="2" customWidth="1"/>
    <col min="8706" max="8706" width="2.5546875" style="2" customWidth="1"/>
    <col min="8707" max="8710" width="8.77734375" style="2"/>
    <col min="8711" max="8711" width="4.5546875" style="2" customWidth="1"/>
    <col min="8712" max="8712" width="10.21875" style="2" customWidth="1"/>
    <col min="8713" max="8713" width="3.21875" style="2" customWidth="1"/>
    <col min="8714" max="8714" width="8.77734375" style="2"/>
    <col min="8715" max="8715" width="6.21875" style="2" customWidth="1"/>
    <col min="8716" max="8716" width="3.77734375" style="2" customWidth="1"/>
    <col min="8717" max="8717" width="10.77734375" style="2" customWidth="1"/>
    <col min="8718" max="8718" width="4.21875" style="2" customWidth="1"/>
    <col min="8719" max="8719" width="12.21875" style="2" customWidth="1"/>
    <col min="8720" max="8720" width="10.21875" style="2" customWidth="1"/>
    <col min="8721" max="8721" width="9.21875" style="2" customWidth="1"/>
    <col min="8722" max="8960" width="8.77734375" style="2"/>
    <col min="8961" max="8961" width="4.21875" style="2" customWidth="1"/>
    <col min="8962" max="8962" width="2.5546875" style="2" customWidth="1"/>
    <col min="8963" max="8966" width="8.77734375" style="2"/>
    <col min="8967" max="8967" width="4.5546875" style="2" customWidth="1"/>
    <col min="8968" max="8968" width="10.21875" style="2" customWidth="1"/>
    <col min="8969" max="8969" width="3.21875" style="2" customWidth="1"/>
    <col min="8970" max="8970" width="8.77734375" style="2"/>
    <col min="8971" max="8971" width="6.21875" style="2" customWidth="1"/>
    <col min="8972" max="8972" width="3.77734375" style="2" customWidth="1"/>
    <col min="8973" max="8973" width="10.77734375" style="2" customWidth="1"/>
    <col min="8974" max="8974" width="4.21875" style="2" customWidth="1"/>
    <col min="8975" max="8975" width="12.21875" style="2" customWidth="1"/>
    <col min="8976" max="8976" width="10.21875" style="2" customWidth="1"/>
    <col min="8977" max="8977" width="9.21875" style="2" customWidth="1"/>
    <col min="8978" max="9216" width="8.77734375" style="2"/>
    <col min="9217" max="9217" width="4.21875" style="2" customWidth="1"/>
    <col min="9218" max="9218" width="2.5546875" style="2" customWidth="1"/>
    <col min="9219" max="9222" width="8.77734375" style="2"/>
    <col min="9223" max="9223" width="4.5546875" style="2" customWidth="1"/>
    <col min="9224" max="9224" width="10.21875" style="2" customWidth="1"/>
    <col min="9225" max="9225" width="3.21875" style="2" customWidth="1"/>
    <col min="9226" max="9226" width="8.77734375" style="2"/>
    <col min="9227" max="9227" width="6.21875" style="2" customWidth="1"/>
    <col min="9228" max="9228" width="3.77734375" style="2" customWidth="1"/>
    <col min="9229" max="9229" width="10.77734375" style="2" customWidth="1"/>
    <col min="9230" max="9230" width="4.21875" style="2" customWidth="1"/>
    <col min="9231" max="9231" width="12.21875" style="2" customWidth="1"/>
    <col min="9232" max="9232" width="10.21875" style="2" customWidth="1"/>
    <col min="9233" max="9233" width="9.21875" style="2" customWidth="1"/>
    <col min="9234" max="9472" width="8.77734375" style="2"/>
    <col min="9473" max="9473" width="4.21875" style="2" customWidth="1"/>
    <col min="9474" max="9474" width="2.5546875" style="2" customWidth="1"/>
    <col min="9475" max="9478" width="8.77734375" style="2"/>
    <col min="9479" max="9479" width="4.5546875" style="2" customWidth="1"/>
    <col min="9480" max="9480" width="10.21875" style="2" customWidth="1"/>
    <col min="9481" max="9481" width="3.21875" style="2" customWidth="1"/>
    <col min="9482" max="9482" width="8.77734375" style="2"/>
    <col min="9483" max="9483" width="6.21875" style="2" customWidth="1"/>
    <col min="9484" max="9484" width="3.77734375" style="2" customWidth="1"/>
    <col min="9485" max="9485" width="10.77734375" style="2" customWidth="1"/>
    <col min="9486" max="9486" width="4.21875" style="2" customWidth="1"/>
    <col min="9487" max="9487" width="12.21875" style="2" customWidth="1"/>
    <col min="9488" max="9488" width="10.21875" style="2" customWidth="1"/>
    <col min="9489" max="9489" width="9.21875" style="2" customWidth="1"/>
    <col min="9490" max="9728" width="8.77734375" style="2"/>
    <col min="9729" max="9729" width="4.21875" style="2" customWidth="1"/>
    <col min="9730" max="9730" width="2.5546875" style="2" customWidth="1"/>
    <col min="9731" max="9734" width="8.77734375" style="2"/>
    <col min="9735" max="9735" width="4.5546875" style="2" customWidth="1"/>
    <col min="9736" max="9736" width="10.21875" style="2" customWidth="1"/>
    <col min="9737" max="9737" width="3.21875" style="2" customWidth="1"/>
    <col min="9738" max="9738" width="8.77734375" style="2"/>
    <col min="9739" max="9739" width="6.21875" style="2" customWidth="1"/>
    <col min="9740" max="9740" width="3.77734375" style="2" customWidth="1"/>
    <col min="9741" max="9741" width="10.77734375" style="2" customWidth="1"/>
    <col min="9742" max="9742" width="4.21875" style="2" customWidth="1"/>
    <col min="9743" max="9743" width="12.21875" style="2" customWidth="1"/>
    <col min="9744" max="9744" width="10.21875" style="2" customWidth="1"/>
    <col min="9745" max="9745" width="9.21875" style="2" customWidth="1"/>
    <col min="9746" max="9984" width="8.77734375" style="2"/>
    <col min="9985" max="9985" width="4.21875" style="2" customWidth="1"/>
    <col min="9986" max="9986" width="2.5546875" style="2" customWidth="1"/>
    <col min="9987" max="9990" width="8.77734375" style="2"/>
    <col min="9991" max="9991" width="4.5546875" style="2" customWidth="1"/>
    <col min="9992" max="9992" width="10.21875" style="2" customWidth="1"/>
    <col min="9993" max="9993" width="3.21875" style="2" customWidth="1"/>
    <col min="9994" max="9994" width="8.77734375" style="2"/>
    <col min="9995" max="9995" width="6.21875" style="2" customWidth="1"/>
    <col min="9996" max="9996" width="3.77734375" style="2" customWidth="1"/>
    <col min="9997" max="9997" width="10.77734375" style="2" customWidth="1"/>
    <col min="9998" max="9998" width="4.21875" style="2" customWidth="1"/>
    <col min="9999" max="9999" width="12.21875" style="2" customWidth="1"/>
    <col min="10000" max="10000" width="10.21875" style="2" customWidth="1"/>
    <col min="10001" max="10001" width="9.21875" style="2" customWidth="1"/>
    <col min="10002" max="10240" width="8.77734375" style="2"/>
    <col min="10241" max="10241" width="4.21875" style="2" customWidth="1"/>
    <col min="10242" max="10242" width="2.5546875" style="2" customWidth="1"/>
    <col min="10243" max="10246" width="8.77734375" style="2"/>
    <col min="10247" max="10247" width="4.5546875" style="2" customWidth="1"/>
    <col min="10248" max="10248" width="10.21875" style="2" customWidth="1"/>
    <col min="10249" max="10249" width="3.21875" style="2" customWidth="1"/>
    <col min="10250" max="10250" width="8.77734375" style="2"/>
    <col min="10251" max="10251" width="6.21875" style="2" customWidth="1"/>
    <col min="10252" max="10252" width="3.77734375" style="2" customWidth="1"/>
    <col min="10253" max="10253" width="10.77734375" style="2" customWidth="1"/>
    <col min="10254" max="10254" width="4.21875" style="2" customWidth="1"/>
    <col min="10255" max="10255" width="12.21875" style="2" customWidth="1"/>
    <col min="10256" max="10256" width="10.21875" style="2" customWidth="1"/>
    <col min="10257" max="10257" width="9.21875" style="2" customWidth="1"/>
    <col min="10258" max="10496" width="8.77734375" style="2"/>
    <col min="10497" max="10497" width="4.21875" style="2" customWidth="1"/>
    <col min="10498" max="10498" width="2.5546875" style="2" customWidth="1"/>
    <col min="10499" max="10502" width="8.77734375" style="2"/>
    <col min="10503" max="10503" width="4.5546875" style="2" customWidth="1"/>
    <col min="10504" max="10504" width="10.21875" style="2" customWidth="1"/>
    <col min="10505" max="10505" width="3.21875" style="2" customWidth="1"/>
    <col min="10506" max="10506" width="8.77734375" style="2"/>
    <col min="10507" max="10507" width="6.21875" style="2" customWidth="1"/>
    <col min="10508" max="10508" width="3.77734375" style="2" customWidth="1"/>
    <col min="10509" max="10509" width="10.77734375" style="2" customWidth="1"/>
    <col min="10510" max="10510" width="4.21875" style="2" customWidth="1"/>
    <col min="10511" max="10511" width="12.21875" style="2" customWidth="1"/>
    <col min="10512" max="10512" width="10.21875" style="2" customWidth="1"/>
    <col min="10513" max="10513" width="9.21875" style="2" customWidth="1"/>
    <col min="10514" max="10752" width="8.77734375" style="2"/>
    <col min="10753" max="10753" width="4.21875" style="2" customWidth="1"/>
    <col min="10754" max="10754" width="2.5546875" style="2" customWidth="1"/>
    <col min="10755" max="10758" width="8.77734375" style="2"/>
    <col min="10759" max="10759" width="4.5546875" style="2" customWidth="1"/>
    <col min="10760" max="10760" width="10.21875" style="2" customWidth="1"/>
    <col min="10761" max="10761" width="3.21875" style="2" customWidth="1"/>
    <col min="10762" max="10762" width="8.77734375" style="2"/>
    <col min="10763" max="10763" width="6.21875" style="2" customWidth="1"/>
    <col min="10764" max="10764" width="3.77734375" style="2" customWidth="1"/>
    <col min="10765" max="10765" width="10.77734375" style="2" customWidth="1"/>
    <col min="10766" max="10766" width="4.21875" style="2" customWidth="1"/>
    <col min="10767" max="10767" width="12.21875" style="2" customWidth="1"/>
    <col min="10768" max="10768" width="10.21875" style="2" customWidth="1"/>
    <col min="10769" max="10769" width="9.21875" style="2" customWidth="1"/>
    <col min="10770" max="11008" width="8.77734375" style="2"/>
    <col min="11009" max="11009" width="4.21875" style="2" customWidth="1"/>
    <col min="11010" max="11010" width="2.5546875" style="2" customWidth="1"/>
    <col min="11011" max="11014" width="8.77734375" style="2"/>
    <col min="11015" max="11015" width="4.5546875" style="2" customWidth="1"/>
    <col min="11016" max="11016" width="10.21875" style="2" customWidth="1"/>
    <col min="11017" max="11017" width="3.21875" style="2" customWidth="1"/>
    <col min="11018" max="11018" width="8.77734375" style="2"/>
    <col min="11019" max="11019" width="6.21875" style="2" customWidth="1"/>
    <col min="11020" max="11020" width="3.77734375" style="2" customWidth="1"/>
    <col min="11021" max="11021" width="10.77734375" style="2" customWidth="1"/>
    <col min="11022" max="11022" width="4.21875" style="2" customWidth="1"/>
    <col min="11023" max="11023" width="12.21875" style="2" customWidth="1"/>
    <col min="11024" max="11024" width="10.21875" style="2" customWidth="1"/>
    <col min="11025" max="11025" width="9.21875" style="2" customWidth="1"/>
    <col min="11026" max="11264" width="8.77734375" style="2"/>
    <col min="11265" max="11265" width="4.21875" style="2" customWidth="1"/>
    <col min="11266" max="11266" width="2.5546875" style="2" customWidth="1"/>
    <col min="11267" max="11270" width="8.77734375" style="2"/>
    <col min="11271" max="11271" width="4.5546875" style="2" customWidth="1"/>
    <col min="11272" max="11272" width="10.21875" style="2" customWidth="1"/>
    <col min="11273" max="11273" width="3.21875" style="2" customWidth="1"/>
    <col min="11274" max="11274" width="8.77734375" style="2"/>
    <col min="11275" max="11275" width="6.21875" style="2" customWidth="1"/>
    <col min="11276" max="11276" width="3.77734375" style="2" customWidth="1"/>
    <col min="11277" max="11277" width="10.77734375" style="2" customWidth="1"/>
    <col min="11278" max="11278" width="4.21875" style="2" customWidth="1"/>
    <col min="11279" max="11279" width="12.21875" style="2" customWidth="1"/>
    <col min="11280" max="11280" width="10.21875" style="2" customWidth="1"/>
    <col min="11281" max="11281" width="9.21875" style="2" customWidth="1"/>
    <col min="11282" max="11520" width="8.77734375" style="2"/>
    <col min="11521" max="11521" width="4.21875" style="2" customWidth="1"/>
    <col min="11522" max="11522" width="2.5546875" style="2" customWidth="1"/>
    <col min="11523" max="11526" width="8.77734375" style="2"/>
    <col min="11527" max="11527" width="4.5546875" style="2" customWidth="1"/>
    <col min="11528" max="11528" width="10.21875" style="2" customWidth="1"/>
    <col min="11529" max="11529" width="3.21875" style="2" customWidth="1"/>
    <col min="11530" max="11530" width="8.77734375" style="2"/>
    <col min="11531" max="11531" width="6.21875" style="2" customWidth="1"/>
    <col min="11532" max="11532" width="3.77734375" style="2" customWidth="1"/>
    <col min="11533" max="11533" width="10.77734375" style="2" customWidth="1"/>
    <col min="11534" max="11534" width="4.21875" style="2" customWidth="1"/>
    <col min="11535" max="11535" width="12.21875" style="2" customWidth="1"/>
    <col min="11536" max="11536" width="10.21875" style="2" customWidth="1"/>
    <col min="11537" max="11537" width="9.21875" style="2" customWidth="1"/>
    <col min="11538" max="11776" width="8.77734375" style="2"/>
    <col min="11777" max="11777" width="4.21875" style="2" customWidth="1"/>
    <col min="11778" max="11778" width="2.5546875" style="2" customWidth="1"/>
    <col min="11779" max="11782" width="8.77734375" style="2"/>
    <col min="11783" max="11783" width="4.5546875" style="2" customWidth="1"/>
    <col min="11784" max="11784" width="10.21875" style="2" customWidth="1"/>
    <col min="11785" max="11785" width="3.21875" style="2" customWidth="1"/>
    <col min="11786" max="11786" width="8.77734375" style="2"/>
    <col min="11787" max="11787" width="6.21875" style="2" customWidth="1"/>
    <col min="11788" max="11788" width="3.77734375" style="2" customWidth="1"/>
    <col min="11789" max="11789" width="10.77734375" style="2" customWidth="1"/>
    <col min="11790" max="11790" width="4.21875" style="2" customWidth="1"/>
    <col min="11791" max="11791" width="12.21875" style="2" customWidth="1"/>
    <col min="11792" max="11792" width="10.21875" style="2" customWidth="1"/>
    <col min="11793" max="11793" width="9.21875" style="2" customWidth="1"/>
    <col min="11794" max="12032" width="8.77734375" style="2"/>
    <col min="12033" max="12033" width="4.21875" style="2" customWidth="1"/>
    <col min="12034" max="12034" width="2.5546875" style="2" customWidth="1"/>
    <col min="12035" max="12038" width="8.77734375" style="2"/>
    <col min="12039" max="12039" width="4.5546875" style="2" customWidth="1"/>
    <col min="12040" max="12040" width="10.21875" style="2" customWidth="1"/>
    <col min="12041" max="12041" width="3.21875" style="2" customWidth="1"/>
    <col min="12042" max="12042" width="8.77734375" style="2"/>
    <col min="12043" max="12043" width="6.21875" style="2" customWidth="1"/>
    <col min="12044" max="12044" width="3.77734375" style="2" customWidth="1"/>
    <col min="12045" max="12045" width="10.77734375" style="2" customWidth="1"/>
    <col min="12046" max="12046" width="4.21875" style="2" customWidth="1"/>
    <col min="12047" max="12047" width="12.21875" style="2" customWidth="1"/>
    <col min="12048" max="12048" width="10.21875" style="2" customWidth="1"/>
    <col min="12049" max="12049" width="9.21875" style="2" customWidth="1"/>
    <col min="12050" max="12288" width="8.77734375" style="2"/>
    <col min="12289" max="12289" width="4.21875" style="2" customWidth="1"/>
    <col min="12290" max="12290" width="2.5546875" style="2" customWidth="1"/>
    <col min="12291" max="12294" width="8.77734375" style="2"/>
    <col min="12295" max="12295" width="4.5546875" style="2" customWidth="1"/>
    <col min="12296" max="12296" width="10.21875" style="2" customWidth="1"/>
    <col min="12297" max="12297" width="3.21875" style="2" customWidth="1"/>
    <col min="12298" max="12298" width="8.77734375" style="2"/>
    <col min="12299" max="12299" width="6.21875" style="2" customWidth="1"/>
    <col min="12300" max="12300" width="3.77734375" style="2" customWidth="1"/>
    <col min="12301" max="12301" width="10.77734375" style="2" customWidth="1"/>
    <col min="12302" max="12302" width="4.21875" style="2" customWidth="1"/>
    <col min="12303" max="12303" width="12.21875" style="2" customWidth="1"/>
    <col min="12304" max="12304" width="10.21875" style="2" customWidth="1"/>
    <col min="12305" max="12305" width="9.21875" style="2" customWidth="1"/>
    <col min="12306" max="12544" width="8.77734375" style="2"/>
    <col min="12545" max="12545" width="4.21875" style="2" customWidth="1"/>
    <col min="12546" max="12546" width="2.5546875" style="2" customWidth="1"/>
    <col min="12547" max="12550" width="8.77734375" style="2"/>
    <col min="12551" max="12551" width="4.5546875" style="2" customWidth="1"/>
    <col min="12552" max="12552" width="10.21875" style="2" customWidth="1"/>
    <col min="12553" max="12553" width="3.21875" style="2" customWidth="1"/>
    <col min="12554" max="12554" width="8.77734375" style="2"/>
    <col min="12555" max="12555" width="6.21875" style="2" customWidth="1"/>
    <col min="12556" max="12556" width="3.77734375" style="2" customWidth="1"/>
    <col min="12557" max="12557" width="10.77734375" style="2" customWidth="1"/>
    <col min="12558" max="12558" width="4.21875" style="2" customWidth="1"/>
    <col min="12559" max="12559" width="12.21875" style="2" customWidth="1"/>
    <col min="12560" max="12560" width="10.21875" style="2" customWidth="1"/>
    <col min="12561" max="12561" width="9.21875" style="2" customWidth="1"/>
    <col min="12562" max="12800" width="8.77734375" style="2"/>
    <col min="12801" max="12801" width="4.21875" style="2" customWidth="1"/>
    <col min="12802" max="12802" width="2.5546875" style="2" customWidth="1"/>
    <col min="12803" max="12806" width="8.77734375" style="2"/>
    <col min="12807" max="12807" width="4.5546875" style="2" customWidth="1"/>
    <col min="12808" max="12808" width="10.21875" style="2" customWidth="1"/>
    <col min="12809" max="12809" width="3.21875" style="2" customWidth="1"/>
    <col min="12810" max="12810" width="8.77734375" style="2"/>
    <col min="12811" max="12811" width="6.21875" style="2" customWidth="1"/>
    <col min="12812" max="12812" width="3.77734375" style="2" customWidth="1"/>
    <col min="12813" max="12813" width="10.77734375" style="2" customWidth="1"/>
    <col min="12814" max="12814" width="4.21875" style="2" customWidth="1"/>
    <col min="12815" max="12815" width="12.21875" style="2" customWidth="1"/>
    <col min="12816" max="12816" width="10.21875" style="2" customWidth="1"/>
    <col min="12817" max="12817" width="9.21875" style="2" customWidth="1"/>
    <col min="12818" max="13056" width="8.77734375" style="2"/>
    <col min="13057" max="13057" width="4.21875" style="2" customWidth="1"/>
    <col min="13058" max="13058" width="2.5546875" style="2" customWidth="1"/>
    <col min="13059" max="13062" width="8.77734375" style="2"/>
    <col min="13063" max="13063" width="4.5546875" style="2" customWidth="1"/>
    <col min="13064" max="13064" width="10.21875" style="2" customWidth="1"/>
    <col min="13065" max="13065" width="3.21875" style="2" customWidth="1"/>
    <col min="13066" max="13066" width="8.77734375" style="2"/>
    <col min="13067" max="13067" width="6.21875" style="2" customWidth="1"/>
    <col min="13068" max="13068" width="3.77734375" style="2" customWidth="1"/>
    <col min="13069" max="13069" width="10.77734375" style="2" customWidth="1"/>
    <col min="13070" max="13070" width="4.21875" style="2" customWidth="1"/>
    <col min="13071" max="13071" width="12.21875" style="2" customWidth="1"/>
    <col min="13072" max="13072" width="10.21875" style="2" customWidth="1"/>
    <col min="13073" max="13073" width="9.21875" style="2" customWidth="1"/>
    <col min="13074" max="13312" width="8.77734375" style="2"/>
    <col min="13313" max="13313" width="4.21875" style="2" customWidth="1"/>
    <col min="13314" max="13314" width="2.5546875" style="2" customWidth="1"/>
    <col min="13315" max="13318" width="8.77734375" style="2"/>
    <col min="13319" max="13319" width="4.5546875" style="2" customWidth="1"/>
    <col min="13320" max="13320" width="10.21875" style="2" customWidth="1"/>
    <col min="13321" max="13321" width="3.21875" style="2" customWidth="1"/>
    <col min="13322" max="13322" width="8.77734375" style="2"/>
    <col min="13323" max="13323" width="6.21875" style="2" customWidth="1"/>
    <col min="13324" max="13324" width="3.77734375" style="2" customWidth="1"/>
    <col min="13325" max="13325" width="10.77734375" style="2" customWidth="1"/>
    <col min="13326" max="13326" width="4.21875" style="2" customWidth="1"/>
    <col min="13327" max="13327" width="12.21875" style="2" customWidth="1"/>
    <col min="13328" max="13328" width="10.21875" style="2" customWidth="1"/>
    <col min="13329" max="13329" width="9.21875" style="2" customWidth="1"/>
    <col min="13330" max="13568" width="8.77734375" style="2"/>
    <col min="13569" max="13569" width="4.21875" style="2" customWidth="1"/>
    <col min="13570" max="13570" width="2.5546875" style="2" customWidth="1"/>
    <col min="13571" max="13574" width="8.77734375" style="2"/>
    <col min="13575" max="13575" width="4.5546875" style="2" customWidth="1"/>
    <col min="13576" max="13576" width="10.21875" style="2" customWidth="1"/>
    <col min="13577" max="13577" width="3.21875" style="2" customWidth="1"/>
    <col min="13578" max="13578" width="8.77734375" style="2"/>
    <col min="13579" max="13579" width="6.21875" style="2" customWidth="1"/>
    <col min="13580" max="13580" width="3.77734375" style="2" customWidth="1"/>
    <col min="13581" max="13581" width="10.77734375" style="2" customWidth="1"/>
    <col min="13582" max="13582" width="4.21875" style="2" customWidth="1"/>
    <col min="13583" max="13583" width="12.21875" style="2" customWidth="1"/>
    <col min="13584" max="13584" width="10.21875" style="2" customWidth="1"/>
    <col min="13585" max="13585" width="9.21875" style="2" customWidth="1"/>
    <col min="13586" max="13824" width="8.77734375" style="2"/>
    <col min="13825" max="13825" width="4.21875" style="2" customWidth="1"/>
    <col min="13826" max="13826" width="2.5546875" style="2" customWidth="1"/>
    <col min="13827" max="13830" width="8.77734375" style="2"/>
    <col min="13831" max="13831" width="4.5546875" style="2" customWidth="1"/>
    <col min="13832" max="13832" width="10.21875" style="2" customWidth="1"/>
    <col min="13833" max="13833" width="3.21875" style="2" customWidth="1"/>
    <col min="13834" max="13834" width="8.77734375" style="2"/>
    <col min="13835" max="13835" width="6.21875" style="2" customWidth="1"/>
    <col min="13836" max="13836" width="3.77734375" style="2" customWidth="1"/>
    <col min="13837" max="13837" width="10.77734375" style="2" customWidth="1"/>
    <col min="13838" max="13838" width="4.21875" style="2" customWidth="1"/>
    <col min="13839" max="13839" width="12.21875" style="2" customWidth="1"/>
    <col min="13840" max="13840" width="10.21875" style="2" customWidth="1"/>
    <col min="13841" max="13841" width="9.21875" style="2" customWidth="1"/>
    <col min="13842" max="14080" width="8.77734375" style="2"/>
    <col min="14081" max="14081" width="4.21875" style="2" customWidth="1"/>
    <col min="14082" max="14082" width="2.5546875" style="2" customWidth="1"/>
    <col min="14083" max="14086" width="8.77734375" style="2"/>
    <col min="14087" max="14087" width="4.5546875" style="2" customWidth="1"/>
    <col min="14088" max="14088" width="10.21875" style="2" customWidth="1"/>
    <col min="14089" max="14089" width="3.21875" style="2" customWidth="1"/>
    <col min="14090" max="14090" width="8.77734375" style="2"/>
    <col min="14091" max="14091" width="6.21875" style="2" customWidth="1"/>
    <col min="14092" max="14092" width="3.77734375" style="2" customWidth="1"/>
    <col min="14093" max="14093" width="10.77734375" style="2" customWidth="1"/>
    <col min="14094" max="14094" width="4.21875" style="2" customWidth="1"/>
    <col min="14095" max="14095" width="12.21875" style="2" customWidth="1"/>
    <col min="14096" max="14096" width="10.21875" style="2" customWidth="1"/>
    <col min="14097" max="14097" width="9.21875" style="2" customWidth="1"/>
    <col min="14098" max="14336" width="8.77734375" style="2"/>
    <col min="14337" max="14337" width="4.21875" style="2" customWidth="1"/>
    <col min="14338" max="14338" width="2.5546875" style="2" customWidth="1"/>
    <col min="14339" max="14342" width="8.77734375" style="2"/>
    <col min="14343" max="14343" width="4.5546875" style="2" customWidth="1"/>
    <col min="14344" max="14344" width="10.21875" style="2" customWidth="1"/>
    <col min="14345" max="14345" width="3.21875" style="2" customWidth="1"/>
    <col min="14346" max="14346" width="8.77734375" style="2"/>
    <col min="14347" max="14347" width="6.21875" style="2" customWidth="1"/>
    <col min="14348" max="14348" width="3.77734375" style="2" customWidth="1"/>
    <col min="14349" max="14349" width="10.77734375" style="2" customWidth="1"/>
    <col min="14350" max="14350" width="4.21875" style="2" customWidth="1"/>
    <col min="14351" max="14351" width="12.21875" style="2" customWidth="1"/>
    <col min="14352" max="14352" width="10.21875" style="2" customWidth="1"/>
    <col min="14353" max="14353" width="9.21875" style="2" customWidth="1"/>
    <col min="14354" max="14592" width="8.77734375" style="2"/>
    <col min="14593" max="14593" width="4.21875" style="2" customWidth="1"/>
    <col min="14594" max="14594" width="2.5546875" style="2" customWidth="1"/>
    <col min="14595" max="14598" width="8.77734375" style="2"/>
    <col min="14599" max="14599" width="4.5546875" style="2" customWidth="1"/>
    <col min="14600" max="14600" width="10.21875" style="2" customWidth="1"/>
    <col min="14601" max="14601" width="3.21875" style="2" customWidth="1"/>
    <col min="14602" max="14602" width="8.77734375" style="2"/>
    <col min="14603" max="14603" width="6.21875" style="2" customWidth="1"/>
    <col min="14604" max="14604" width="3.77734375" style="2" customWidth="1"/>
    <col min="14605" max="14605" width="10.77734375" style="2" customWidth="1"/>
    <col min="14606" max="14606" width="4.21875" style="2" customWidth="1"/>
    <col min="14607" max="14607" width="12.21875" style="2" customWidth="1"/>
    <col min="14608" max="14608" width="10.21875" style="2" customWidth="1"/>
    <col min="14609" max="14609" width="9.21875" style="2" customWidth="1"/>
    <col min="14610" max="14848" width="8.77734375" style="2"/>
    <col min="14849" max="14849" width="4.21875" style="2" customWidth="1"/>
    <col min="14850" max="14850" width="2.5546875" style="2" customWidth="1"/>
    <col min="14851" max="14854" width="8.77734375" style="2"/>
    <col min="14855" max="14855" width="4.5546875" style="2" customWidth="1"/>
    <col min="14856" max="14856" width="10.21875" style="2" customWidth="1"/>
    <col min="14857" max="14857" width="3.21875" style="2" customWidth="1"/>
    <col min="14858" max="14858" width="8.77734375" style="2"/>
    <col min="14859" max="14859" width="6.21875" style="2" customWidth="1"/>
    <col min="14860" max="14860" width="3.77734375" style="2" customWidth="1"/>
    <col min="14861" max="14861" width="10.77734375" style="2" customWidth="1"/>
    <col min="14862" max="14862" width="4.21875" style="2" customWidth="1"/>
    <col min="14863" max="14863" width="12.21875" style="2" customWidth="1"/>
    <col min="14864" max="14864" width="10.21875" style="2" customWidth="1"/>
    <col min="14865" max="14865" width="9.21875" style="2" customWidth="1"/>
    <col min="14866" max="15104" width="8.77734375" style="2"/>
    <col min="15105" max="15105" width="4.21875" style="2" customWidth="1"/>
    <col min="15106" max="15106" width="2.5546875" style="2" customWidth="1"/>
    <col min="15107" max="15110" width="8.77734375" style="2"/>
    <col min="15111" max="15111" width="4.5546875" style="2" customWidth="1"/>
    <col min="15112" max="15112" width="10.21875" style="2" customWidth="1"/>
    <col min="15113" max="15113" width="3.21875" style="2" customWidth="1"/>
    <col min="15114" max="15114" width="8.77734375" style="2"/>
    <col min="15115" max="15115" width="6.21875" style="2" customWidth="1"/>
    <col min="15116" max="15116" width="3.77734375" style="2" customWidth="1"/>
    <col min="15117" max="15117" width="10.77734375" style="2" customWidth="1"/>
    <col min="15118" max="15118" width="4.21875" style="2" customWidth="1"/>
    <col min="15119" max="15119" width="12.21875" style="2" customWidth="1"/>
    <col min="15120" max="15120" width="10.21875" style="2" customWidth="1"/>
    <col min="15121" max="15121" width="9.21875" style="2" customWidth="1"/>
    <col min="15122" max="15360" width="8.77734375" style="2"/>
    <col min="15361" max="15361" width="4.21875" style="2" customWidth="1"/>
    <col min="15362" max="15362" width="2.5546875" style="2" customWidth="1"/>
    <col min="15363" max="15366" width="8.77734375" style="2"/>
    <col min="15367" max="15367" width="4.5546875" style="2" customWidth="1"/>
    <col min="15368" max="15368" width="10.21875" style="2" customWidth="1"/>
    <col min="15369" max="15369" width="3.21875" style="2" customWidth="1"/>
    <col min="15370" max="15370" width="8.77734375" style="2"/>
    <col min="15371" max="15371" width="6.21875" style="2" customWidth="1"/>
    <col min="15372" max="15372" width="3.77734375" style="2" customWidth="1"/>
    <col min="15373" max="15373" width="10.77734375" style="2" customWidth="1"/>
    <col min="15374" max="15374" width="4.21875" style="2" customWidth="1"/>
    <col min="15375" max="15375" width="12.21875" style="2" customWidth="1"/>
    <col min="15376" max="15376" width="10.21875" style="2" customWidth="1"/>
    <col min="15377" max="15377" width="9.21875" style="2" customWidth="1"/>
    <col min="15378" max="15616" width="8.77734375" style="2"/>
    <col min="15617" max="15617" width="4.21875" style="2" customWidth="1"/>
    <col min="15618" max="15618" width="2.5546875" style="2" customWidth="1"/>
    <col min="15619" max="15622" width="8.77734375" style="2"/>
    <col min="15623" max="15623" width="4.5546875" style="2" customWidth="1"/>
    <col min="15624" max="15624" width="10.21875" style="2" customWidth="1"/>
    <col min="15625" max="15625" width="3.21875" style="2" customWidth="1"/>
    <col min="15626" max="15626" width="8.77734375" style="2"/>
    <col min="15627" max="15627" width="6.21875" style="2" customWidth="1"/>
    <col min="15628" max="15628" width="3.77734375" style="2" customWidth="1"/>
    <col min="15629" max="15629" width="10.77734375" style="2" customWidth="1"/>
    <col min="15630" max="15630" width="4.21875" style="2" customWidth="1"/>
    <col min="15631" max="15631" width="12.21875" style="2" customWidth="1"/>
    <col min="15632" max="15632" width="10.21875" style="2" customWidth="1"/>
    <col min="15633" max="15633" width="9.21875" style="2" customWidth="1"/>
    <col min="15634" max="15872" width="8.77734375" style="2"/>
    <col min="15873" max="15873" width="4.21875" style="2" customWidth="1"/>
    <col min="15874" max="15874" width="2.5546875" style="2" customWidth="1"/>
    <col min="15875" max="15878" width="8.77734375" style="2"/>
    <col min="15879" max="15879" width="4.5546875" style="2" customWidth="1"/>
    <col min="15880" max="15880" width="10.21875" style="2" customWidth="1"/>
    <col min="15881" max="15881" width="3.21875" style="2" customWidth="1"/>
    <col min="15882" max="15882" width="8.77734375" style="2"/>
    <col min="15883" max="15883" width="6.21875" style="2" customWidth="1"/>
    <col min="15884" max="15884" width="3.77734375" style="2" customWidth="1"/>
    <col min="15885" max="15885" width="10.77734375" style="2" customWidth="1"/>
    <col min="15886" max="15886" width="4.21875" style="2" customWidth="1"/>
    <col min="15887" max="15887" width="12.21875" style="2" customWidth="1"/>
    <col min="15888" max="15888" width="10.21875" style="2" customWidth="1"/>
    <col min="15889" max="15889" width="9.21875" style="2" customWidth="1"/>
    <col min="15890" max="16128" width="8.77734375" style="2"/>
    <col min="16129" max="16129" width="4.21875" style="2" customWidth="1"/>
    <col min="16130" max="16130" width="2.5546875" style="2" customWidth="1"/>
    <col min="16131" max="16134" width="8.77734375" style="2"/>
    <col min="16135" max="16135" width="4.5546875" style="2" customWidth="1"/>
    <col min="16136" max="16136" width="10.21875" style="2" customWidth="1"/>
    <col min="16137" max="16137" width="3.21875" style="2" customWidth="1"/>
    <col min="16138" max="16138" width="8.77734375" style="2"/>
    <col min="16139" max="16139" width="6.21875" style="2" customWidth="1"/>
    <col min="16140" max="16140" width="3.77734375" style="2" customWidth="1"/>
    <col min="16141" max="16141" width="10.77734375" style="2" customWidth="1"/>
    <col min="16142" max="16142" width="4.21875" style="2" customWidth="1"/>
    <col min="16143" max="16143" width="12.21875" style="2" customWidth="1"/>
    <col min="16144" max="16144" width="10.21875" style="2" customWidth="1"/>
    <col min="16145" max="16145" width="9.21875" style="2" customWidth="1"/>
    <col min="16146" max="16384" width="8.77734375" style="2"/>
  </cols>
  <sheetData>
    <row r="1" spans="1:18" ht="14.25" customHeight="1">
      <c r="A1" s="1220" t="s">
        <v>20</v>
      </c>
      <c r="B1" s="1220"/>
      <c r="C1" s="1220"/>
      <c r="D1" s="1220"/>
      <c r="E1" s="1220"/>
      <c r="F1" s="1220"/>
      <c r="G1" s="1220"/>
      <c r="H1" s="1220"/>
      <c r="I1" s="1220"/>
      <c r="J1" s="1220"/>
      <c r="K1" s="1220"/>
      <c r="L1" s="1220"/>
      <c r="M1" s="1220"/>
      <c r="N1" s="1220"/>
      <c r="O1" s="1220"/>
      <c r="P1" s="49"/>
      <c r="Q1" s="50"/>
      <c r="R1" s="49"/>
    </row>
    <row r="2" spans="1:18" ht="15.6">
      <c r="A2" s="1220" t="s">
        <v>21</v>
      </c>
      <c r="B2" s="1220"/>
      <c r="C2" s="1220"/>
      <c r="D2" s="1220"/>
      <c r="E2" s="1220"/>
      <c r="F2" s="1220"/>
      <c r="G2" s="1220"/>
      <c r="H2" s="1220"/>
      <c r="I2" s="1220"/>
      <c r="J2" s="1220"/>
      <c r="K2" s="1220"/>
      <c r="L2" s="1220"/>
      <c r="M2" s="1220"/>
      <c r="N2" s="1220"/>
      <c r="O2" s="1220"/>
      <c r="P2" s="49"/>
      <c r="Q2" s="50"/>
      <c r="R2" s="49"/>
    </row>
    <row r="3" spans="1:18" ht="15.6">
      <c r="A3" s="1225" t="s">
        <v>41</v>
      </c>
      <c r="B3" s="1225"/>
      <c r="C3" s="1225"/>
      <c r="D3" s="1225"/>
      <c r="E3" s="1225"/>
      <c r="F3" s="1225"/>
      <c r="G3" s="1225"/>
      <c r="H3" s="1225"/>
      <c r="I3" s="1225"/>
      <c r="J3" s="1225"/>
      <c r="K3" s="1225"/>
      <c r="L3" s="1225"/>
      <c r="M3" s="1225"/>
      <c r="N3" s="1225"/>
      <c r="O3" s="1225"/>
    </row>
    <row r="4" spans="1:18" ht="39" customHeight="1">
      <c r="A4" s="33" t="s">
        <v>22</v>
      </c>
      <c r="F4" s="34" t="s">
        <v>23</v>
      </c>
      <c r="H4" s="35" t="s">
        <v>24</v>
      </c>
      <c r="I4" s="36"/>
      <c r="J4" s="1221" t="s">
        <v>25</v>
      </c>
      <c r="K4" s="1217"/>
      <c r="M4" s="3" t="s">
        <v>26</v>
      </c>
      <c r="O4" s="37" t="s">
        <v>27</v>
      </c>
    </row>
    <row r="5" spans="1:18" ht="6.75" customHeight="1"/>
    <row r="6" spans="1:18" ht="15">
      <c r="B6" s="5" t="s">
        <v>6</v>
      </c>
      <c r="F6" s="38">
        <f>IF('Input (5)'!$E$4=0,"0",'Input (5)'!$E$4)</f>
        <v>19</v>
      </c>
      <c r="J6" s="1222">
        <f>IF('Input (5)'!E4=0,"0",'Input (5)'!E4)</f>
        <v>19</v>
      </c>
      <c r="K6" s="1222"/>
      <c r="L6" s="40" t="s">
        <v>28</v>
      </c>
      <c r="M6" s="41">
        <f>IF('Input (5)'!E4=0,0,LOOKUP(J6,'criteria (5)'!$A$3:$A$10,'criteria (5)'!$B$3:$B$10))</f>
        <v>40</v>
      </c>
      <c r="N6" s="42" t="s">
        <v>29</v>
      </c>
      <c r="O6" s="38">
        <f>IF(Q6=0,0,IF(Q6&lt;LOOKUP(J6,'criteria (5)'!$A$3:$A$10,'criteria (5)'!$C$3:$C$10),LOOKUP(J6,'criteria (5)'!$A$3:$A$10,'criteria (5)'!$C$3:$C$10),IF(LOOKUP(J6,'criteria (5)'!$A$3:$A$10,'criteria (5)'!$C$3:$C$10)=0,0,Q6)))</f>
        <v>0.6</v>
      </c>
      <c r="P6" s="28" t="str">
        <f>IF('Input (5)'!E4=0," ",IF(O6=0,"ADD to 1-6",IF(O6=Q6," ","Minimum")))</f>
        <v>Minimum</v>
      </c>
      <c r="Q6" s="32">
        <f>ROUND(IF('Input (5)'!E4=0,0,IF(M6=0,0,(J6/M6))),2)</f>
        <v>0.48</v>
      </c>
    </row>
    <row r="7" spans="1:18" ht="6.75" customHeight="1">
      <c r="J7" s="43"/>
      <c r="K7" s="43"/>
    </row>
    <row r="8" spans="1:18">
      <c r="B8" s="5" t="s">
        <v>7</v>
      </c>
      <c r="J8" s="43"/>
      <c r="K8" s="43"/>
    </row>
    <row r="9" spans="1:18">
      <c r="B9" s="28" t="s">
        <v>30</v>
      </c>
      <c r="J9" s="43"/>
      <c r="K9" s="43"/>
    </row>
    <row r="10" spans="1:18" ht="16.5" customHeight="1">
      <c r="C10" s="12" t="s">
        <v>8</v>
      </c>
      <c r="F10" s="41" t="str">
        <f>IF(J10=0," ",IF($J$15&gt;300," ",'Input (5)'!E7))</f>
        <v xml:space="preserve"> </v>
      </c>
      <c r="G10" s="44" t="s">
        <v>31</v>
      </c>
      <c r="H10" s="38" t="str">
        <f>IF(J10=0," ",'C (5)'!H25)</f>
        <v xml:space="preserve"> </v>
      </c>
      <c r="I10" s="42" t="s">
        <v>29</v>
      </c>
      <c r="J10" s="1222">
        <f>IF('Input (5)'!E7=0,0,IF(SUM('Input (5)'!E7-'C (5)'!H25)+SUM('Input (5)'!E8-'C (5)'!H26)&gt;299.99,SUM('Input (5)'!E7-'C (5)'!H25),0))</f>
        <v>0</v>
      </c>
      <c r="K10" s="1222"/>
      <c r="L10" s="40" t="s">
        <v>28</v>
      </c>
      <c r="M10" s="41">
        <f>IF(SUM('Input (5)'!$E$7-'C (5)'!$H$25)+SUM('Input (5)'!$E$8-'C (5)'!$H$26)&gt;299.99,20,0)</f>
        <v>0</v>
      </c>
      <c r="N10" s="42" t="s">
        <v>29</v>
      </c>
      <c r="O10" s="41">
        <f>ROUND(IF(SUM('Input (5)'!$E$7-'C (5)'!$H$25)+SUM('Input (5)'!$E$8-'C (5)'!$H$26)&lt;299.99,0,IF(Q10+Q12&lt;15,0,(J10/M10))),2)</f>
        <v>0</v>
      </c>
      <c r="P10" s="2" t="str">
        <f>IF(O10=0," ",IF(O10=Q10," ","Minimum"))</f>
        <v xml:space="preserve"> </v>
      </c>
      <c r="Q10" s="32">
        <f>ROUND(IF(SUM('Input (5)'!$E$7-'C (5)'!$H$25)+SUM('Input (5)'!$E$8-'C (5)'!$H$26)&lt;299.99,0,(J10/M10)),2)</f>
        <v>0</v>
      </c>
    </row>
    <row r="11" spans="1:18" ht="10.5" customHeight="1">
      <c r="B11" s="12"/>
      <c r="J11" s="43"/>
      <c r="K11" s="43"/>
    </row>
    <row r="12" spans="1:18" ht="15">
      <c r="C12" s="12" t="s">
        <v>9</v>
      </c>
      <c r="F12" s="41" t="str">
        <f>IF(J12=0," ",IF($J$15&gt;300," ",'Input (5)'!E8))</f>
        <v xml:space="preserve"> </v>
      </c>
      <c r="G12" s="44" t="s">
        <v>31</v>
      </c>
      <c r="H12" s="38" t="str">
        <f>IF(J12=0," ",'C (5)'!H26)</f>
        <v xml:space="preserve"> </v>
      </c>
      <c r="I12" s="42" t="s">
        <v>29</v>
      </c>
      <c r="J12" s="1222">
        <f>IF('Input (5)'!E8=0,0,IF(SUM('Input (5)'!E7-'C (5)'!H25)+SUM('Input (5)'!E8-'C (5)'!H26)&gt;299.99,SUM('Input (5)'!E8-'C (5)'!H26),0))</f>
        <v>0</v>
      </c>
      <c r="K12" s="1222"/>
      <c r="L12" s="40" t="s">
        <v>28</v>
      </c>
      <c r="M12" s="41">
        <f>IF(SUM('Input (5)'!$E$7-'C (5)'!$H$25)+SUM('Input (5)'!$E$8-'C (5)'!$H$26)&gt;299.99,23,0)</f>
        <v>0</v>
      </c>
      <c r="N12" s="42" t="s">
        <v>29</v>
      </c>
      <c r="O12" s="41">
        <f>ROUND(IF(SUM('Input (5)'!$E$7-'C (5)'!$H$25)+SUM('Input (5)'!$E$8-'C (5)'!$H$26)&lt;299.99,0,IF(Q10+Q12&lt;15,0,($J$12/$M$12))),2)</f>
        <v>0</v>
      </c>
      <c r="P12" s="2" t="str">
        <f>IF(O12=0," ",IF(O12=Q12," ","Minimum"))</f>
        <v xml:space="preserve"> </v>
      </c>
      <c r="Q12" s="32">
        <f>ROUND(IF(SUM('Input (5)'!$E$7-'C (5)'!$H$25)+SUM('Input (5)'!$E$8-'C (5)'!$H$26)&lt;299.99,0,($J$12/$M$12)),2)</f>
        <v>0</v>
      </c>
    </row>
    <row r="13" spans="1:18">
      <c r="O13" s="36" t="str">
        <f>IF(P13="Minimum",15," ")</f>
        <v xml:space="preserve"> </v>
      </c>
      <c r="P13" s="2" t="str">
        <f>IF(Q10+Q12=0," ",IF(Q10+Q12&lt;15,"Minimum"," "))</f>
        <v xml:space="preserve"> </v>
      </c>
    </row>
    <row r="14" spans="1:18">
      <c r="B14" s="5" t="s">
        <v>7</v>
      </c>
    </row>
    <row r="15" spans="1:18">
      <c r="B15" s="28" t="s">
        <v>32</v>
      </c>
    </row>
    <row r="16" spans="1:18" ht="15">
      <c r="C16" s="12" t="s">
        <v>33</v>
      </c>
      <c r="F16" s="41">
        <f>IF(J16=0," ",IF(J16&lt;300,SUM('Input (5)'!E7+'Input (5)'!E8)," "))</f>
        <v>98.8</v>
      </c>
      <c r="G16" s="44" t="s">
        <v>31</v>
      </c>
      <c r="H16" s="38">
        <f>IF(J16=0," ",'C (5)'!H22)</f>
        <v>7.4399999999999995</v>
      </c>
      <c r="I16" s="42" t="s">
        <v>29</v>
      </c>
      <c r="J16" s="1222">
        <f>IF('Input (5)'!E9=0,0,IF(SUM('Input (5)'!E7-'C (5)'!H25)+SUM('Input (5)'!E8-'C (5)'!H26)&lt;300,IF(P6="ADD to 1-6",SUM('Input (5)'!E7-'C (5)'!H25)+SUM('Input (5)'!E8-'C (5)'!H26)+'Input (5)'!E4,SUM('Input (5)'!E7-'C (5)'!H25)+SUM('Input (5)'!E8-'C (5)'!H26)),0))</f>
        <v>91.36</v>
      </c>
      <c r="K16" s="1222"/>
      <c r="L16" s="40" t="s">
        <v>28</v>
      </c>
      <c r="M16" s="41">
        <f>IF(J16=0,0,LOOKUP(J16,'criteria (5)'!$M$3:$M$11,'criteria (5)'!$N$3:$N$11))</f>
        <v>16</v>
      </c>
      <c r="N16" s="42" t="s">
        <v>29</v>
      </c>
      <c r="O16" s="38">
        <f>IF(Q16=0,0,IF(Q16&lt;LOOKUP(J16,'criteria (5)'!$M$3:$M$10,'criteria (5)'!$O$3:$O$10),LOOKUP(J16,'criteria (5)'!$M$3:$M$10,'criteria (5)'!$O$3:$O$10),Q16))</f>
        <v>5.71</v>
      </c>
      <c r="P16" s="2" t="str">
        <f>IF(O16=0," ",IF(O16=Q16," ","Minimum"))</f>
        <v xml:space="preserve"> </v>
      </c>
      <c r="Q16" s="32">
        <f>ROUND(IF('Input (5)'!E9=0,0,IF(SUM('Input (5)'!$E$7-'C (5)'!$H$25)+SUM('Input (5)'!$E$8-'C (5)'!$H$26)&gt;299.99,0,(J16/M16))),2)</f>
        <v>5.71</v>
      </c>
    </row>
    <row r="17" spans="1:17" ht="6" customHeight="1">
      <c r="J17" s="43"/>
      <c r="K17" s="43"/>
    </row>
    <row r="18" spans="1:17" ht="15">
      <c r="B18" s="5" t="s">
        <v>10</v>
      </c>
      <c r="F18" s="38">
        <f>IF('Input (5)'!$E$10=0,0,'Input (5)'!$E$10)</f>
        <v>133</v>
      </c>
      <c r="G18" s="44" t="s">
        <v>31</v>
      </c>
      <c r="H18" s="51"/>
      <c r="I18" s="42" t="s">
        <v>29</v>
      </c>
      <c r="J18" s="1222">
        <f>IF('Input (5)'!$E$10=0,0,'Input (5)'!$E$10)</f>
        <v>133</v>
      </c>
      <c r="K18" s="1222"/>
      <c r="L18" s="40" t="s">
        <v>28</v>
      </c>
      <c r="M18" s="41">
        <f>IF('Input (5)'!C10=0,0,IF(J18&gt;99.99,LOOKUP(J18,'criteria (5)'!Q3:Q10,'criteria (5)'!R3:R10),12))</f>
        <v>12</v>
      </c>
      <c r="N18" s="42" t="s">
        <v>29</v>
      </c>
      <c r="O18" s="41">
        <f>ROUND(IF(J18=0,0,IF(J18&lt;99.99,IF(M18=0,8,(J18/M18)),IF(Q18&lt;LOOKUP(J18,'criteria (5)'!$Q$3:$Q$10,'criteria (5)'!$S$3:$S$10),LOOKUP(J18,'criteria (5)'!$Q$3:$Q$10,'criteria (5)'!$S$3:$S$10),Q18))),2)</f>
        <v>11.08</v>
      </c>
      <c r="P18" s="2" t="str">
        <f>IF(O18=0," ",IF(O18=Q18," ","Minimum"))</f>
        <v xml:space="preserve"> </v>
      </c>
      <c r="Q18" s="32">
        <f>ROUND(IF(M18=0,0,(J18/M18)),2)</f>
        <v>11.08</v>
      </c>
    </row>
    <row r="19" spans="1:17">
      <c r="B19" s="5"/>
      <c r="J19" s="39"/>
      <c r="K19" s="39"/>
      <c r="M19" s="36"/>
      <c r="N19" s="42"/>
      <c r="O19" s="36"/>
    </row>
    <row r="20" spans="1:17" ht="15">
      <c r="A20" s="45" t="s">
        <v>34</v>
      </c>
      <c r="J20" s="43"/>
      <c r="K20" s="43"/>
    </row>
    <row r="21" spans="1:17" ht="3.75" customHeight="1">
      <c r="J21" s="43"/>
      <c r="K21" s="43"/>
    </row>
    <row r="22" spans="1:17">
      <c r="B22" s="2" t="s">
        <v>35</v>
      </c>
      <c r="J22" s="1222" t="str">
        <f>IF('C (5)'!H55=0," ",'C (5)'!H55)</f>
        <v xml:space="preserve"> </v>
      </c>
      <c r="K22" s="1222"/>
    </row>
    <row r="23" spans="1:17" ht="7.5" customHeight="1">
      <c r="J23" s="43"/>
      <c r="K23" s="43"/>
    </row>
    <row r="24" spans="1:17">
      <c r="B24" s="2" t="s">
        <v>36</v>
      </c>
      <c r="J24" s="1222">
        <f>IF('C (5)'!H22=0," ",'C (5)'!H22)</f>
        <v>7.4399999999999995</v>
      </c>
      <c r="K24" s="1222"/>
    </row>
    <row r="25" spans="1:17" ht="7.5" customHeight="1">
      <c r="J25" s="43"/>
      <c r="K25" s="43"/>
    </row>
    <row r="26" spans="1:17">
      <c r="B26" s="2" t="s">
        <v>37</v>
      </c>
      <c r="J26" s="1222">
        <f>0</f>
        <v>0</v>
      </c>
      <c r="K26" s="1222"/>
    </row>
    <row r="27" spans="1:17" ht="7.5" customHeight="1">
      <c r="J27" s="43"/>
      <c r="K27" s="43"/>
    </row>
    <row r="28" spans="1:17" ht="6" customHeight="1">
      <c r="J28" s="39"/>
      <c r="K28" s="39"/>
    </row>
    <row r="29" spans="1:17" ht="15.6" thickBot="1">
      <c r="B29" s="46" t="s">
        <v>38</v>
      </c>
      <c r="J29" s="1219">
        <f>SUM(J22:K27)</f>
        <v>7.4399999999999995</v>
      </c>
      <c r="K29" s="1219"/>
      <c r="L29" s="40" t="s">
        <v>28</v>
      </c>
      <c r="M29" s="41">
        <f>IF(SUM('Input (5)'!C4:C10)=0,0,IF(J29&gt;=14,LOOKUP(J29,'criteria (5)'!$U$3:$U$10,'criteria (5)'!$V$3:$V$10),0))</f>
        <v>0</v>
      </c>
      <c r="N29" s="42" t="s">
        <v>29</v>
      </c>
      <c r="O29" s="41">
        <f>IF(J29=0,0,IF(Q29&lt;LOOKUP(J29,'criteria (5)'!$U$3:$U$10,'criteria (5)'!$W$3:$W$10),LOOKUP(J29,'criteria (5)'!$U$3:$U$10,'criteria (5)'!$W$3:$W$10),Q29))</f>
        <v>0.5</v>
      </c>
      <c r="P29" s="2" t="str">
        <f>IF(O29=0," ",IF(O29=Q29," ","Minimum"))</f>
        <v>Minimum</v>
      </c>
      <c r="Q29" s="32">
        <f>ROUND(IF(SUM('Input (5)'!C4:C10)=0,0,IF(M29=0,0,(J29/M29))),2)</f>
        <v>0</v>
      </c>
    </row>
    <row r="30" spans="1:17" ht="11.25" customHeight="1" thickTop="1">
      <c r="B30" s="46"/>
      <c r="J30" s="39"/>
      <c r="K30" s="39"/>
      <c r="L30" s="40"/>
      <c r="M30" s="36"/>
      <c r="N30" s="42"/>
      <c r="O30" s="36"/>
    </row>
    <row r="31" spans="1:17" ht="19.5" customHeight="1">
      <c r="A31" s="48" t="s">
        <v>39</v>
      </c>
    </row>
    <row r="32" spans="1:17" ht="15">
      <c r="B32" s="1223" t="str">
        <f>IF('Input (5)'!E14=0," ","Alternative Secondary High School")</f>
        <v xml:space="preserve"> </v>
      </c>
      <c r="C32" s="1223"/>
      <c r="D32" s="1223"/>
      <c r="E32" s="1223"/>
      <c r="F32" s="1223"/>
      <c r="G32" s="1223"/>
      <c r="H32" s="1223"/>
      <c r="J32" s="1222">
        <f>'Input (5)'!E14</f>
        <v>0</v>
      </c>
      <c r="K32" s="1222"/>
      <c r="L32" s="40" t="s">
        <v>28</v>
      </c>
      <c r="M32" s="41">
        <f>IF(J32=0,0,IF(Q32&lt;1,M18,12))</f>
        <v>0</v>
      </c>
      <c r="N32" s="42" t="s">
        <v>29</v>
      </c>
      <c r="O32" s="38">
        <f>ROUND(IF(J32=0,0,J32/M32),2)</f>
        <v>0</v>
      </c>
      <c r="P32" s="45"/>
      <c r="Q32" s="32">
        <f>ROUND(IF(J32=0,0,J32/12),2)</f>
        <v>0</v>
      </c>
    </row>
    <row r="33" spans="1:17" ht="11.25" customHeight="1">
      <c r="J33" s="43"/>
      <c r="K33" s="43"/>
      <c r="O33" s="43"/>
    </row>
    <row r="34" spans="1:17" ht="11.25" customHeight="1">
      <c r="B34" s="1223" t="str">
        <f>IF('Input (5)'!E15=0," ","Summer Alternative Secondary High School")</f>
        <v xml:space="preserve"> </v>
      </c>
      <c r="C34" s="1223"/>
      <c r="D34" s="1223"/>
      <c r="E34" s="1223"/>
      <c r="F34" s="1223"/>
      <c r="G34" s="1223"/>
      <c r="J34" s="1222">
        <f>'Input (5)'!E15</f>
        <v>0</v>
      </c>
      <c r="K34" s="1222"/>
      <c r="L34" s="40" t="s">
        <v>28</v>
      </c>
      <c r="M34" s="41">
        <f>IF(J34=0,0,40)</f>
        <v>0</v>
      </c>
      <c r="N34" s="42" t="s">
        <v>29</v>
      </c>
      <c r="O34" s="38">
        <f>ROUND(IF(J34=0,0,J34/M34),2)</f>
        <v>0</v>
      </c>
      <c r="P34" s="45"/>
      <c r="Q34" s="32">
        <f>ROUND(IF(J34=0,0,J34/12),2)</f>
        <v>0</v>
      </c>
    </row>
    <row r="35" spans="1:17" ht="13.5" customHeight="1">
      <c r="J35" s="36"/>
      <c r="K35" s="36"/>
      <c r="L35" s="40"/>
      <c r="M35" s="36"/>
      <c r="N35" s="42"/>
      <c r="O35" s="36"/>
      <c r="P35" s="46"/>
    </row>
    <row r="36" spans="1:17" ht="18.75" customHeight="1" thickBot="1">
      <c r="A36" s="45"/>
      <c r="B36" s="12" t="s">
        <v>40</v>
      </c>
      <c r="C36" s="46"/>
      <c r="D36" s="46"/>
      <c r="E36" s="46"/>
      <c r="F36" s="46"/>
      <c r="G36" s="46"/>
      <c r="H36" s="46"/>
      <c r="I36" s="46"/>
      <c r="J36" s="46"/>
      <c r="K36" s="46"/>
      <c r="M36" s="36" t="s">
        <v>29</v>
      </c>
      <c r="N36" s="1224">
        <f>ROUND(IF(SUM(O6:O34)=0,0,SUM(O6:O34)),2)</f>
        <v>17.89</v>
      </c>
      <c r="O36" s="1224"/>
    </row>
    <row r="37" spans="1:17" ht="13.8" thickTop="1">
      <c r="M37" s="1218" t="str">
        <f>IF(N36=0," ",IF(N36&lt;'Current Year (5)'!N36,"Do Not Use","You May Use this Calculation"))</f>
        <v>You May Use this Calculation</v>
      </c>
      <c r="N37" s="1218"/>
      <c r="O37" s="1218"/>
      <c r="P37" s="1218"/>
    </row>
  </sheetData>
  <sheetProtection password="CC16" sheet="1" objects="1" scenarios="1"/>
  <mergeCells count="19">
    <mergeCell ref="M37:P37"/>
    <mergeCell ref="J29:K29"/>
    <mergeCell ref="B32:H32"/>
    <mergeCell ref="J32:K32"/>
    <mergeCell ref="B34:G34"/>
    <mergeCell ref="J34:K34"/>
    <mergeCell ref="N36:O36"/>
    <mergeCell ref="J26:K26"/>
    <mergeCell ref="A1:O1"/>
    <mergeCell ref="A2:O2"/>
    <mergeCell ref="A3:O3"/>
    <mergeCell ref="J4:K4"/>
    <mergeCell ref="J6:K6"/>
    <mergeCell ref="J10:K10"/>
    <mergeCell ref="J12:K12"/>
    <mergeCell ref="J16:K16"/>
    <mergeCell ref="J18:K18"/>
    <mergeCell ref="J22:K22"/>
    <mergeCell ref="J24:K24"/>
  </mergeCells>
  <conditionalFormatting sqref="M37:P37">
    <cfRule type="cellIs" dxfId="24" priority="1" stopIfTrue="1" operator="equal">
      <formula>"Do Not Use"</formula>
    </cfRule>
    <cfRule type="cellIs" dxfId="23" priority="2" stopIfTrue="1" operator="equal">
      <formula>"You May Use this Calculation"</formula>
    </cfRule>
  </conditionalFormatting>
  <pageMargins left="0.5" right="0.5" top="0.5" bottom="0.5" header="0.25" footer="0.25"/>
  <pageSetup scale="82" orientation="portrait" r:id="rId1"/>
  <headerFooter alignWithMargins="0">
    <oddFooter>&amp;L&amp;F</oddFooter>
  </headerFooter>
  <colBreaks count="1" manualBreakCount="1">
    <brk id="16"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7"/>
  <dimension ref="A1:R37"/>
  <sheetViews>
    <sheetView showGridLines="0" zoomScale="90" zoomScaleNormal="100" workbookViewId="0">
      <selection activeCell="C4" sqref="C4"/>
    </sheetView>
  </sheetViews>
  <sheetFormatPr defaultRowHeight="13.2"/>
  <cols>
    <col min="1" max="1" width="4.21875" style="30" customWidth="1"/>
    <col min="2" max="2" width="2.5546875" style="2" customWidth="1"/>
    <col min="3" max="4" width="8.77734375" style="2"/>
    <col min="5" max="5" width="7.21875" style="2" customWidth="1"/>
    <col min="6" max="6" width="8.21875" style="2" customWidth="1"/>
    <col min="7" max="8" width="10.21875" style="2" customWidth="1"/>
    <col min="9" max="9" width="3.77734375" style="2" customWidth="1"/>
    <col min="10" max="10" width="8.77734375" style="2"/>
    <col min="11" max="11" width="6.21875" style="2" customWidth="1"/>
    <col min="12" max="12" width="5.5546875" style="2" customWidth="1"/>
    <col min="13" max="13" width="10.77734375" style="2" customWidth="1"/>
    <col min="14" max="14" width="8.21875" style="2" customWidth="1"/>
    <col min="15" max="15" width="12.21875" style="2" customWidth="1"/>
    <col min="16" max="16" width="10.21875" style="2" customWidth="1"/>
    <col min="17" max="17" width="9.21875" style="32" customWidth="1"/>
    <col min="18" max="256" width="8.77734375" style="2"/>
    <col min="257" max="257" width="4.21875" style="2" customWidth="1"/>
    <col min="258" max="258" width="2.5546875" style="2" customWidth="1"/>
    <col min="259" max="260" width="8.77734375" style="2"/>
    <col min="261" max="261" width="7.21875" style="2" customWidth="1"/>
    <col min="262" max="262" width="8.21875" style="2" customWidth="1"/>
    <col min="263" max="264" width="10.21875" style="2" customWidth="1"/>
    <col min="265" max="265" width="3.77734375" style="2" customWidth="1"/>
    <col min="266" max="266" width="8.77734375" style="2"/>
    <col min="267" max="267" width="6.21875" style="2" customWidth="1"/>
    <col min="268" max="268" width="5.5546875" style="2" customWidth="1"/>
    <col min="269" max="269" width="10.77734375" style="2" customWidth="1"/>
    <col min="270" max="270" width="8.21875" style="2" customWidth="1"/>
    <col min="271" max="271" width="12.21875" style="2" customWidth="1"/>
    <col min="272" max="272" width="10.21875" style="2" customWidth="1"/>
    <col min="273" max="273" width="9.21875" style="2" customWidth="1"/>
    <col min="274" max="512" width="8.77734375" style="2"/>
    <col min="513" max="513" width="4.21875" style="2" customWidth="1"/>
    <col min="514" max="514" width="2.5546875" style="2" customWidth="1"/>
    <col min="515" max="516" width="8.77734375" style="2"/>
    <col min="517" max="517" width="7.21875" style="2" customWidth="1"/>
    <col min="518" max="518" width="8.21875" style="2" customWidth="1"/>
    <col min="519" max="520" width="10.21875" style="2" customWidth="1"/>
    <col min="521" max="521" width="3.77734375" style="2" customWidth="1"/>
    <col min="522" max="522" width="8.77734375" style="2"/>
    <col min="523" max="523" width="6.21875" style="2" customWidth="1"/>
    <col min="524" max="524" width="5.5546875" style="2" customWidth="1"/>
    <col min="525" max="525" width="10.77734375" style="2" customWidth="1"/>
    <col min="526" max="526" width="8.21875" style="2" customWidth="1"/>
    <col min="527" max="527" width="12.21875" style="2" customWidth="1"/>
    <col min="528" max="528" width="10.21875" style="2" customWidth="1"/>
    <col min="529" max="529" width="9.21875" style="2" customWidth="1"/>
    <col min="530" max="768" width="8.77734375" style="2"/>
    <col min="769" max="769" width="4.21875" style="2" customWidth="1"/>
    <col min="770" max="770" width="2.5546875" style="2" customWidth="1"/>
    <col min="771" max="772" width="8.77734375" style="2"/>
    <col min="773" max="773" width="7.21875" style="2" customWidth="1"/>
    <col min="774" max="774" width="8.21875" style="2" customWidth="1"/>
    <col min="775" max="776" width="10.21875" style="2" customWidth="1"/>
    <col min="777" max="777" width="3.77734375" style="2" customWidth="1"/>
    <col min="778" max="778" width="8.77734375" style="2"/>
    <col min="779" max="779" width="6.21875" style="2" customWidth="1"/>
    <col min="780" max="780" width="5.5546875" style="2" customWidth="1"/>
    <col min="781" max="781" width="10.77734375" style="2" customWidth="1"/>
    <col min="782" max="782" width="8.21875" style="2" customWidth="1"/>
    <col min="783" max="783" width="12.21875" style="2" customWidth="1"/>
    <col min="784" max="784" width="10.21875" style="2" customWidth="1"/>
    <col min="785" max="785" width="9.21875" style="2" customWidth="1"/>
    <col min="786" max="1024" width="8.77734375" style="2"/>
    <col min="1025" max="1025" width="4.21875" style="2" customWidth="1"/>
    <col min="1026" max="1026" width="2.5546875" style="2" customWidth="1"/>
    <col min="1027" max="1028" width="8.77734375" style="2"/>
    <col min="1029" max="1029" width="7.21875" style="2" customWidth="1"/>
    <col min="1030" max="1030" width="8.21875" style="2" customWidth="1"/>
    <col min="1031" max="1032" width="10.21875" style="2" customWidth="1"/>
    <col min="1033" max="1033" width="3.77734375" style="2" customWidth="1"/>
    <col min="1034" max="1034" width="8.77734375" style="2"/>
    <col min="1035" max="1035" width="6.21875" style="2" customWidth="1"/>
    <col min="1036" max="1036" width="5.5546875" style="2" customWidth="1"/>
    <col min="1037" max="1037" width="10.77734375" style="2" customWidth="1"/>
    <col min="1038" max="1038" width="8.21875" style="2" customWidth="1"/>
    <col min="1039" max="1039" width="12.21875" style="2" customWidth="1"/>
    <col min="1040" max="1040" width="10.21875" style="2" customWidth="1"/>
    <col min="1041" max="1041" width="9.21875" style="2" customWidth="1"/>
    <col min="1042" max="1280" width="8.77734375" style="2"/>
    <col min="1281" max="1281" width="4.21875" style="2" customWidth="1"/>
    <col min="1282" max="1282" width="2.5546875" style="2" customWidth="1"/>
    <col min="1283" max="1284" width="8.77734375" style="2"/>
    <col min="1285" max="1285" width="7.21875" style="2" customWidth="1"/>
    <col min="1286" max="1286" width="8.21875" style="2" customWidth="1"/>
    <col min="1287" max="1288" width="10.21875" style="2" customWidth="1"/>
    <col min="1289" max="1289" width="3.77734375" style="2" customWidth="1"/>
    <col min="1290" max="1290" width="8.77734375" style="2"/>
    <col min="1291" max="1291" width="6.21875" style="2" customWidth="1"/>
    <col min="1292" max="1292" width="5.5546875" style="2" customWidth="1"/>
    <col min="1293" max="1293" width="10.77734375" style="2" customWidth="1"/>
    <col min="1294" max="1294" width="8.21875" style="2" customWidth="1"/>
    <col min="1295" max="1295" width="12.21875" style="2" customWidth="1"/>
    <col min="1296" max="1296" width="10.21875" style="2" customWidth="1"/>
    <col min="1297" max="1297" width="9.21875" style="2" customWidth="1"/>
    <col min="1298" max="1536" width="8.77734375" style="2"/>
    <col min="1537" max="1537" width="4.21875" style="2" customWidth="1"/>
    <col min="1538" max="1538" width="2.5546875" style="2" customWidth="1"/>
    <col min="1539" max="1540" width="8.77734375" style="2"/>
    <col min="1541" max="1541" width="7.21875" style="2" customWidth="1"/>
    <col min="1542" max="1542" width="8.21875" style="2" customWidth="1"/>
    <col min="1543" max="1544" width="10.21875" style="2" customWidth="1"/>
    <col min="1545" max="1545" width="3.77734375" style="2" customWidth="1"/>
    <col min="1546" max="1546" width="8.77734375" style="2"/>
    <col min="1547" max="1547" width="6.21875" style="2" customWidth="1"/>
    <col min="1548" max="1548" width="5.5546875" style="2" customWidth="1"/>
    <col min="1549" max="1549" width="10.77734375" style="2" customWidth="1"/>
    <col min="1550" max="1550" width="8.21875" style="2" customWidth="1"/>
    <col min="1551" max="1551" width="12.21875" style="2" customWidth="1"/>
    <col min="1552" max="1552" width="10.21875" style="2" customWidth="1"/>
    <col min="1553" max="1553" width="9.21875" style="2" customWidth="1"/>
    <col min="1554" max="1792" width="8.77734375" style="2"/>
    <col min="1793" max="1793" width="4.21875" style="2" customWidth="1"/>
    <col min="1794" max="1794" width="2.5546875" style="2" customWidth="1"/>
    <col min="1795" max="1796" width="8.77734375" style="2"/>
    <col min="1797" max="1797" width="7.21875" style="2" customWidth="1"/>
    <col min="1798" max="1798" width="8.21875" style="2" customWidth="1"/>
    <col min="1799" max="1800" width="10.21875" style="2" customWidth="1"/>
    <col min="1801" max="1801" width="3.77734375" style="2" customWidth="1"/>
    <col min="1802" max="1802" width="8.77734375" style="2"/>
    <col min="1803" max="1803" width="6.21875" style="2" customWidth="1"/>
    <col min="1804" max="1804" width="5.5546875" style="2" customWidth="1"/>
    <col min="1805" max="1805" width="10.77734375" style="2" customWidth="1"/>
    <col min="1806" max="1806" width="8.21875" style="2" customWidth="1"/>
    <col min="1807" max="1807" width="12.21875" style="2" customWidth="1"/>
    <col min="1808" max="1808" width="10.21875" style="2" customWidth="1"/>
    <col min="1809" max="1809" width="9.21875" style="2" customWidth="1"/>
    <col min="1810" max="2048" width="8.77734375" style="2"/>
    <col min="2049" max="2049" width="4.21875" style="2" customWidth="1"/>
    <col min="2050" max="2050" width="2.5546875" style="2" customWidth="1"/>
    <col min="2051" max="2052" width="8.77734375" style="2"/>
    <col min="2053" max="2053" width="7.21875" style="2" customWidth="1"/>
    <col min="2054" max="2054" width="8.21875" style="2" customWidth="1"/>
    <col min="2055" max="2056" width="10.21875" style="2" customWidth="1"/>
    <col min="2057" max="2057" width="3.77734375" style="2" customWidth="1"/>
    <col min="2058" max="2058" width="8.77734375" style="2"/>
    <col min="2059" max="2059" width="6.21875" style="2" customWidth="1"/>
    <col min="2060" max="2060" width="5.5546875" style="2" customWidth="1"/>
    <col min="2061" max="2061" width="10.77734375" style="2" customWidth="1"/>
    <col min="2062" max="2062" width="8.21875" style="2" customWidth="1"/>
    <col min="2063" max="2063" width="12.21875" style="2" customWidth="1"/>
    <col min="2064" max="2064" width="10.21875" style="2" customWidth="1"/>
    <col min="2065" max="2065" width="9.21875" style="2" customWidth="1"/>
    <col min="2066" max="2304" width="8.77734375" style="2"/>
    <col min="2305" max="2305" width="4.21875" style="2" customWidth="1"/>
    <col min="2306" max="2306" width="2.5546875" style="2" customWidth="1"/>
    <col min="2307" max="2308" width="8.77734375" style="2"/>
    <col min="2309" max="2309" width="7.21875" style="2" customWidth="1"/>
    <col min="2310" max="2310" width="8.21875" style="2" customWidth="1"/>
    <col min="2311" max="2312" width="10.21875" style="2" customWidth="1"/>
    <col min="2313" max="2313" width="3.77734375" style="2" customWidth="1"/>
    <col min="2314" max="2314" width="8.77734375" style="2"/>
    <col min="2315" max="2315" width="6.21875" style="2" customWidth="1"/>
    <col min="2316" max="2316" width="5.5546875" style="2" customWidth="1"/>
    <col min="2317" max="2317" width="10.77734375" style="2" customWidth="1"/>
    <col min="2318" max="2318" width="8.21875" style="2" customWidth="1"/>
    <col min="2319" max="2319" width="12.21875" style="2" customWidth="1"/>
    <col min="2320" max="2320" width="10.21875" style="2" customWidth="1"/>
    <col min="2321" max="2321" width="9.21875" style="2" customWidth="1"/>
    <col min="2322" max="2560" width="8.77734375" style="2"/>
    <col min="2561" max="2561" width="4.21875" style="2" customWidth="1"/>
    <col min="2562" max="2562" width="2.5546875" style="2" customWidth="1"/>
    <col min="2563" max="2564" width="8.77734375" style="2"/>
    <col min="2565" max="2565" width="7.21875" style="2" customWidth="1"/>
    <col min="2566" max="2566" width="8.21875" style="2" customWidth="1"/>
    <col min="2567" max="2568" width="10.21875" style="2" customWidth="1"/>
    <col min="2569" max="2569" width="3.77734375" style="2" customWidth="1"/>
    <col min="2570" max="2570" width="8.77734375" style="2"/>
    <col min="2571" max="2571" width="6.21875" style="2" customWidth="1"/>
    <col min="2572" max="2572" width="5.5546875" style="2" customWidth="1"/>
    <col min="2573" max="2573" width="10.77734375" style="2" customWidth="1"/>
    <col min="2574" max="2574" width="8.21875" style="2" customWidth="1"/>
    <col min="2575" max="2575" width="12.21875" style="2" customWidth="1"/>
    <col min="2576" max="2576" width="10.21875" style="2" customWidth="1"/>
    <col min="2577" max="2577" width="9.21875" style="2" customWidth="1"/>
    <col min="2578" max="2816" width="8.77734375" style="2"/>
    <col min="2817" max="2817" width="4.21875" style="2" customWidth="1"/>
    <col min="2818" max="2818" width="2.5546875" style="2" customWidth="1"/>
    <col min="2819" max="2820" width="8.77734375" style="2"/>
    <col min="2821" max="2821" width="7.21875" style="2" customWidth="1"/>
    <col min="2822" max="2822" width="8.21875" style="2" customWidth="1"/>
    <col min="2823" max="2824" width="10.21875" style="2" customWidth="1"/>
    <col min="2825" max="2825" width="3.77734375" style="2" customWidth="1"/>
    <col min="2826" max="2826" width="8.77734375" style="2"/>
    <col min="2827" max="2827" width="6.21875" style="2" customWidth="1"/>
    <col min="2828" max="2828" width="5.5546875" style="2" customWidth="1"/>
    <col min="2829" max="2829" width="10.77734375" style="2" customWidth="1"/>
    <col min="2830" max="2830" width="8.21875" style="2" customWidth="1"/>
    <col min="2831" max="2831" width="12.21875" style="2" customWidth="1"/>
    <col min="2832" max="2832" width="10.21875" style="2" customWidth="1"/>
    <col min="2833" max="2833" width="9.21875" style="2" customWidth="1"/>
    <col min="2834" max="3072" width="8.77734375" style="2"/>
    <col min="3073" max="3073" width="4.21875" style="2" customWidth="1"/>
    <col min="3074" max="3074" width="2.5546875" style="2" customWidth="1"/>
    <col min="3075" max="3076" width="8.77734375" style="2"/>
    <col min="3077" max="3077" width="7.21875" style="2" customWidth="1"/>
    <col min="3078" max="3078" width="8.21875" style="2" customWidth="1"/>
    <col min="3079" max="3080" width="10.21875" style="2" customWidth="1"/>
    <col min="3081" max="3081" width="3.77734375" style="2" customWidth="1"/>
    <col min="3082" max="3082" width="8.77734375" style="2"/>
    <col min="3083" max="3083" width="6.21875" style="2" customWidth="1"/>
    <col min="3084" max="3084" width="5.5546875" style="2" customWidth="1"/>
    <col min="3085" max="3085" width="10.77734375" style="2" customWidth="1"/>
    <col min="3086" max="3086" width="8.21875" style="2" customWidth="1"/>
    <col min="3087" max="3087" width="12.21875" style="2" customWidth="1"/>
    <col min="3088" max="3088" width="10.21875" style="2" customWidth="1"/>
    <col min="3089" max="3089" width="9.21875" style="2" customWidth="1"/>
    <col min="3090" max="3328" width="8.77734375" style="2"/>
    <col min="3329" max="3329" width="4.21875" style="2" customWidth="1"/>
    <col min="3330" max="3330" width="2.5546875" style="2" customWidth="1"/>
    <col min="3331" max="3332" width="8.77734375" style="2"/>
    <col min="3333" max="3333" width="7.21875" style="2" customWidth="1"/>
    <col min="3334" max="3334" width="8.21875" style="2" customWidth="1"/>
    <col min="3335" max="3336" width="10.21875" style="2" customWidth="1"/>
    <col min="3337" max="3337" width="3.77734375" style="2" customWidth="1"/>
    <col min="3338" max="3338" width="8.77734375" style="2"/>
    <col min="3339" max="3339" width="6.21875" style="2" customWidth="1"/>
    <col min="3340" max="3340" width="5.5546875" style="2" customWidth="1"/>
    <col min="3341" max="3341" width="10.77734375" style="2" customWidth="1"/>
    <col min="3342" max="3342" width="8.21875" style="2" customWidth="1"/>
    <col min="3343" max="3343" width="12.21875" style="2" customWidth="1"/>
    <col min="3344" max="3344" width="10.21875" style="2" customWidth="1"/>
    <col min="3345" max="3345" width="9.21875" style="2" customWidth="1"/>
    <col min="3346" max="3584" width="8.77734375" style="2"/>
    <col min="3585" max="3585" width="4.21875" style="2" customWidth="1"/>
    <col min="3586" max="3586" width="2.5546875" style="2" customWidth="1"/>
    <col min="3587" max="3588" width="8.77734375" style="2"/>
    <col min="3589" max="3589" width="7.21875" style="2" customWidth="1"/>
    <col min="3590" max="3590" width="8.21875" style="2" customWidth="1"/>
    <col min="3591" max="3592" width="10.21875" style="2" customWidth="1"/>
    <col min="3593" max="3593" width="3.77734375" style="2" customWidth="1"/>
    <col min="3594" max="3594" width="8.77734375" style="2"/>
    <col min="3595" max="3595" width="6.21875" style="2" customWidth="1"/>
    <col min="3596" max="3596" width="5.5546875" style="2" customWidth="1"/>
    <col min="3597" max="3597" width="10.77734375" style="2" customWidth="1"/>
    <col min="3598" max="3598" width="8.21875" style="2" customWidth="1"/>
    <col min="3599" max="3599" width="12.21875" style="2" customWidth="1"/>
    <col min="3600" max="3600" width="10.21875" style="2" customWidth="1"/>
    <col min="3601" max="3601" width="9.21875" style="2" customWidth="1"/>
    <col min="3602" max="3840" width="8.77734375" style="2"/>
    <col min="3841" max="3841" width="4.21875" style="2" customWidth="1"/>
    <col min="3842" max="3842" width="2.5546875" style="2" customWidth="1"/>
    <col min="3843" max="3844" width="8.77734375" style="2"/>
    <col min="3845" max="3845" width="7.21875" style="2" customWidth="1"/>
    <col min="3846" max="3846" width="8.21875" style="2" customWidth="1"/>
    <col min="3847" max="3848" width="10.21875" style="2" customWidth="1"/>
    <col min="3849" max="3849" width="3.77734375" style="2" customWidth="1"/>
    <col min="3850" max="3850" width="8.77734375" style="2"/>
    <col min="3851" max="3851" width="6.21875" style="2" customWidth="1"/>
    <col min="3852" max="3852" width="5.5546875" style="2" customWidth="1"/>
    <col min="3853" max="3853" width="10.77734375" style="2" customWidth="1"/>
    <col min="3854" max="3854" width="8.21875" style="2" customWidth="1"/>
    <col min="3855" max="3855" width="12.21875" style="2" customWidth="1"/>
    <col min="3856" max="3856" width="10.21875" style="2" customWidth="1"/>
    <col min="3857" max="3857" width="9.21875" style="2" customWidth="1"/>
    <col min="3858" max="4096" width="8.77734375" style="2"/>
    <col min="4097" max="4097" width="4.21875" style="2" customWidth="1"/>
    <col min="4098" max="4098" width="2.5546875" style="2" customWidth="1"/>
    <col min="4099" max="4100" width="8.77734375" style="2"/>
    <col min="4101" max="4101" width="7.21875" style="2" customWidth="1"/>
    <col min="4102" max="4102" width="8.21875" style="2" customWidth="1"/>
    <col min="4103" max="4104" width="10.21875" style="2" customWidth="1"/>
    <col min="4105" max="4105" width="3.77734375" style="2" customWidth="1"/>
    <col min="4106" max="4106" width="8.77734375" style="2"/>
    <col min="4107" max="4107" width="6.21875" style="2" customWidth="1"/>
    <col min="4108" max="4108" width="5.5546875" style="2" customWidth="1"/>
    <col min="4109" max="4109" width="10.77734375" style="2" customWidth="1"/>
    <col min="4110" max="4110" width="8.21875" style="2" customWidth="1"/>
    <col min="4111" max="4111" width="12.21875" style="2" customWidth="1"/>
    <col min="4112" max="4112" width="10.21875" style="2" customWidth="1"/>
    <col min="4113" max="4113" width="9.21875" style="2" customWidth="1"/>
    <col min="4114" max="4352" width="8.77734375" style="2"/>
    <col min="4353" max="4353" width="4.21875" style="2" customWidth="1"/>
    <col min="4354" max="4354" width="2.5546875" style="2" customWidth="1"/>
    <col min="4355" max="4356" width="8.77734375" style="2"/>
    <col min="4357" max="4357" width="7.21875" style="2" customWidth="1"/>
    <col min="4358" max="4358" width="8.21875" style="2" customWidth="1"/>
    <col min="4359" max="4360" width="10.21875" style="2" customWidth="1"/>
    <col min="4361" max="4361" width="3.77734375" style="2" customWidth="1"/>
    <col min="4362" max="4362" width="8.77734375" style="2"/>
    <col min="4363" max="4363" width="6.21875" style="2" customWidth="1"/>
    <col min="4364" max="4364" width="5.5546875" style="2" customWidth="1"/>
    <col min="4365" max="4365" width="10.77734375" style="2" customWidth="1"/>
    <col min="4366" max="4366" width="8.21875" style="2" customWidth="1"/>
    <col min="4367" max="4367" width="12.21875" style="2" customWidth="1"/>
    <col min="4368" max="4368" width="10.21875" style="2" customWidth="1"/>
    <col min="4369" max="4369" width="9.21875" style="2" customWidth="1"/>
    <col min="4370" max="4608" width="8.77734375" style="2"/>
    <col min="4609" max="4609" width="4.21875" style="2" customWidth="1"/>
    <col min="4610" max="4610" width="2.5546875" style="2" customWidth="1"/>
    <col min="4611" max="4612" width="8.77734375" style="2"/>
    <col min="4613" max="4613" width="7.21875" style="2" customWidth="1"/>
    <col min="4614" max="4614" width="8.21875" style="2" customWidth="1"/>
    <col min="4615" max="4616" width="10.21875" style="2" customWidth="1"/>
    <col min="4617" max="4617" width="3.77734375" style="2" customWidth="1"/>
    <col min="4618" max="4618" width="8.77734375" style="2"/>
    <col min="4619" max="4619" width="6.21875" style="2" customWidth="1"/>
    <col min="4620" max="4620" width="5.5546875" style="2" customWidth="1"/>
    <col min="4621" max="4621" width="10.77734375" style="2" customWidth="1"/>
    <col min="4622" max="4622" width="8.21875" style="2" customWidth="1"/>
    <col min="4623" max="4623" width="12.21875" style="2" customWidth="1"/>
    <col min="4624" max="4624" width="10.21875" style="2" customWidth="1"/>
    <col min="4625" max="4625" width="9.21875" style="2" customWidth="1"/>
    <col min="4626" max="4864" width="8.77734375" style="2"/>
    <col min="4865" max="4865" width="4.21875" style="2" customWidth="1"/>
    <col min="4866" max="4866" width="2.5546875" style="2" customWidth="1"/>
    <col min="4867" max="4868" width="8.77734375" style="2"/>
    <col min="4869" max="4869" width="7.21875" style="2" customWidth="1"/>
    <col min="4870" max="4870" width="8.21875" style="2" customWidth="1"/>
    <col min="4871" max="4872" width="10.21875" style="2" customWidth="1"/>
    <col min="4873" max="4873" width="3.77734375" style="2" customWidth="1"/>
    <col min="4874" max="4874" width="8.77734375" style="2"/>
    <col min="4875" max="4875" width="6.21875" style="2" customWidth="1"/>
    <col min="4876" max="4876" width="5.5546875" style="2" customWidth="1"/>
    <col min="4877" max="4877" width="10.77734375" style="2" customWidth="1"/>
    <col min="4878" max="4878" width="8.21875" style="2" customWidth="1"/>
    <col min="4879" max="4879" width="12.21875" style="2" customWidth="1"/>
    <col min="4880" max="4880" width="10.21875" style="2" customWidth="1"/>
    <col min="4881" max="4881" width="9.21875" style="2" customWidth="1"/>
    <col min="4882" max="5120" width="8.77734375" style="2"/>
    <col min="5121" max="5121" width="4.21875" style="2" customWidth="1"/>
    <col min="5122" max="5122" width="2.5546875" style="2" customWidth="1"/>
    <col min="5123" max="5124" width="8.77734375" style="2"/>
    <col min="5125" max="5125" width="7.21875" style="2" customWidth="1"/>
    <col min="5126" max="5126" width="8.21875" style="2" customWidth="1"/>
    <col min="5127" max="5128" width="10.21875" style="2" customWidth="1"/>
    <col min="5129" max="5129" width="3.77734375" style="2" customWidth="1"/>
    <col min="5130" max="5130" width="8.77734375" style="2"/>
    <col min="5131" max="5131" width="6.21875" style="2" customWidth="1"/>
    <col min="5132" max="5132" width="5.5546875" style="2" customWidth="1"/>
    <col min="5133" max="5133" width="10.77734375" style="2" customWidth="1"/>
    <col min="5134" max="5134" width="8.21875" style="2" customWidth="1"/>
    <col min="5135" max="5135" width="12.21875" style="2" customWidth="1"/>
    <col min="5136" max="5136" width="10.21875" style="2" customWidth="1"/>
    <col min="5137" max="5137" width="9.21875" style="2" customWidth="1"/>
    <col min="5138" max="5376" width="8.77734375" style="2"/>
    <col min="5377" max="5377" width="4.21875" style="2" customWidth="1"/>
    <col min="5378" max="5378" width="2.5546875" style="2" customWidth="1"/>
    <col min="5379" max="5380" width="8.77734375" style="2"/>
    <col min="5381" max="5381" width="7.21875" style="2" customWidth="1"/>
    <col min="5382" max="5382" width="8.21875" style="2" customWidth="1"/>
    <col min="5383" max="5384" width="10.21875" style="2" customWidth="1"/>
    <col min="5385" max="5385" width="3.77734375" style="2" customWidth="1"/>
    <col min="5386" max="5386" width="8.77734375" style="2"/>
    <col min="5387" max="5387" width="6.21875" style="2" customWidth="1"/>
    <col min="5388" max="5388" width="5.5546875" style="2" customWidth="1"/>
    <col min="5389" max="5389" width="10.77734375" style="2" customWidth="1"/>
    <col min="5390" max="5390" width="8.21875" style="2" customWidth="1"/>
    <col min="5391" max="5391" width="12.21875" style="2" customWidth="1"/>
    <col min="5392" max="5392" width="10.21875" style="2" customWidth="1"/>
    <col min="5393" max="5393" width="9.21875" style="2" customWidth="1"/>
    <col min="5394" max="5632" width="8.77734375" style="2"/>
    <col min="5633" max="5633" width="4.21875" style="2" customWidth="1"/>
    <col min="5634" max="5634" width="2.5546875" style="2" customWidth="1"/>
    <col min="5635" max="5636" width="8.77734375" style="2"/>
    <col min="5637" max="5637" width="7.21875" style="2" customWidth="1"/>
    <col min="5638" max="5638" width="8.21875" style="2" customWidth="1"/>
    <col min="5639" max="5640" width="10.21875" style="2" customWidth="1"/>
    <col min="5641" max="5641" width="3.77734375" style="2" customWidth="1"/>
    <col min="5642" max="5642" width="8.77734375" style="2"/>
    <col min="5643" max="5643" width="6.21875" style="2" customWidth="1"/>
    <col min="5644" max="5644" width="5.5546875" style="2" customWidth="1"/>
    <col min="5645" max="5645" width="10.77734375" style="2" customWidth="1"/>
    <col min="5646" max="5646" width="8.21875" style="2" customWidth="1"/>
    <col min="5647" max="5647" width="12.21875" style="2" customWidth="1"/>
    <col min="5648" max="5648" width="10.21875" style="2" customWidth="1"/>
    <col min="5649" max="5649" width="9.21875" style="2" customWidth="1"/>
    <col min="5650" max="5888" width="8.77734375" style="2"/>
    <col min="5889" max="5889" width="4.21875" style="2" customWidth="1"/>
    <col min="5890" max="5890" width="2.5546875" style="2" customWidth="1"/>
    <col min="5891" max="5892" width="8.77734375" style="2"/>
    <col min="5893" max="5893" width="7.21875" style="2" customWidth="1"/>
    <col min="5894" max="5894" width="8.21875" style="2" customWidth="1"/>
    <col min="5895" max="5896" width="10.21875" style="2" customWidth="1"/>
    <col min="5897" max="5897" width="3.77734375" style="2" customWidth="1"/>
    <col min="5898" max="5898" width="8.77734375" style="2"/>
    <col min="5899" max="5899" width="6.21875" style="2" customWidth="1"/>
    <col min="5900" max="5900" width="5.5546875" style="2" customWidth="1"/>
    <col min="5901" max="5901" width="10.77734375" style="2" customWidth="1"/>
    <col min="5902" max="5902" width="8.21875" style="2" customWidth="1"/>
    <col min="5903" max="5903" width="12.21875" style="2" customWidth="1"/>
    <col min="5904" max="5904" width="10.21875" style="2" customWidth="1"/>
    <col min="5905" max="5905" width="9.21875" style="2" customWidth="1"/>
    <col min="5906" max="6144" width="8.77734375" style="2"/>
    <col min="6145" max="6145" width="4.21875" style="2" customWidth="1"/>
    <col min="6146" max="6146" width="2.5546875" style="2" customWidth="1"/>
    <col min="6147" max="6148" width="8.77734375" style="2"/>
    <col min="6149" max="6149" width="7.21875" style="2" customWidth="1"/>
    <col min="6150" max="6150" width="8.21875" style="2" customWidth="1"/>
    <col min="6151" max="6152" width="10.21875" style="2" customWidth="1"/>
    <col min="6153" max="6153" width="3.77734375" style="2" customWidth="1"/>
    <col min="6154" max="6154" width="8.77734375" style="2"/>
    <col min="6155" max="6155" width="6.21875" style="2" customWidth="1"/>
    <col min="6156" max="6156" width="5.5546875" style="2" customWidth="1"/>
    <col min="6157" max="6157" width="10.77734375" style="2" customWidth="1"/>
    <col min="6158" max="6158" width="8.21875" style="2" customWidth="1"/>
    <col min="6159" max="6159" width="12.21875" style="2" customWidth="1"/>
    <col min="6160" max="6160" width="10.21875" style="2" customWidth="1"/>
    <col min="6161" max="6161" width="9.21875" style="2" customWidth="1"/>
    <col min="6162" max="6400" width="8.77734375" style="2"/>
    <col min="6401" max="6401" width="4.21875" style="2" customWidth="1"/>
    <col min="6402" max="6402" width="2.5546875" style="2" customWidth="1"/>
    <col min="6403" max="6404" width="8.77734375" style="2"/>
    <col min="6405" max="6405" width="7.21875" style="2" customWidth="1"/>
    <col min="6406" max="6406" width="8.21875" style="2" customWidth="1"/>
    <col min="6407" max="6408" width="10.21875" style="2" customWidth="1"/>
    <col min="6409" max="6409" width="3.77734375" style="2" customWidth="1"/>
    <col min="6410" max="6410" width="8.77734375" style="2"/>
    <col min="6411" max="6411" width="6.21875" style="2" customWidth="1"/>
    <col min="6412" max="6412" width="5.5546875" style="2" customWidth="1"/>
    <col min="6413" max="6413" width="10.77734375" style="2" customWidth="1"/>
    <col min="6414" max="6414" width="8.21875" style="2" customWidth="1"/>
    <col min="6415" max="6415" width="12.21875" style="2" customWidth="1"/>
    <col min="6416" max="6416" width="10.21875" style="2" customWidth="1"/>
    <col min="6417" max="6417" width="9.21875" style="2" customWidth="1"/>
    <col min="6418" max="6656" width="8.77734375" style="2"/>
    <col min="6657" max="6657" width="4.21875" style="2" customWidth="1"/>
    <col min="6658" max="6658" width="2.5546875" style="2" customWidth="1"/>
    <col min="6659" max="6660" width="8.77734375" style="2"/>
    <col min="6661" max="6661" width="7.21875" style="2" customWidth="1"/>
    <col min="6662" max="6662" width="8.21875" style="2" customWidth="1"/>
    <col min="6663" max="6664" width="10.21875" style="2" customWidth="1"/>
    <col min="6665" max="6665" width="3.77734375" style="2" customWidth="1"/>
    <col min="6666" max="6666" width="8.77734375" style="2"/>
    <col min="6667" max="6667" width="6.21875" style="2" customWidth="1"/>
    <col min="6668" max="6668" width="5.5546875" style="2" customWidth="1"/>
    <col min="6669" max="6669" width="10.77734375" style="2" customWidth="1"/>
    <col min="6670" max="6670" width="8.21875" style="2" customWidth="1"/>
    <col min="6671" max="6671" width="12.21875" style="2" customWidth="1"/>
    <col min="6672" max="6672" width="10.21875" style="2" customWidth="1"/>
    <col min="6673" max="6673" width="9.21875" style="2" customWidth="1"/>
    <col min="6674" max="6912" width="8.77734375" style="2"/>
    <col min="6913" max="6913" width="4.21875" style="2" customWidth="1"/>
    <col min="6914" max="6914" width="2.5546875" style="2" customWidth="1"/>
    <col min="6915" max="6916" width="8.77734375" style="2"/>
    <col min="6917" max="6917" width="7.21875" style="2" customWidth="1"/>
    <col min="6918" max="6918" width="8.21875" style="2" customWidth="1"/>
    <col min="6919" max="6920" width="10.21875" style="2" customWidth="1"/>
    <col min="6921" max="6921" width="3.77734375" style="2" customWidth="1"/>
    <col min="6922" max="6922" width="8.77734375" style="2"/>
    <col min="6923" max="6923" width="6.21875" style="2" customWidth="1"/>
    <col min="6924" max="6924" width="5.5546875" style="2" customWidth="1"/>
    <col min="6925" max="6925" width="10.77734375" style="2" customWidth="1"/>
    <col min="6926" max="6926" width="8.21875" style="2" customWidth="1"/>
    <col min="6927" max="6927" width="12.21875" style="2" customWidth="1"/>
    <col min="6928" max="6928" width="10.21875" style="2" customWidth="1"/>
    <col min="6929" max="6929" width="9.21875" style="2" customWidth="1"/>
    <col min="6930" max="7168" width="8.77734375" style="2"/>
    <col min="7169" max="7169" width="4.21875" style="2" customWidth="1"/>
    <col min="7170" max="7170" width="2.5546875" style="2" customWidth="1"/>
    <col min="7171" max="7172" width="8.77734375" style="2"/>
    <col min="7173" max="7173" width="7.21875" style="2" customWidth="1"/>
    <col min="7174" max="7174" width="8.21875" style="2" customWidth="1"/>
    <col min="7175" max="7176" width="10.21875" style="2" customWidth="1"/>
    <col min="7177" max="7177" width="3.77734375" style="2" customWidth="1"/>
    <col min="7178" max="7178" width="8.77734375" style="2"/>
    <col min="7179" max="7179" width="6.21875" style="2" customWidth="1"/>
    <col min="7180" max="7180" width="5.5546875" style="2" customWidth="1"/>
    <col min="7181" max="7181" width="10.77734375" style="2" customWidth="1"/>
    <col min="7182" max="7182" width="8.21875" style="2" customWidth="1"/>
    <col min="7183" max="7183" width="12.21875" style="2" customWidth="1"/>
    <col min="7184" max="7184" width="10.21875" style="2" customWidth="1"/>
    <col min="7185" max="7185" width="9.21875" style="2" customWidth="1"/>
    <col min="7186" max="7424" width="8.77734375" style="2"/>
    <col min="7425" max="7425" width="4.21875" style="2" customWidth="1"/>
    <col min="7426" max="7426" width="2.5546875" style="2" customWidth="1"/>
    <col min="7427" max="7428" width="8.77734375" style="2"/>
    <col min="7429" max="7429" width="7.21875" style="2" customWidth="1"/>
    <col min="7430" max="7430" width="8.21875" style="2" customWidth="1"/>
    <col min="7431" max="7432" width="10.21875" style="2" customWidth="1"/>
    <col min="7433" max="7433" width="3.77734375" style="2" customWidth="1"/>
    <col min="7434" max="7434" width="8.77734375" style="2"/>
    <col min="7435" max="7435" width="6.21875" style="2" customWidth="1"/>
    <col min="7436" max="7436" width="5.5546875" style="2" customWidth="1"/>
    <col min="7437" max="7437" width="10.77734375" style="2" customWidth="1"/>
    <col min="7438" max="7438" width="8.21875" style="2" customWidth="1"/>
    <col min="7439" max="7439" width="12.21875" style="2" customWidth="1"/>
    <col min="7440" max="7440" width="10.21875" style="2" customWidth="1"/>
    <col min="7441" max="7441" width="9.21875" style="2" customWidth="1"/>
    <col min="7442" max="7680" width="8.77734375" style="2"/>
    <col min="7681" max="7681" width="4.21875" style="2" customWidth="1"/>
    <col min="7682" max="7682" width="2.5546875" style="2" customWidth="1"/>
    <col min="7683" max="7684" width="8.77734375" style="2"/>
    <col min="7685" max="7685" width="7.21875" style="2" customWidth="1"/>
    <col min="7686" max="7686" width="8.21875" style="2" customWidth="1"/>
    <col min="7687" max="7688" width="10.21875" style="2" customWidth="1"/>
    <col min="7689" max="7689" width="3.77734375" style="2" customWidth="1"/>
    <col min="7690" max="7690" width="8.77734375" style="2"/>
    <col min="7691" max="7691" width="6.21875" style="2" customWidth="1"/>
    <col min="7692" max="7692" width="5.5546875" style="2" customWidth="1"/>
    <col min="7693" max="7693" width="10.77734375" style="2" customWidth="1"/>
    <col min="7694" max="7694" width="8.21875" style="2" customWidth="1"/>
    <col min="7695" max="7695" width="12.21875" style="2" customWidth="1"/>
    <col min="7696" max="7696" width="10.21875" style="2" customWidth="1"/>
    <col min="7697" max="7697" width="9.21875" style="2" customWidth="1"/>
    <col min="7698" max="7936" width="8.77734375" style="2"/>
    <col min="7937" max="7937" width="4.21875" style="2" customWidth="1"/>
    <col min="7938" max="7938" width="2.5546875" style="2" customWidth="1"/>
    <col min="7939" max="7940" width="8.77734375" style="2"/>
    <col min="7941" max="7941" width="7.21875" style="2" customWidth="1"/>
    <col min="7942" max="7942" width="8.21875" style="2" customWidth="1"/>
    <col min="7943" max="7944" width="10.21875" style="2" customWidth="1"/>
    <col min="7945" max="7945" width="3.77734375" style="2" customWidth="1"/>
    <col min="7946" max="7946" width="8.77734375" style="2"/>
    <col min="7947" max="7947" width="6.21875" style="2" customWidth="1"/>
    <col min="7948" max="7948" width="5.5546875" style="2" customWidth="1"/>
    <col min="7949" max="7949" width="10.77734375" style="2" customWidth="1"/>
    <col min="7950" max="7950" width="8.21875" style="2" customWidth="1"/>
    <col min="7951" max="7951" width="12.21875" style="2" customWidth="1"/>
    <col min="7952" max="7952" width="10.21875" style="2" customWidth="1"/>
    <col min="7953" max="7953" width="9.21875" style="2" customWidth="1"/>
    <col min="7954" max="8192" width="8.77734375" style="2"/>
    <col min="8193" max="8193" width="4.21875" style="2" customWidth="1"/>
    <col min="8194" max="8194" width="2.5546875" style="2" customWidth="1"/>
    <col min="8195" max="8196" width="8.77734375" style="2"/>
    <col min="8197" max="8197" width="7.21875" style="2" customWidth="1"/>
    <col min="8198" max="8198" width="8.21875" style="2" customWidth="1"/>
    <col min="8199" max="8200" width="10.21875" style="2" customWidth="1"/>
    <col min="8201" max="8201" width="3.77734375" style="2" customWidth="1"/>
    <col min="8202" max="8202" width="8.77734375" style="2"/>
    <col min="8203" max="8203" width="6.21875" style="2" customWidth="1"/>
    <col min="8204" max="8204" width="5.5546875" style="2" customWidth="1"/>
    <col min="8205" max="8205" width="10.77734375" style="2" customWidth="1"/>
    <col min="8206" max="8206" width="8.21875" style="2" customWidth="1"/>
    <col min="8207" max="8207" width="12.21875" style="2" customWidth="1"/>
    <col min="8208" max="8208" width="10.21875" style="2" customWidth="1"/>
    <col min="8209" max="8209" width="9.21875" style="2" customWidth="1"/>
    <col min="8210" max="8448" width="8.77734375" style="2"/>
    <col min="8449" max="8449" width="4.21875" style="2" customWidth="1"/>
    <col min="8450" max="8450" width="2.5546875" style="2" customWidth="1"/>
    <col min="8451" max="8452" width="8.77734375" style="2"/>
    <col min="8453" max="8453" width="7.21875" style="2" customWidth="1"/>
    <col min="8454" max="8454" width="8.21875" style="2" customWidth="1"/>
    <col min="8455" max="8456" width="10.21875" style="2" customWidth="1"/>
    <col min="8457" max="8457" width="3.77734375" style="2" customWidth="1"/>
    <col min="8458" max="8458" width="8.77734375" style="2"/>
    <col min="8459" max="8459" width="6.21875" style="2" customWidth="1"/>
    <col min="8460" max="8460" width="5.5546875" style="2" customWidth="1"/>
    <col min="8461" max="8461" width="10.77734375" style="2" customWidth="1"/>
    <col min="8462" max="8462" width="8.21875" style="2" customWidth="1"/>
    <col min="8463" max="8463" width="12.21875" style="2" customWidth="1"/>
    <col min="8464" max="8464" width="10.21875" style="2" customWidth="1"/>
    <col min="8465" max="8465" width="9.21875" style="2" customWidth="1"/>
    <col min="8466" max="8704" width="8.77734375" style="2"/>
    <col min="8705" max="8705" width="4.21875" style="2" customWidth="1"/>
    <col min="8706" max="8706" width="2.5546875" style="2" customWidth="1"/>
    <col min="8707" max="8708" width="8.77734375" style="2"/>
    <col min="8709" max="8709" width="7.21875" style="2" customWidth="1"/>
    <col min="8710" max="8710" width="8.21875" style="2" customWidth="1"/>
    <col min="8711" max="8712" width="10.21875" style="2" customWidth="1"/>
    <col min="8713" max="8713" width="3.77734375" style="2" customWidth="1"/>
    <col min="8714" max="8714" width="8.77734375" style="2"/>
    <col min="8715" max="8715" width="6.21875" style="2" customWidth="1"/>
    <col min="8716" max="8716" width="5.5546875" style="2" customWidth="1"/>
    <col min="8717" max="8717" width="10.77734375" style="2" customWidth="1"/>
    <col min="8718" max="8718" width="8.21875" style="2" customWidth="1"/>
    <col min="8719" max="8719" width="12.21875" style="2" customWidth="1"/>
    <col min="8720" max="8720" width="10.21875" style="2" customWidth="1"/>
    <col min="8721" max="8721" width="9.21875" style="2" customWidth="1"/>
    <col min="8722" max="8960" width="8.77734375" style="2"/>
    <col min="8961" max="8961" width="4.21875" style="2" customWidth="1"/>
    <col min="8962" max="8962" width="2.5546875" style="2" customWidth="1"/>
    <col min="8963" max="8964" width="8.77734375" style="2"/>
    <col min="8965" max="8965" width="7.21875" style="2" customWidth="1"/>
    <col min="8966" max="8966" width="8.21875" style="2" customWidth="1"/>
    <col min="8967" max="8968" width="10.21875" style="2" customWidth="1"/>
    <col min="8969" max="8969" width="3.77734375" style="2" customWidth="1"/>
    <col min="8970" max="8970" width="8.77734375" style="2"/>
    <col min="8971" max="8971" width="6.21875" style="2" customWidth="1"/>
    <col min="8972" max="8972" width="5.5546875" style="2" customWidth="1"/>
    <col min="8973" max="8973" width="10.77734375" style="2" customWidth="1"/>
    <col min="8974" max="8974" width="8.21875" style="2" customWidth="1"/>
    <col min="8975" max="8975" width="12.21875" style="2" customWidth="1"/>
    <col min="8976" max="8976" width="10.21875" style="2" customWidth="1"/>
    <col min="8977" max="8977" width="9.21875" style="2" customWidth="1"/>
    <col min="8978" max="9216" width="8.77734375" style="2"/>
    <col min="9217" max="9217" width="4.21875" style="2" customWidth="1"/>
    <col min="9218" max="9218" width="2.5546875" style="2" customWidth="1"/>
    <col min="9219" max="9220" width="8.77734375" style="2"/>
    <col min="9221" max="9221" width="7.21875" style="2" customWidth="1"/>
    <col min="9222" max="9222" width="8.21875" style="2" customWidth="1"/>
    <col min="9223" max="9224" width="10.21875" style="2" customWidth="1"/>
    <col min="9225" max="9225" width="3.77734375" style="2" customWidth="1"/>
    <col min="9226" max="9226" width="8.77734375" style="2"/>
    <col min="9227" max="9227" width="6.21875" style="2" customWidth="1"/>
    <col min="9228" max="9228" width="5.5546875" style="2" customWidth="1"/>
    <col min="9229" max="9229" width="10.77734375" style="2" customWidth="1"/>
    <col min="9230" max="9230" width="8.21875" style="2" customWidth="1"/>
    <col min="9231" max="9231" width="12.21875" style="2" customWidth="1"/>
    <col min="9232" max="9232" width="10.21875" style="2" customWidth="1"/>
    <col min="9233" max="9233" width="9.21875" style="2" customWidth="1"/>
    <col min="9234" max="9472" width="8.77734375" style="2"/>
    <col min="9473" max="9473" width="4.21875" style="2" customWidth="1"/>
    <col min="9474" max="9474" width="2.5546875" style="2" customWidth="1"/>
    <col min="9475" max="9476" width="8.77734375" style="2"/>
    <col min="9477" max="9477" width="7.21875" style="2" customWidth="1"/>
    <col min="9478" max="9478" width="8.21875" style="2" customWidth="1"/>
    <col min="9479" max="9480" width="10.21875" style="2" customWidth="1"/>
    <col min="9481" max="9481" width="3.77734375" style="2" customWidth="1"/>
    <col min="9482" max="9482" width="8.77734375" style="2"/>
    <col min="9483" max="9483" width="6.21875" style="2" customWidth="1"/>
    <col min="9484" max="9484" width="5.5546875" style="2" customWidth="1"/>
    <col min="9485" max="9485" width="10.77734375" style="2" customWidth="1"/>
    <col min="9486" max="9486" width="8.21875" style="2" customWidth="1"/>
    <col min="9487" max="9487" width="12.21875" style="2" customWidth="1"/>
    <col min="9488" max="9488" width="10.21875" style="2" customWidth="1"/>
    <col min="9489" max="9489" width="9.21875" style="2" customWidth="1"/>
    <col min="9490" max="9728" width="8.77734375" style="2"/>
    <col min="9729" max="9729" width="4.21875" style="2" customWidth="1"/>
    <col min="9730" max="9730" width="2.5546875" style="2" customWidth="1"/>
    <col min="9731" max="9732" width="8.77734375" style="2"/>
    <col min="9733" max="9733" width="7.21875" style="2" customWidth="1"/>
    <col min="9734" max="9734" width="8.21875" style="2" customWidth="1"/>
    <col min="9735" max="9736" width="10.21875" style="2" customWidth="1"/>
    <col min="9737" max="9737" width="3.77734375" style="2" customWidth="1"/>
    <col min="9738" max="9738" width="8.77734375" style="2"/>
    <col min="9739" max="9739" width="6.21875" style="2" customWidth="1"/>
    <col min="9740" max="9740" width="5.5546875" style="2" customWidth="1"/>
    <col min="9741" max="9741" width="10.77734375" style="2" customWidth="1"/>
    <col min="9742" max="9742" width="8.21875" style="2" customWidth="1"/>
    <col min="9743" max="9743" width="12.21875" style="2" customWidth="1"/>
    <col min="9744" max="9744" width="10.21875" style="2" customWidth="1"/>
    <col min="9745" max="9745" width="9.21875" style="2" customWidth="1"/>
    <col min="9746" max="9984" width="8.77734375" style="2"/>
    <col min="9985" max="9985" width="4.21875" style="2" customWidth="1"/>
    <col min="9986" max="9986" width="2.5546875" style="2" customWidth="1"/>
    <col min="9987" max="9988" width="8.77734375" style="2"/>
    <col min="9989" max="9989" width="7.21875" style="2" customWidth="1"/>
    <col min="9990" max="9990" width="8.21875" style="2" customWidth="1"/>
    <col min="9991" max="9992" width="10.21875" style="2" customWidth="1"/>
    <col min="9993" max="9993" width="3.77734375" style="2" customWidth="1"/>
    <col min="9994" max="9994" width="8.77734375" style="2"/>
    <col min="9995" max="9995" width="6.21875" style="2" customWidth="1"/>
    <col min="9996" max="9996" width="5.5546875" style="2" customWidth="1"/>
    <col min="9997" max="9997" width="10.77734375" style="2" customWidth="1"/>
    <col min="9998" max="9998" width="8.21875" style="2" customWidth="1"/>
    <col min="9999" max="9999" width="12.21875" style="2" customWidth="1"/>
    <col min="10000" max="10000" width="10.21875" style="2" customWidth="1"/>
    <col min="10001" max="10001" width="9.21875" style="2" customWidth="1"/>
    <col min="10002" max="10240" width="8.77734375" style="2"/>
    <col min="10241" max="10241" width="4.21875" style="2" customWidth="1"/>
    <col min="10242" max="10242" width="2.5546875" style="2" customWidth="1"/>
    <col min="10243" max="10244" width="8.77734375" style="2"/>
    <col min="10245" max="10245" width="7.21875" style="2" customWidth="1"/>
    <col min="10246" max="10246" width="8.21875" style="2" customWidth="1"/>
    <col min="10247" max="10248" width="10.21875" style="2" customWidth="1"/>
    <col min="10249" max="10249" width="3.77734375" style="2" customWidth="1"/>
    <col min="10250" max="10250" width="8.77734375" style="2"/>
    <col min="10251" max="10251" width="6.21875" style="2" customWidth="1"/>
    <col min="10252" max="10252" width="5.5546875" style="2" customWidth="1"/>
    <col min="10253" max="10253" width="10.77734375" style="2" customWidth="1"/>
    <col min="10254" max="10254" width="8.21875" style="2" customWidth="1"/>
    <col min="10255" max="10255" width="12.21875" style="2" customWidth="1"/>
    <col min="10256" max="10256" width="10.21875" style="2" customWidth="1"/>
    <col min="10257" max="10257" width="9.21875" style="2" customWidth="1"/>
    <col min="10258" max="10496" width="8.77734375" style="2"/>
    <col min="10497" max="10497" width="4.21875" style="2" customWidth="1"/>
    <col min="10498" max="10498" width="2.5546875" style="2" customWidth="1"/>
    <col min="10499" max="10500" width="8.77734375" style="2"/>
    <col min="10501" max="10501" width="7.21875" style="2" customWidth="1"/>
    <col min="10502" max="10502" width="8.21875" style="2" customWidth="1"/>
    <col min="10503" max="10504" width="10.21875" style="2" customWidth="1"/>
    <col min="10505" max="10505" width="3.77734375" style="2" customWidth="1"/>
    <col min="10506" max="10506" width="8.77734375" style="2"/>
    <col min="10507" max="10507" width="6.21875" style="2" customWidth="1"/>
    <col min="10508" max="10508" width="5.5546875" style="2" customWidth="1"/>
    <col min="10509" max="10509" width="10.77734375" style="2" customWidth="1"/>
    <col min="10510" max="10510" width="8.21875" style="2" customWidth="1"/>
    <col min="10511" max="10511" width="12.21875" style="2" customWidth="1"/>
    <col min="10512" max="10512" width="10.21875" style="2" customWidth="1"/>
    <col min="10513" max="10513" width="9.21875" style="2" customWidth="1"/>
    <col min="10514" max="10752" width="8.77734375" style="2"/>
    <col min="10753" max="10753" width="4.21875" style="2" customWidth="1"/>
    <col min="10754" max="10754" width="2.5546875" style="2" customWidth="1"/>
    <col min="10755" max="10756" width="8.77734375" style="2"/>
    <col min="10757" max="10757" width="7.21875" style="2" customWidth="1"/>
    <col min="10758" max="10758" width="8.21875" style="2" customWidth="1"/>
    <col min="10759" max="10760" width="10.21875" style="2" customWidth="1"/>
    <col min="10761" max="10761" width="3.77734375" style="2" customWidth="1"/>
    <col min="10762" max="10762" width="8.77734375" style="2"/>
    <col min="10763" max="10763" width="6.21875" style="2" customWidth="1"/>
    <col min="10764" max="10764" width="5.5546875" style="2" customWidth="1"/>
    <col min="10765" max="10765" width="10.77734375" style="2" customWidth="1"/>
    <col min="10766" max="10766" width="8.21875" style="2" customWidth="1"/>
    <col min="10767" max="10767" width="12.21875" style="2" customWidth="1"/>
    <col min="10768" max="10768" width="10.21875" style="2" customWidth="1"/>
    <col min="10769" max="10769" width="9.21875" style="2" customWidth="1"/>
    <col min="10770" max="11008" width="8.77734375" style="2"/>
    <col min="11009" max="11009" width="4.21875" style="2" customWidth="1"/>
    <col min="11010" max="11010" width="2.5546875" style="2" customWidth="1"/>
    <col min="11011" max="11012" width="8.77734375" style="2"/>
    <col min="11013" max="11013" width="7.21875" style="2" customWidth="1"/>
    <col min="11014" max="11014" width="8.21875" style="2" customWidth="1"/>
    <col min="11015" max="11016" width="10.21875" style="2" customWidth="1"/>
    <col min="11017" max="11017" width="3.77734375" style="2" customWidth="1"/>
    <col min="11018" max="11018" width="8.77734375" style="2"/>
    <col min="11019" max="11019" width="6.21875" style="2" customWidth="1"/>
    <col min="11020" max="11020" width="5.5546875" style="2" customWidth="1"/>
    <col min="11021" max="11021" width="10.77734375" style="2" customWidth="1"/>
    <col min="11022" max="11022" width="8.21875" style="2" customWidth="1"/>
    <col min="11023" max="11023" width="12.21875" style="2" customWidth="1"/>
    <col min="11024" max="11024" width="10.21875" style="2" customWidth="1"/>
    <col min="11025" max="11025" width="9.21875" style="2" customWidth="1"/>
    <col min="11026" max="11264" width="8.77734375" style="2"/>
    <col min="11265" max="11265" width="4.21875" style="2" customWidth="1"/>
    <col min="11266" max="11266" width="2.5546875" style="2" customWidth="1"/>
    <col min="11267" max="11268" width="8.77734375" style="2"/>
    <col min="11269" max="11269" width="7.21875" style="2" customWidth="1"/>
    <col min="11270" max="11270" width="8.21875" style="2" customWidth="1"/>
    <col min="11271" max="11272" width="10.21875" style="2" customWidth="1"/>
    <col min="11273" max="11273" width="3.77734375" style="2" customWidth="1"/>
    <col min="11274" max="11274" width="8.77734375" style="2"/>
    <col min="11275" max="11275" width="6.21875" style="2" customWidth="1"/>
    <col min="11276" max="11276" width="5.5546875" style="2" customWidth="1"/>
    <col min="11277" max="11277" width="10.77734375" style="2" customWidth="1"/>
    <col min="11278" max="11278" width="8.21875" style="2" customWidth="1"/>
    <col min="11279" max="11279" width="12.21875" style="2" customWidth="1"/>
    <col min="11280" max="11280" width="10.21875" style="2" customWidth="1"/>
    <col min="11281" max="11281" width="9.21875" style="2" customWidth="1"/>
    <col min="11282" max="11520" width="8.77734375" style="2"/>
    <col min="11521" max="11521" width="4.21875" style="2" customWidth="1"/>
    <col min="11522" max="11522" width="2.5546875" style="2" customWidth="1"/>
    <col min="11523" max="11524" width="8.77734375" style="2"/>
    <col min="11525" max="11525" width="7.21875" style="2" customWidth="1"/>
    <col min="11526" max="11526" width="8.21875" style="2" customWidth="1"/>
    <col min="11527" max="11528" width="10.21875" style="2" customWidth="1"/>
    <col min="11529" max="11529" width="3.77734375" style="2" customWidth="1"/>
    <col min="11530" max="11530" width="8.77734375" style="2"/>
    <col min="11531" max="11531" width="6.21875" style="2" customWidth="1"/>
    <col min="11532" max="11532" width="5.5546875" style="2" customWidth="1"/>
    <col min="11533" max="11533" width="10.77734375" style="2" customWidth="1"/>
    <col min="11534" max="11534" width="8.21875" style="2" customWidth="1"/>
    <col min="11535" max="11535" width="12.21875" style="2" customWidth="1"/>
    <col min="11536" max="11536" width="10.21875" style="2" customWidth="1"/>
    <col min="11537" max="11537" width="9.21875" style="2" customWidth="1"/>
    <col min="11538" max="11776" width="8.77734375" style="2"/>
    <col min="11777" max="11777" width="4.21875" style="2" customWidth="1"/>
    <col min="11778" max="11778" width="2.5546875" style="2" customWidth="1"/>
    <col min="11779" max="11780" width="8.77734375" style="2"/>
    <col min="11781" max="11781" width="7.21875" style="2" customWidth="1"/>
    <col min="11782" max="11782" width="8.21875" style="2" customWidth="1"/>
    <col min="11783" max="11784" width="10.21875" style="2" customWidth="1"/>
    <col min="11785" max="11785" width="3.77734375" style="2" customWidth="1"/>
    <col min="11786" max="11786" width="8.77734375" style="2"/>
    <col min="11787" max="11787" width="6.21875" style="2" customWidth="1"/>
    <col min="11788" max="11788" width="5.5546875" style="2" customWidth="1"/>
    <col min="11789" max="11789" width="10.77734375" style="2" customWidth="1"/>
    <col min="11790" max="11790" width="8.21875" style="2" customWidth="1"/>
    <col min="11791" max="11791" width="12.21875" style="2" customWidth="1"/>
    <col min="11792" max="11792" width="10.21875" style="2" customWidth="1"/>
    <col min="11793" max="11793" width="9.21875" style="2" customWidth="1"/>
    <col min="11794" max="12032" width="8.77734375" style="2"/>
    <col min="12033" max="12033" width="4.21875" style="2" customWidth="1"/>
    <col min="12034" max="12034" width="2.5546875" style="2" customWidth="1"/>
    <col min="12035" max="12036" width="8.77734375" style="2"/>
    <col min="12037" max="12037" width="7.21875" style="2" customWidth="1"/>
    <col min="12038" max="12038" width="8.21875" style="2" customWidth="1"/>
    <col min="12039" max="12040" width="10.21875" style="2" customWidth="1"/>
    <col min="12041" max="12041" width="3.77734375" style="2" customWidth="1"/>
    <col min="12042" max="12042" width="8.77734375" style="2"/>
    <col min="12043" max="12043" width="6.21875" style="2" customWidth="1"/>
    <col min="12044" max="12044" width="5.5546875" style="2" customWidth="1"/>
    <col min="12045" max="12045" width="10.77734375" style="2" customWidth="1"/>
    <col min="12046" max="12046" width="8.21875" style="2" customWidth="1"/>
    <col min="12047" max="12047" width="12.21875" style="2" customWidth="1"/>
    <col min="12048" max="12048" width="10.21875" style="2" customWidth="1"/>
    <col min="12049" max="12049" width="9.21875" style="2" customWidth="1"/>
    <col min="12050" max="12288" width="8.77734375" style="2"/>
    <col min="12289" max="12289" width="4.21875" style="2" customWidth="1"/>
    <col min="12290" max="12290" width="2.5546875" style="2" customWidth="1"/>
    <col min="12291" max="12292" width="8.77734375" style="2"/>
    <col min="12293" max="12293" width="7.21875" style="2" customWidth="1"/>
    <col min="12294" max="12294" width="8.21875" style="2" customWidth="1"/>
    <col min="12295" max="12296" width="10.21875" style="2" customWidth="1"/>
    <col min="12297" max="12297" width="3.77734375" style="2" customWidth="1"/>
    <col min="12298" max="12298" width="8.77734375" style="2"/>
    <col min="12299" max="12299" width="6.21875" style="2" customWidth="1"/>
    <col min="12300" max="12300" width="5.5546875" style="2" customWidth="1"/>
    <col min="12301" max="12301" width="10.77734375" style="2" customWidth="1"/>
    <col min="12302" max="12302" width="8.21875" style="2" customWidth="1"/>
    <col min="12303" max="12303" width="12.21875" style="2" customWidth="1"/>
    <col min="12304" max="12304" width="10.21875" style="2" customWidth="1"/>
    <col min="12305" max="12305" width="9.21875" style="2" customWidth="1"/>
    <col min="12306" max="12544" width="8.77734375" style="2"/>
    <col min="12545" max="12545" width="4.21875" style="2" customWidth="1"/>
    <col min="12546" max="12546" width="2.5546875" style="2" customWidth="1"/>
    <col min="12547" max="12548" width="8.77734375" style="2"/>
    <col min="12549" max="12549" width="7.21875" style="2" customWidth="1"/>
    <col min="12550" max="12550" width="8.21875" style="2" customWidth="1"/>
    <col min="12551" max="12552" width="10.21875" style="2" customWidth="1"/>
    <col min="12553" max="12553" width="3.77734375" style="2" customWidth="1"/>
    <col min="12554" max="12554" width="8.77734375" style="2"/>
    <col min="12555" max="12555" width="6.21875" style="2" customWidth="1"/>
    <col min="12556" max="12556" width="5.5546875" style="2" customWidth="1"/>
    <col min="12557" max="12557" width="10.77734375" style="2" customWidth="1"/>
    <col min="12558" max="12558" width="8.21875" style="2" customWidth="1"/>
    <col min="12559" max="12559" width="12.21875" style="2" customWidth="1"/>
    <col min="12560" max="12560" width="10.21875" style="2" customWidth="1"/>
    <col min="12561" max="12561" width="9.21875" style="2" customWidth="1"/>
    <col min="12562" max="12800" width="8.77734375" style="2"/>
    <col min="12801" max="12801" width="4.21875" style="2" customWidth="1"/>
    <col min="12802" max="12802" width="2.5546875" style="2" customWidth="1"/>
    <col min="12803" max="12804" width="8.77734375" style="2"/>
    <col min="12805" max="12805" width="7.21875" style="2" customWidth="1"/>
    <col min="12806" max="12806" width="8.21875" style="2" customWidth="1"/>
    <col min="12807" max="12808" width="10.21875" style="2" customWidth="1"/>
    <col min="12809" max="12809" width="3.77734375" style="2" customWidth="1"/>
    <col min="12810" max="12810" width="8.77734375" style="2"/>
    <col min="12811" max="12811" width="6.21875" style="2" customWidth="1"/>
    <col min="12812" max="12812" width="5.5546875" style="2" customWidth="1"/>
    <col min="12813" max="12813" width="10.77734375" style="2" customWidth="1"/>
    <col min="12814" max="12814" width="8.21875" style="2" customWidth="1"/>
    <col min="12815" max="12815" width="12.21875" style="2" customWidth="1"/>
    <col min="12816" max="12816" width="10.21875" style="2" customWidth="1"/>
    <col min="12817" max="12817" width="9.21875" style="2" customWidth="1"/>
    <col min="12818" max="13056" width="8.77734375" style="2"/>
    <col min="13057" max="13057" width="4.21875" style="2" customWidth="1"/>
    <col min="13058" max="13058" width="2.5546875" style="2" customWidth="1"/>
    <col min="13059" max="13060" width="8.77734375" style="2"/>
    <col min="13061" max="13061" width="7.21875" style="2" customWidth="1"/>
    <col min="13062" max="13062" width="8.21875" style="2" customWidth="1"/>
    <col min="13063" max="13064" width="10.21875" style="2" customWidth="1"/>
    <col min="13065" max="13065" width="3.77734375" style="2" customWidth="1"/>
    <col min="13066" max="13066" width="8.77734375" style="2"/>
    <col min="13067" max="13067" width="6.21875" style="2" customWidth="1"/>
    <col min="13068" max="13068" width="5.5546875" style="2" customWidth="1"/>
    <col min="13069" max="13069" width="10.77734375" style="2" customWidth="1"/>
    <col min="13070" max="13070" width="8.21875" style="2" customWidth="1"/>
    <col min="13071" max="13071" width="12.21875" style="2" customWidth="1"/>
    <col min="13072" max="13072" width="10.21875" style="2" customWidth="1"/>
    <col min="13073" max="13073" width="9.21875" style="2" customWidth="1"/>
    <col min="13074" max="13312" width="8.77734375" style="2"/>
    <col min="13313" max="13313" width="4.21875" style="2" customWidth="1"/>
    <col min="13314" max="13314" width="2.5546875" style="2" customWidth="1"/>
    <col min="13315" max="13316" width="8.77734375" style="2"/>
    <col min="13317" max="13317" width="7.21875" style="2" customWidth="1"/>
    <col min="13318" max="13318" width="8.21875" style="2" customWidth="1"/>
    <col min="13319" max="13320" width="10.21875" style="2" customWidth="1"/>
    <col min="13321" max="13321" width="3.77734375" style="2" customWidth="1"/>
    <col min="13322" max="13322" width="8.77734375" style="2"/>
    <col min="13323" max="13323" width="6.21875" style="2" customWidth="1"/>
    <col min="13324" max="13324" width="5.5546875" style="2" customWidth="1"/>
    <col min="13325" max="13325" width="10.77734375" style="2" customWidth="1"/>
    <col min="13326" max="13326" width="8.21875" style="2" customWidth="1"/>
    <col min="13327" max="13327" width="12.21875" style="2" customWidth="1"/>
    <col min="13328" max="13328" width="10.21875" style="2" customWidth="1"/>
    <col min="13329" max="13329" width="9.21875" style="2" customWidth="1"/>
    <col min="13330" max="13568" width="8.77734375" style="2"/>
    <col min="13569" max="13569" width="4.21875" style="2" customWidth="1"/>
    <col min="13570" max="13570" width="2.5546875" style="2" customWidth="1"/>
    <col min="13571" max="13572" width="8.77734375" style="2"/>
    <col min="13573" max="13573" width="7.21875" style="2" customWidth="1"/>
    <col min="13574" max="13574" width="8.21875" style="2" customWidth="1"/>
    <col min="13575" max="13576" width="10.21875" style="2" customWidth="1"/>
    <col min="13577" max="13577" width="3.77734375" style="2" customWidth="1"/>
    <col min="13578" max="13578" width="8.77734375" style="2"/>
    <col min="13579" max="13579" width="6.21875" style="2" customWidth="1"/>
    <col min="13580" max="13580" width="5.5546875" style="2" customWidth="1"/>
    <col min="13581" max="13581" width="10.77734375" style="2" customWidth="1"/>
    <col min="13582" max="13582" width="8.21875" style="2" customWidth="1"/>
    <col min="13583" max="13583" width="12.21875" style="2" customWidth="1"/>
    <col min="13584" max="13584" width="10.21875" style="2" customWidth="1"/>
    <col min="13585" max="13585" width="9.21875" style="2" customWidth="1"/>
    <col min="13586" max="13824" width="8.77734375" style="2"/>
    <col min="13825" max="13825" width="4.21875" style="2" customWidth="1"/>
    <col min="13826" max="13826" width="2.5546875" style="2" customWidth="1"/>
    <col min="13827" max="13828" width="8.77734375" style="2"/>
    <col min="13829" max="13829" width="7.21875" style="2" customWidth="1"/>
    <col min="13830" max="13830" width="8.21875" style="2" customWidth="1"/>
    <col min="13831" max="13832" width="10.21875" style="2" customWidth="1"/>
    <col min="13833" max="13833" width="3.77734375" style="2" customWidth="1"/>
    <col min="13834" max="13834" width="8.77734375" style="2"/>
    <col min="13835" max="13835" width="6.21875" style="2" customWidth="1"/>
    <col min="13836" max="13836" width="5.5546875" style="2" customWidth="1"/>
    <col min="13837" max="13837" width="10.77734375" style="2" customWidth="1"/>
    <col min="13838" max="13838" width="8.21875" style="2" customWidth="1"/>
    <col min="13839" max="13839" width="12.21875" style="2" customWidth="1"/>
    <col min="13840" max="13840" width="10.21875" style="2" customWidth="1"/>
    <col min="13841" max="13841" width="9.21875" style="2" customWidth="1"/>
    <col min="13842" max="14080" width="8.77734375" style="2"/>
    <col min="14081" max="14081" width="4.21875" style="2" customWidth="1"/>
    <col min="14082" max="14082" width="2.5546875" style="2" customWidth="1"/>
    <col min="14083" max="14084" width="8.77734375" style="2"/>
    <col min="14085" max="14085" width="7.21875" style="2" customWidth="1"/>
    <col min="14086" max="14086" width="8.21875" style="2" customWidth="1"/>
    <col min="14087" max="14088" width="10.21875" style="2" customWidth="1"/>
    <col min="14089" max="14089" width="3.77734375" style="2" customWidth="1"/>
    <col min="14090" max="14090" width="8.77734375" style="2"/>
    <col min="14091" max="14091" width="6.21875" style="2" customWidth="1"/>
    <col min="14092" max="14092" width="5.5546875" style="2" customWidth="1"/>
    <col min="14093" max="14093" width="10.77734375" style="2" customWidth="1"/>
    <col min="14094" max="14094" width="8.21875" style="2" customWidth="1"/>
    <col min="14095" max="14095" width="12.21875" style="2" customWidth="1"/>
    <col min="14096" max="14096" width="10.21875" style="2" customWidth="1"/>
    <col min="14097" max="14097" width="9.21875" style="2" customWidth="1"/>
    <col min="14098" max="14336" width="8.77734375" style="2"/>
    <col min="14337" max="14337" width="4.21875" style="2" customWidth="1"/>
    <col min="14338" max="14338" width="2.5546875" style="2" customWidth="1"/>
    <col min="14339" max="14340" width="8.77734375" style="2"/>
    <col min="14341" max="14341" width="7.21875" style="2" customWidth="1"/>
    <col min="14342" max="14342" width="8.21875" style="2" customWidth="1"/>
    <col min="14343" max="14344" width="10.21875" style="2" customWidth="1"/>
    <col min="14345" max="14345" width="3.77734375" style="2" customWidth="1"/>
    <col min="14346" max="14346" width="8.77734375" style="2"/>
    <col min="14347" max="14347" width="6.21875" style="2" customWidth="1"/>
    <col min="14348" max="14348" width="5.5546875" style="2" customWidth="1"/>
    <col min="14349" max="14349" width="10.77734375" style="2" customWidth="1"/>
    <col min="14350" max="14350" width="8.21875" style="2" customWidth="1"/>
    <col min="14351" max="14351" width="12.21875" style="2" customWidth="1"/>
    <col min="14352" max="14352" width="10.21875" style="2" customWidth="1"/>
    <col min="14353" max="14353" width="9.21875" style="2" customWidth="1"/>
    <col min="14354" max="14592" width="8.77734375" style="2"/>
    <col min="14593" max="14593" width="4.21875" style="2" customWidth="1"/>
    <col min="14594" max="14594" width="2.5546875" style="2" customWidth="1"/>
    <col min="14595" max="14596" width="8.77734375" style="2"/>
    <col min="14597" max="14597" width="7.21875" style="2" customWidth="1"/>
    <col min="14598" max="14598" width="8.21875" style="2" customWidth="1"/>
    <col min="14599" max="14600" width="10.21875" style="2" customWidth="1"/>
    <col min="14601" max="14601" width="3.77734375" style="2" customWidth="1"/>
    <col min="14602" max="14602" width="8.77734375" style="2"/>
    <col min="14603" max="14603" width="6.21875" style="2" customWidth="1"/>
    <col min="14604" max="14604" width="5.5546875" style="2" customWidth="1"/>
    <col min="14605" max="14605" width="10.77734375" style="2" customWidth="1"/>
    <col min="14606" max="14606" width="8.21875" style="2" customWidth="1"/>
    <col min="14607" max="14607" width="12.21875" style="2" customWidth="1"/>
    <col min="14608" max="14608" width="10.21875" style="2" customWidth="1"/>
    <col min="14609" max="14609" width="9.21875" style="2" customWidth="1"/>
    <col min="14610" max="14848" width="8.77734375" style="2"/>
    <col min="14849" max="14849" width="4.21875" style="2" customWidth="1"/>
    <col min="14850" max="14850" width="2.5546875" style="2" customWidth="1"/>
    <col min="14851" max="14852" width="8.77734375" style="2"/>
    <col min="14853" max="14853" width="7.21875" style="2" customWidth="1"/>
    <col min="14854" max="14854" width="8.21875" style="2" customWidth="1"/>
    <col min="14855" max="14856" width="10.21875" style="2" customWidth="1"/>
    <col min="14857" max="14857" width="3.77734375" style="2" customWidth="1"/>
    <col min="14858" max="14858" width="8.77734375" style="2"/>
    <col min="14859" max="14859" width="6.21875" style="2" customWidth="1"/>
    <col min="14860" max="14860" width="5.5546875" style="2" customWidth="1"/>
    <col min="14861" max="14861" width="10.77734375" style="2" customWidth="1"/>
    <col min="14862" max="14862" width="8.21875" style="2" customWidth="1"/>
    <col min="14863" max="14863" width="12.21875" style="2" customWidth="1"/>
    <col min="14864" max="14864" width="10.21875" style="2" customWidth="1"/>
    <col min="14865" max="14865" width="9.21875" style="2" customWidth="1"/>
    <col min="14866" max="15104" width="8.77734375" style="2"/>
    <col min="15105" max="15105" width="4.21875" style="2" customWidth="1"/>
    <col min="15106" max="15106" width="2.5546875" style="2" customWidth="1"/>
    <col min="15107" max="15108" width="8.77734375" style="2"/>
    <col min="15109" max="15109" width="7.21875" style="2" customWidth="1"/>
    <col min="15110" max="15110" width="8.21875" style="2" customWidth="1"/>
    <col min="15111" max="15112" width="10.21875" style="2" customWidth="1"/>
    <col min="15113" max="15113" width="3.77734375" style="2" customWidth="1"/>
    <col min="15114" max="15114" width="8.77734375" style="2"/>
    <col min="15115" max="15115" width="6.21875" style="2" customWidth="1"/>
    <col min="15116" max="15116" width="5.5546875" style="2" customWidth="1"/>
    <col min="15117" max="15117" width="10.77734375" style="2" customWidth="1"/>
    <col min="15118" max="15118" width="8.21875" style="2" customWidth="1"/>
    <col min="15119" max="15119" width="12.21875" style="2" customWidth="1"/>
    <col min="15120" max="15120" width="10.21875" style="2" customWidth="1"/>
    <col min="15121" max="15121" width="9.21875" style="2" customWidth="1"/>
    <col min="15122" max="15360" width="8.77734375" style="2"/>
    <col min="15361" max="15361" width="4.21875" style="2" customWidth="1"/>
    <col min="15362" max="15362" width="2.5546875" style="2" customWidth="1"/>
    <col min="15363" max="15364" width="8.77734375" style="2"/>
    <col min="15365" max="15365" width="7.21875" style="2" customWidth="1"/>
    <col min="15366" max="15366" width="8.21875" style="2" customWidth="1"/>
    <col min="15367" max="15368" width="10.21875" style="2" customWidth="1"/>
    <col min="15369" max="15369" width="3.77734375" style="2" customWidth="1"/>
    <col min="15370" max="15370" width="8.77734375" style="2"/>
    <col min="15371" max="15371" width="6.21875" style="2" customWidth="1"/>
    <col min="15372" max="15372" width="5.5546875" style="2" customWidth="1"/>
    <col min="15373" max="15373" width="10.77734375" style="2" customWidth="1"/>
    <col min="15374" max="15374" width="8.21875" style="2" customWidth="1"/>
    <col min="15375" max="15375" width="12.21875" style="2" customWidth="1"/>
    <col min="15376" max="15376" width="10.21875" style="2" customWidth="1"/>
    <col min="15377" max="15377" width="9.21875" style="2" customWidth="1"/>
    <col min="15378" max="15616" width="8.77734375" style="2"/>
    <col min="15617" max="15617" width="4.21875" style="2" customWidth="1"/>
    <col min="15618" max="15618" width="2.5546875" style="2" customWidth="1"/>
    <col min="15619" max="15620" width="8.77734375" style="2"/>
    <col min="15621" max="15621" width="7.21875" style="2" customWidth="1"/>
    <col min="15622" max="15622" width="8.21875" style="2" customWidth="1"/>
    <col min="15623" max="15624" width="10.21875" style="2" customWidth="1"/>
    <col min="15625" max="15625" width="3.77734375" style="2" customWidth="1"/>
    <col min="15626" max="15626" width="8.77734375" style="2"/>
    <col min="15627" max="15627" width="6.21875" style="2" customWidth="1"/>
    <col min="15628" max="15628" width="5.5546875" style="2" customWidth="1"/>
    <col min="15629" max="15629" width="10.77734375" style="2" customWidth="1"/>
    <col min="15630" max="15630" width="8.21875" style="2" customWidth="1"/>
    <col min="15631" max="15631" width="12.21875" style="2" customWidth="1"/>
    <col min="15632" max="15632" width="10.21875" style="2" customWidth="1"/>
    <col min="15633" max="15633" width="9.21875" style="2" customWidth="1"/>
    <col min="15634" max="15872" width="8.77734375" style="2"/>
    <col min="15873" max="15873" width="4.21875" style="2" customWidth="1"/>
    <col min="15874" max="15874" width="2.5546875" style="2" customWidth="1"/>
    <col min="15875" max="15876" width="8.77734375" style="2"/>
    <col min="15877" max="15877" width="7.21875" style="2" customWidth="1"/>
    <col min="15878" max="15878" width="8.21875" style="2" customWidth="1"/>
    <col min="15879" max="15880" width="10.21875" style="2" customWidth="1"/>
    <col min="15881" max="15881" width="3.77734375" style="2" customWidth="1"/>
    <col min="15882" max="15882" width="8.77734375" style="2"/>
    <col min="15883" max="15883" width="6.21875" style="2" customWidth="1"/>
    <col min="15884" max="15884" width="5.5546875" style="2" customWidth="1"/>
    <col min="15885" max="15885" width="10.77734375" style="2" customWidth="1"/>
    <col min="15886" max="15886" width="8.21875" style="2" customWidth="1"/>
    <col min="15887" max="15887" width="12.21875" style="2" customWidth="1"/>
    <col min="15888" max="15888" width="10.21875" style="2" customWidth="1"/>
    <col min="15889" max="15889" width="9.21875" style="2" customWidth="1"/>
    <col min="15890" max="16128" width="8.77734375" style="2"/>
    <col min="16129" max="16129" width="4.21875" style="2" customWidth="1"/>
    <col min="16130" max="16130" width="2.5546875" style="2" customWidth="1"/>
    <col min="16131" max="16132" width="8.77734375" style="2"/>
    <col min="16133" max="16133" width="7.21875" style="2" customWidth="1"/>
    <col min="16134" max="16134" width="8.21875" style="2" customWidth="1"/>
    <col min="16135" max="16136" width="10.21875" style="2" customWidth="1"/>
    <col min="16137" max="16137" width="3.77734375" style="2" customWidth="1"/>
    <col min="16138" max="16138" width="8.77734375" style="2"/>
    <col min="16139" max="16139" width="6.21875" style="2" customWidth="1"/>
    <col min="16140" max="16140" width="5.5546875" style="2" customWidth="1"/>
    <col min="16141" max="16141" width="10.77734375" style="2" customWidth="1"/>
    <col min="16142" max="16142" width="8.21875" style="2" customWidth="1"/>
    <col min="16143" max="16143" width="12.21875" style="2" customWidth="1"/>
    <col min="16144" max="16144" width="10.21875" style="2" customWidth="1"/>
    <col min="16145" max="16145" width="9.21875" style="2" customWidth="1"/>
    <col min="16146" max="16384" width="8.77734375" style="2"/>
  </cols>
  <sheetData>
    <row r="1" spans="1:18" ht="15.6">
      <c r="A1" s="1220" t="s">
        <v>20</v>
      </c>
      <c r="B1" s="1220"/>
      <c r="C1" s="1220"/>
      <c r="D1" s="1220"/>
      <c r="E1" s="1220"/>
      <c r="F1" s="1220"/>
      <c r="G1" s="1220"/>
      <c r="H1" s="1220"/>
      <c r="I1" s="1220"/>
      <c r="J1" s="1220"/>
      <c r="K1" s="1220"/>
      <c r="L1" s="1220"/>
      <c r="M1" s="1220"/>
      <c r="N1" s="1220"/>
      <c r="O1" s="1220"/>
      <c r="P1" s="49"/>
      <c r="Q1" s="50"/>
      <c r="R1" s="49"/>
    </row>
    <row r="2" spans="1:18" ht="15.6">
      <c r="A2" s="1220" t="s">
        <v>42</v>
      </c>
      <c r="B2" s="1220"/>
      <c r="C2" s="1220"/>
      <c r="D2" s="1220"/>
      <c r="E2" s="1220"/>
      <c r="F2" s="1220"/>
      <c r="G2" s="1220"/>
      <c r="H2" s="1220"/>
      <c r="I2" s="1220"/>
      <c r="J2" s="1220"/>
      <c r="K2" s="1220"/>
      <c r="L2" s="1220"/>
      <c r="M2" s="1220"/>
      <c r="N2" s="1220"/>
      <c r="O2" s="1220"/>
    </row>
    <row r="3" spans="1:18" ht="9" customHeight="1">
      <c r="A3" s="49"/>
      <c r="B3" s="49"/>
      <c r="C3" s="49"/>
      <c r="D3" s="49"/>
      <c r="E3" s="49"/>
      <c r="F3" s="49"/>
      <c r="G3" s="49"/>
      <c r="H3" s="49"/>
      <c r="I3" s="49"/>
      <c r="J3" s="49"/>
      <c r="K3" s="49"/>
      <c r="L3" s="49"/>
      <c r="M3" s="49"/>
      <c r="N3" s="49"/>
      <c r="O3" s="49"/>
    </row>
    <row r="4" spans="1:18" ht="7.5" customHeight="1"/>
    <row r="5" spans="1:18" ht="39" customHeight="1">
      <c r="A5" s="33" t="s">
        <v>22</v>
      </c>
      <c r="F5" s="34" t="s">
        <v>23</v>
      </c>
      <c r="H5" s="35" t="s">
        <v>24</v>
      </c>
      <c r="I5" s="36"/>
      <c r="J5" s="1221" t="s">
        <v>25</v>
      </c>
      <c r="K5" s="1217"/>
      <c r="M5" s="3" t="s">
        <v>26</v>
      </c>
      <c r="O5" s="37" t="s">
        <v>27</v>
      </c>
    </row>
    <row r="6" spans="1:18" ht="6.75" customHeight="1"/>
    <row r="7" spans="1:18" ht="15">
      <c r="B7" s="5" t="s">
        <v>6</v>
      </c>
      <c r="F7" s="38">
        <f>IF('Input (5)'!$G$4=0," ",'Input (5)'!$G$4)</f>
        <v>19</v>
      </c>
      <c r="G7" s="39"/>
      <c r="J7" s="1222">
        <f>IF('Input (5)'!G4=0,"0",'Input (5)'!G4)</f>
        <v>19</v>
      </c>
      <c r="K7" s="1222"/>
      <c r="L7" s="40" t="s">
        <v>28</v>
      </c>
      <c r="M7" s="41">
        <f>IF('Input (5)'!G4=0,0,LOOKUP(J7,'criteria (5)'!$A$3:$A$10,'criteria (5)'!$B$3:$B$10))</f>
        <v>40</v>
      </c>
      <c r="N7" s="42" t="s">
        <v>29</v>
      </c>
      <c r="O7" s="38">
        <f>IF(Q7=0,0,IF(Q7&lt;LOOKUP(J7,'criteria (5)'!$A$3:$A$10,'criteria (5)'!$C$3:$C$10),LOOKUP(J7,'criteria (5)'!$A$3:$A$10,'criteria (5)'!$C$3:$C$10),IF(LOOKUP(J7,'criteria (5)'!$A$3:$A$10,'criteria (5)'!$C$3:$C$10)=0,0,Q7)))</f>
        <v>0.6</v>
      </c>
      <c r="P7" s="28" t="str">
        <f>IF('Input (5)'!G4=0," ",IF(O7=0,"ADD to 1-6",IF(O7=Q7," ","Minimum")))</f>
        <v>Minimum</v>
      </c>
      <c r="Q7" s="32">
        <f>ROUND(IF('Input (5)'!G4=0,0,IF(M7=0,0,(J7/M7))),2)</f>
        <v>0.48</v>
      </c>
    </row>
    <row r="8" spans="1:18" ht="6.75" customHeight="1">
      <c r="J8" s="43"/>
      <c r="K8" s="43"/>
      <c r="O8" s="43"/>
    </row>
    <row r="9" spans="1:18">
      <c r="B9" s="5" t="s">
        <v>7</v>
      </c>
      <c r="J9" s="43"/>
      <c r="K9" s="43"/>
      <c r="O9" s="43"/>
    </row>
    <row r="10" spans="1:18">
      <c r="B10" s="28" t="s">
        <v>30</v>
      </c>
      <c r="J10" s="43"/>
      <c r="K10" s="43"/>
      <c r="O10" s="43"/>
    </row>
    <row r="11" spans="1:18" ht="16.5" customHeight="1">
      <c r="C11" s="12" t="s">
        <v>8</v>
      </c>
      <c r="F11" s="41" t="str">
        <f>IF(J11=0," ",IF($J$16&gt;300," ",'Input (5)'!G7))</f>
        <v xml:space="preserve"> </v>
      </c>
      <c r="G11" s="44" t="s">
        <v>31</v>
      </c>
      <c r="H11" s="38" t="str">
        <f>IF(J11=0," ",'C (5)'!H25)</f>
        <v xml:space="preserve"> </v>
      </c>
      <c r="I11" s="42" t="s">
        <v>29</v>
      </c>
      <c r="J11" s="1222">
        <f>IF('Input (5)'!G7=0,0,IF(SUM('Input (5)'!G7-'C (5)'!H25)+SUM('Input (5)'!G8-'C (5)'!H26)&gt;299.99,SUM('Input (5)'!G7-'C (5)'!H25),0))</f>
        <v>0</v>
      </c>
      <c r="K11" s="1222"/>
      <c r="L11" s="40" t="s">
        <v>28</v>
      </c>
      <c r="M11" s="41">
        <f>IF(SUM('Input (5)'!$G$7-'C (5)'!$H$25)+SUM('Input (5)'!$G$8-'C (5)'!$H$26)&gt;299.99,20,0)</f>
        <v>0</v>
      </c>
      <c r="N11" s="42" t="s">
        <v>29</v>
      </c>
      <c r="O11" s="38">
        <f>ROUND(IF(SUM('Input (5)'!$G$7-'C (5)'!$H$25)+SUM('Input (5)'!$G$8-'C (5)'!$H$26)&lt;299.99,0,IF(Q11+Q13&lt;15,0,(J11/M11))),2)</f>
        <v>0</v>
      </c>
      <c r="P11" s="2" t="str">
        <f>IF(O11=0," ",IF(O11=Q11," ","Minimum"))</f>
        <v xml:space="preserve"> </v>
      </c>
      <c r="Q11" s="32">
        <f>ROUND(IF(SUM('Input (5)'!$G$7-'C (5)'!$H$25)+SUM('Input (5)'!$G$8-'C (5)'!$H$26)&lt;299.99,0,(J11/M11)),2)</f>
        <v>0</v>
      </c>
    </row>
    <row r="12" spans="1:18" ht="9" customHeight="1">
      <c r="B12" s="12"/>
      <c r="J12" s="43"/>
      <c r="K12" s="43"/>
      <c r="O12" s="43"/>
    </row>
    <row r="13" spans="1:18" ht="15">
      <c r="C13" s="12" t="s">
        <v>9</v>
      </c>
      <c r="F13" s="41" t="str">
        <f>IF(J13=0," ",IF($J$16&gt;300," ",'Input (5)'!G8))</f>
        <v xml:space="preserve"> </v>
      </c>
      <c r="G13" s="44" t="s">
        <v>31</v>
      </c>
      <c r="H13" s="38" t="str">
        <f>IF(J13=0," ",'C (5)'!H26)</f>
        <v xml:space="preserve"> </v>
      </c>
      <c r="I13" s="42" t="s">
        <v>29</v>
      </c>
      <c r="J13" s="1222">
        <f>IF('Input (5)'!G8=0,0,IF(SUM('Input (5)'!G7-'C (5)'!H25)+SUM('Input (5)'!G8-'C (5)'!H26)&gt;299.99,SUM('Input (5)'!G8-'C (5)'!H26),0))</f>
        <v>0</v>
      </c>
      <c r="K13" s="1222"/>
      <c r="L13" s="40" t="s">
        <v>28</v>
      </c>
      <c r="M13" s="41">
        <f>IF(SUM('Input (5)'!$G$7-'C (5)'!$H$25)+SUM('Input (5)'!$G$8-'C (5)'!$H$26)&gt;299.99,23,0)</f>
        <v>0</v>
      </c>
      <c r="N13" s="42" t="s">
        <v>29</v>
      </c>
      <c r="O13" s="38">
        <f>ROUND(IF(SUM('Input (5)'!$G$7-'C (5)'!$H$25)+SUM('Input (5)'!$G$8-'C (5)'!$H$26)&lt;299.99,0,IF(Q11+Q13&lt;15,0,($J$13/$M$13))),2)</f>
        <v>0</v>
      </c>
      <c r="P13" s="2" t="str">
        <f>IF(O13=0," ",IF(O13=Q13," ","Minimum"))</f>
        <v xml:space="preserve"> </v>
      </c>
      <c r="Q13" s="32">
        <f>ROUND(IF(SUM('Input (5)'!$G$7-'C (5)'!$H$25)+SUM('Input (5)'!$G$8-'C (5)'!$H$26)&lt;299.99,0,($J$13/$M$13)),2)</f>
        <v>0</v>
      </c>
    </row>
    <row r="14" spans="1:18" ht="15">
      <c r="B14" s="5" t="s">
        <v>7</v>
      </c>
      <c r="F14" s="36"/>
      <c r="G14" s="44"/>
      <c r="H14" s="39"/>
      <c r="I14" s="42"/>
      <c r="O14" s="39" t="str">
        <f>IF(P14="Minimum",15," ")</f>
        <v xml:space="preserve"> </v>
      </c>
      <c r="P14" s="2" t="str">
        <f>IF(Q11+Q13=0," ",IF(Q11+Q13&lt;15,"Minimum"," "))</f>
        <v xml:space="preserve"> </v>
      </c>
    </row>
    <row r="15" spans="1:18">
      <c r="B15" s="28" t="s">
        <v>32</v>
      </c>
      <c r="O15" s="43"/>
    </row>
    <row r="16" spans="1:18" ht="15">
      <c r="C16" s="12" t="s">
        <v>33</v>
      </c>
      <c r="F16" s="41">
        <f>IF(J16=0," ",IF(J16&lt;300,SUM('Input (5)'!G7+'Input (5)'!G8)," "))</f>
        <v>98.8</v>
      </c>
      <c r="G16" s="44" t="s">
        <v>31</v>
      </c>
      <c r="H16" s="38">
        <f>IF(J16=0," ",'C (5)'!H22)</f>
        <v>7.4399999999999995</v>
      </c>
      <c r="I16" s="42" t="s">
        <v>29</v>
      </c>
      <c r="J16" s="1222">
        <f>IF('Input (5)'!G9=0,0,IF(SUM('Input (5)'!G7-'C (5)'!H25)+SUM('Input (5)'!G8-'C (5)'!H26)&lt;300,IF(P7="ADD to 1-6",SUM('Input (5)'!G7-'C (5)'!H25)+SUM('Input (5)'!G8-'C (5)'!H26)+'Input (5)'!G4,SUM('Input (5)'!G7-'C (5)'!H25)+SUM('Input (5)'!G8-'C (5)'!H26)),0))</f>
        <v>91.36</v>
      </c>
      <c r="K16" s="1222"/>
      <c r="L16" s="40" t="s">
        <v>28</v>
      </c>
      <c r="M16" s="41">
        <f>IF(SUM('Input (5)'!$G$7-'C (5)'!$H$25)+SUM('Input (5)'!$G$8-'C (5)'!$H$26)&lt;299.99,LOOKUP(J16,'criteria (5)'!$M$3:$M$11,'criteria (5)'!$N$3:$N$11),0)</f>
        <v>16</v>
      </c>
      <c r="N16" s="42" t="s">
        <v>29</v>
      </c>
      <c r="O16" s="38">
        <f>IF(Q16=0,0,IF(Q16&lt;LOOKUP(J16,'criteria (5)'!$M$3:$M$10,'criteria (5)'!$O$3:$O$10),LOOKUP(J16,'criteria (5)'!$M$3:$M$10,'criteria (5)'!$O$3:$O$10),Q16))</f>
        <v>5.71</v>
      </c>
      <c r="P16" s="2" t="str">
        <f>IF(O16=0," ",IF(O16=Q16," ","Minimum"))</f>
        <v xml:space="preserve"> </v>
      </c>
      <c r="Q16" s="32">
        <f>ROUND(IF('Input (5)'!G9=0,0,IF(SUM('Input (5)'!$G$7-'C (5)'!$H$25)+SUM('Input (5)'!$G$8-'C (5)'!$H$26)&gt;299.99,0,(J16/M16))),2)</f>
        <v>5.71</v>
      </c>
    </row>
    <row r="17" spans="1:17" ht="6" customHeight="1">
      <c r="J17" s="43"/>
      <c r="K17" s="43"/>
      <c r="O17" s="43"/>
    </row>
    <row r="18" spans="1:17" ht="15">
      <c r="B18" s="5" t="s">
        <v>10</v>
      </c>
      <c r="F18" s="41">
        <f>IF(J18=0," ",'Input (5)'!G10)</f>
        <v>133</v>
      </c>
      <c r="G18" s="44" t="s">
        <v>31</v>
      </c>
      <c r="H18" s="38">
        <f>IF(J18=0," ",'C (5)'!$H$43)</f>
        <v>7.7</v>
      </c>
      <c r="I18" s="42" t="s">
        <v>29</v>
      </c>
      <c r="J18" s="1222">
        <f>IF('Input (5)'!G10=0,0,SUM('Input (5)'!G10-'C (5)'!H43))</f>
        <v>125.3</v>
      </c>
      <c r="K18" s="1222"/>
      <c r="L18" s="40" t="s">
        <v>28</v>
      </c>
      <c r="M18" s="41">
        <f>IF(J18=0,0,IF(J18&gt;99.99,LOOKUP(J18,'criteria (5)'!Q3:Q10,'criteria (5)'!R3:R10),12))</f>
        <v>12</v>
      </c>
      <c r="N18" s="42" t="s">
        <v>29</v>
      </c>
      <c r="O18" s="38">
        <f>ROUND(IF(J18=0,0,IF(J18&lt;99.99,IF(M18=0,8,(J18/M18)),IF(Q18&lt;LOOKUP(J18,'criteria (5)'!$Q$3:$Q$10,'criteria (5)'!$S$3:$S$10),LOOKUP(J18,'criteria (5)'!$Q$3:$Q$10,'criteria (5)'!$S$3:$S$10),Q18))),2)</f>
        <v>10.44</v>
      </c>
      <c r="P18" s="2" t="str">
        <f>IF(O18=0," ",IF(O18=Q18," ","Minimum"))</f>
        <v xml:space="preserve"> </v>
      </c>
      <c r="Q18" s="32">
        <f>ROUND(IF(M18=0,0,(J18/M18)),2)</f>
        <v>10.44</v>
      </c>
    </row>
    <row r="19" spans="1:17">
      <c r="B19" s="5"/>
      <c r="J19" s="39"/>
      <c r="K19" s="39"/>
      <c r="M19" s="36"/>
      <c r="N19" s="42"/>
      <c r="O19" s="36"/>
    </row>
    <row r="20" spans="1:17" ht="15.6">
      <c r="A20" s="48" t="s">
        <v>43</v>
      </c>
      <c r="J20" s="43"/>
      <c r="K20" s="43"/>
    </row>
    <row r="21" spans="1:17" ht="3.75" customHeight="1">
      <c r="J21" s="43"/>
      <c r="K21" s="43"/>
    </row>
    <row r="22" spans="1:17">
      <c r="B22" s="2" t="s">
        <v>44</v>
      </c>
      <c r="J22" s="1222" t="str">
        <f>IF('C (5)'!H55=0," ",'C (5)'!H55)</f>
        <v xml:space="preserve"> </v>
      </c>
      <c r="K22" s="1222"/>
    </row>
    <row r="23" spans="1:17" ht="6" customHeight="1">
      <c r="J23" s="43"/>
      <c r="K23" s="43"/>
    </row>
    <row r="24" spans="1:17">
      <c r="B24" s="2" t="s">
        <v>45</v>
      </c>
      <c r="J24" s="1222">
        <f>IF('C (5)'!H22=0," ",'C (5)'!H22)</f>
        <v>7.4399999999999995</v>
      </c>
      <c r="K24" s="1222"/>
    </row>
    <row r="25" spans="1:17" ht="6" customHeight="1">
      <c r="J25" s="43"/>
      <c r="K25" s="43"/>
    </row>
    <row r="26" spans="1:17">
      <c r="B26" s="2" t="s">
        <v>46</v>
      </c>
      <c r="J26" s="1222">
        <f>IF('C (5)'!H43=0," ",'C (5)'!H43)</f>
        <v>7.7</v>
      </c>
      <c r="K26" s="1222"/>
    </row>
    <row r="27" spans="1:17" ht="6" customHeight="1">
      <c r="J27" s="43"/>
      <c r="K27" s="43"/>
    </row>
    <row r="28" spans="1:17" ht="6" customHeight="1">
      <c r="J28" s="39"/>
      <c r="K28" s="39"/>
    </row>
    <row r="29" spans="1:17" ht="13.5" customHeight="1" thickBot="1">
      <c r="B29" s="46" t="s">
        <v>47</v>
      </c>
      <c r="J29" s="1219">
        <f>SUM(J22:K27)</f>
        <v>15.14</v>
      </c>
      <c r="K29" s="1219"/>
      <c r="L29" s="40" t="s">
        <v>28</v>
      </c>
      <c r="M29" s="41">
        <f>IF(SUM('Input (5)'!C4:C10)=0,0,IF(J29&gt;=14,LOOKUP(J29,'criteria (5)'!$U$3:$U$10,'criteria (5)'!$V$3:$V$10),0))</f>
        <v>14.5</v>
      </c>
      <c r="N29" s="42" t="s">
        <v>29</v>
      </c>
      <c r="O29" s="38">
        <f>IF(J29=0,0,IF(Q29&lt;LOOKUP(J29,'criteria (5)'!$U$3:$U$10,'criteria (5)'!$W$3:$W$10),LOOKUP(J29,'criteria (5)'!$U$3:$U$10,'criteria (5)'!$W$3:$W$10),Q29))</f>
        <v>1.04</v>
      </c>
      <c r="P29" s="2" t="str">
        <f>IF(O29=0," ",IF(O29=Q29," ","Minimum"))</f>
        <v xml:space="preserve"> </v>
      </c>
      <c r="Q29" s="32">
        <f>ROUND(IF(SUM('Input (5)'!C4:C10)=0,0,IF(M29=0,0,(J29/M29))),2)</f>
        <v>1.04</v>
      </c>
    </row>
    <row r="30" spans="1:17" ht="12" customHeight="1" thickTop="1">
      <c r="B30" s="1226"/>
      <c r="C30" s="1226"/>
      <c r="D30" s="1226"/>
      <c r="E30" s="1226"/>
      <c r="F30" s="47"/>
      <c r="G30" s="47"/>
      <c r="H30" s="47"/>
      <c r="J30" s="12"/>
      <c r="N30" s="42"/>
      <c r="O30" s="39"/>
      <c r="P30" s="46"/>
    </row>
    <row r="31" spans="1:17" ht="19.5" customHeight="1">
      <c r="A31" s="48" t="s">
        <v>39</v>
      </c>
      <c r="O31" s="43"/>
    </row>
    <row r="32" spans="1:17" ht="15">
      <c r="B32" s="1227" t="str">
        <f>IF('Input (5)'!E14=0," ","Alternative Secondary High School")</f>
        <v xml:space="preserve"> </v>
      </c>
      <c r="C32" s="1227"/>
      <c r="D32" s="1227"/>
      <c r="E32" s="1227"/>
      <c r="F32" s="1227"/>
      <c r="J32" s="1222">
        <f>'Input (5)'!G14</f>
        <v>0</v>
      </c>
      <c r="K32" s="1222"/>
      <c r="L32" s="40" t="s">
        <v>28</v>
      </c>
      <c r="M32" s="41">
        <f>IF(J32=0,0,IF(Q32&lt;1,M18,12))</f>
        <v>0</v>
      </c>
      <c r="N32" s="42" t="s">
        <v>29</v>
      </c>
      <c r="O32" s="38">
        <f>ROUND(IF(J32=0,0,J32/M32),2)</f>
        <v>0</v>
      </c>
      <c r="P32" s="45"/>
      <c r="Q32" s="32">
        <f>ROUND(IF(J32=0,0,J32/12),2)</f>
        <v>0</v>
      </c>
    </row>
    <row r="33" spans="1:17" ht="11.25" customHeight="1">
      <c r="J33" s="43"/>
      <c r="K33" s="43"/>
      <c r="O33" s="43"/>
    </row>
    <row r="34" spans="1:17" ht="11.25" customHeight="1">
      <c r="B34" s="1227" t="str">
        <f>IF('Input (5)'!E15=0," ","Summer Alternative Secondary High School")</f>
        <v xml:space="preserve"> </v>
      </c>
      <c r="C34" s="1227"/>
      <c r="D34" s="1227"/>
      <c r="E34" s="1227"/>
      <c r="F34" s="1227"/>
      <c r="J34" s="1222">
        <f>'Input (5)'!E15</f>
        <v>0</v>
      </c>
      <c r="K34" s="1222"/>
      <c r="L34" s="40" t="s">
        <v>28</v>
      </c>
      <c r="M34" s="41">
        <f>IF(J34=0,0,40)</f>
        <v>0</v>
      </c>
      <c r="N34" s="42" t="s">
        <v>29</v>
      </c>
      <c r="O34" s="38">
        <f>ROUND(IF(J34=0,0,J34/M34),2)</f>
        <v>0</v>
      </c>
      <c r="P34" s="45"/>
      <c r="Q34" s="32">
        <f>ROUND(IF(J34=0,0,J34/12),2)</f>
        <v>0</v>
      </c>
    </row>
    <row r="35" spans="1:17" ht="13.5" customHeight="1">
      <c r="J35" s="36"/>
      <c r="K35" s="36"/>
      <c r="L35" s="40"/>
      <c r="M35" s="36"/>
      <c r="N35" s="42"/>
      <c r="O35" s="36"/>
      <c r="P35" s="46"/>
    </row>
    <row r="36" spans="1:17" ht="18.75" customHeight="1" thickBot="1">
      <c r="A36" s="45"/>
      <c r="B36" s="12" t="s">
        <v>40</v>
      </c>
      <c r="C36" s="46"/>
      <c r="D36" s="46"/>
      <c r="E36" s="46"/>
      <c r="F36" s="46"/>
      <c r="G36" s="46"/>
      <c r="H36" s="46"/>
      <c r="I36" s="46"/>
      <c r="J36" s="46"/>
      <c r="K36" s="46"/>
      <c r="M36" s="36"/>
      <c r="O36" s="52">
        <f>ROUND(IF(SUM(O7:O34)=0,0,SUM(O7:O34)),2)</f>
        <v>17.79</v>
      </c>
    </row>
    <row r="37" spans="1:17" ht="13.8" thickTop="1"/>
  </sheetData>
  <sheetProtection password="CDD6" sheet="1" objects="1" scenarios="1"/>
  <mergeCells count="17">
    <mergeCell ref="B30:E30"/>
    <mergeCell ref="B32:F32"/>
    <mergeCell ref="J32:K32"/>
    <mergeCell ref="B34:F34"/>
    <mergeCell ref="J34:K34"/>
    <mergeCell ref="J29:K29"/>
    <mergeCell ref="A1:O1"/>
    <mergeCell ref="A2:O2"/>
    <mergeCell ref="J5:K5"/>
    <mergeCell ref="J7:K7"/>
    <mergeCell ref="J11:K11"/>
    <mergeCell ref="J13:K13"/>
    <mergeCell ref="J16:K16"/>
    <mergeCell ref="J18:K18"/>
    <mergeCell ref="J22:K22"/>
    <mergeCell ref="J24:K24"/>
    <mergeCell ref="J26:K26"/>
  </mergeCells>
  <pageMargins left="0.5" right="0.5" top="0.5" bottom="0.5" header="0.25" footer="0.25"/>
  <pageSetup scale="76" orientation="portrait" r:id="rId1"/>
  <headerFooter alignWithMargins="0">
    <oddFooter>&amp;L&amp;F</oddFooter>
  </headerFooter>
  <colBreaks count="1" manualBreakCount="1">
    <brk id="16"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8"/>
  <dimension ref="A1:R37"/>
  <sheetViews>
    <sheetView showGridLines="0" zoomScale="90" zoomScaleNormal="100" workbookViewId="0">
      <selection activeCell="C4" sqref="C4"/>
    </sheetView>
  </sheetViews>
  <sheetFormatPr defaultRowHeight="13.2"/>
  <cols>
    <col min="1" max="1" width="4.21875" style="30" customWidth="1"/>
    <col min="2" max="2" width="2.5546875" style="2" customWidth="1"/>
    <col min="3" max="4" width="8.77734375" style="2"/>
    <col min="5" max="5" width="7.21875" style="2" customWidth="1"/>
    <col min="6" max="6" width="8.21875" style="2" customWidth="1"/>
    <col min="7" max="8" width="10.21875" style="2" customWidth="1"/>
    <col min="9" max="9" width="3.77734375" style="2" customWidth="1"/>
    <col min="10" max="10" width="8.77734375" style="2"/>
    <col min="11" max="11" width="6.21875" style="2" customWidth="1"/>
    <col min="12" max="12" width="5.5546875" style="2" customWidth="1"/>
    <col min="13" max="13" width="10.77734375" style="2" customWidth="1"/>
    <col min="14" max="14" width="8.21875" style="2" customWidth="1"/>
    <col min="15" max="15" width="12.21875" style="2" customWidth="1"/>
    <col min="16" max="16" width="10.21875" style="2" customWidth="1"/>
    <col min="17" max="17" width="9.21875" style="32" customWidth="1"/>
    <col min="18" max="256" width="8.77734375" style="2"/>
    <col min="257" max="257" width="4.21875" style="2" customWidth="1"/>
    <col min="258" max="258" width="2.5546875" style="2" customWidth="1"/>
    <col min="259" max="260" width="8.77734375" style="2"/>
    <col min="261" max="261" width="7.21875" style="2" customWidth="1"/>
    <col min="262" max="262" width="8.21875" style="2" customWidth="1"/>
    <col min="263" max="264" width="10.21875" style="2" customWidth="1"/>
    <col min="265" max="265" width="3.77734375" style="2" customWidth="1"/>
    <col min="266" max="266" width="8.77734375" style="2"/>
    <col min="267" max="267" width="6.21875" style="2" customWidth="1"/>
    <col min="268" max="268" width="5.5546875" style="2" customWidth="1"/>
    <col min="269" max="269" width="10.77734375" style="2" customWidth="1"/>
    <col min="270" max="270" width="8.21875" style="2" customWidth="1"/>
    <col min="271" max="271" width="12.21875" style="2" customWidth="1"/>
    <col min="272" max="272" width="10.21875" style="2" customWidth="1"/>
    <col min="273" max="273" width="9.21875" style="2" customWidth="1"/>
    <col min="274" max="512" width="8.77734375" style="2"/>
    <col min="513" max="513" width="4.21875" style="2" customWidth="1"/>
    <col min="514" max="514" width="2.5546875" style="2" customWidth="1"/>
    <col min="515" max="516" width="8.77734375" style="2"/>
    <col min="517" max="517" width="7.21875" style="2" customWidth="1"/>
    <col min="518" max="518" width="8.21875" style="2" customWidth="1"/>
    <col min="519" max="520" width="10.21875" style="2" customWidth="1"/>
    <col min="521" max="521" width="3.77734375" style="2" customWidth="1"/>
    <col min="522" max="522" width="8.77734375" style="2"/>
    <col min="523" max="523" width="6.21875" style="2" customWidth="1"/>
    <col min="524" max="524" width="5.5546875" style="2" customWidth="1"/>
    <col min="525" max="525" width="10.77734375" style="2" customWidth="1"/>
    <col min="526" max="526" width="8.21875" style="2" customWidth="1"/>
    <col min="527" max="527" width="12.21875" style="2" customWidth="1"/>
    <col min="528" max="528" width="10.21875" style="2" customWidth="1"/>
    <col min="529" max="529" width="9.21875" style="2" customWidth="1"/>
    <col min="530" max="768" width="8.77734375" style="2"/>
    <col min="769" max="769" width="4.21875" style="2" customWidth="1"/>
    <col min="770" max="770" width="2.5546875" style="2" customWidth="1"/>
    <col min="771" max="772" width="8.77734375" style="2"/>
    <col min="773" max="773" width="7.21875" style="2" customWidth="1"/>
    <col min="774" max="774" width="8.21875" style="2" customWidth="1"/>
    <col min="775" max="776" width="10.21875" style="2" customWidth="1"/>
    <col min="777" max="777" width="3.77734375" style="2" customWidth="1"/>
    <col min="778" max="778" width="8.77734375" style="2"/>
    <col min="779" max="779" width="6.21875" style="2" customWidth="1"/>
    <col min="780" max="780" width="5.5546875" style="2" customWidth="1"/>
    <col min="781" max="781" width="10.77734375" style="2" customWidth="1"/>
    <col min="782" max="782" width="8.21875" style="2" customWidth="1"/>
    <col min="783" max="783" width="12.21875" style="2" customWidth="1"/>
    <col min="784" max="784" width="10.21875" style="2" customWidth="1"/>
    <col min="785" max="785" width="9.21875" style="2" customWidth="1"/>
    <col min="786" max="1024" width="8.77734375" style="2"/>
    <col min="1025" max="1025" width="4.21875" style="2" customWidth="1"/>
    <col min="1026" max="1026" width="2.5546875" style="2" customWidth="1"/>
    <col min="1027" max="1028" width="8.77734375" style="2"/>
    <col min="1029" max="1029" width="7.21875" style="2" customWidth="1"/>
    <col min="1030" max="1030" width="8.21875" style="2" customWidth="1"/>
    <col min="1031" max="1032" width="10.21875" style="2" customWidth="1"/>
    <col min="1033" max="1033" width="3.77734375" style="2" customWidth="1"/>
    <col min="1034" max="1034" width="8.77734375" style="2"/>
    <col min="1035" max="1035" width="6.21875" style="2" customWidth="1"/>
    <col min="1036" max="1036" width="5.5546875" style="2" customWidth="1"/>
    <col min="1037" max="1037" width="10.77734375" style="2" customWidth="1"/>
    <col min="1038" max="1038" width="8.21875" style="2" customWidth="1"/>
    <col min="1039" max="1039" width="12.21875" style="2" customWidth="1"/>
    <col min="1040" max="1040" width="10.21875" style="2" customWidth="1"/>
    <col min="1041" max="1041" width="9.21875" style="2" customWidth="1"/>
    <col min="1042" max="1280" width="8.77734375" style="2"/>
    <col min="1281" max="1281" width="4.21875" style="2" customWidth="1"/>
    <col min="1282" max="1282" width="2.5546875" style="2" customWidth="1"/>
    <col min="1283" max="1284" width="8.77734375" style="2"/>
    <col min="1285" max="1285" width="7.21875" style="2" customWidth="1"/>
    <col min="1286" max="1286" width="8.21875" style="2" customWidth="1"/>
    <col min="1287" max="1288" width="10.21875" style="2" customWidth="1"/>
    <col min="1289" max="1289" width="3.77734375" style="2" customWidth="1"/>
    <col min="1290" max="1290" width="8.77734375" style="2"/>
    <col min="1291" max="1291" width="6.21875" style="2" customWidth="1"/>
    <col min="1292" max="1292" width="5.5546875" style="2" customWidth="1"/>
    <col min="1293" max="1293" width="10.77734375" style="2" customWidth="1"/>
    <col min="1294" max="1294" width="8.21875" style="2" customWidth="1"/>
    <col min="1295" max="1295" width="12.21875" style="2" customWidth="1"/>
    <col min="1296" max="1296" width="10.21875" style="2" customWidth="1"/>
    <col min="1297" max="1297" width="9.21875" style="2" customWidth="1"/>
    <col min="1298" max="1536" width="8.77734375" style="2"/>
    <col min="1537" max="1537" width="4.21875" style="2" customWidth="1"/>
    <col min="1538" max="1538" width="2.5546875" style="2" customWidth="1"/>
    <col min="1539" max="1540" width="8.77734375" style="2"/>
    <col min="1541" max="1541" width="7.21875" style="2" customWidth="1"/>
    <col min="1542" max="1542" width="8.21875" style="2" customWidth="1"/>
    <col min="1543" max="1544" width="10.21875" style="2" customWidth="1"/>
    <col min="1545" max="1545" width="3.77734375" style="2" customWidth="1"/>
    <col min="1546" max="1546" width="8.77734375" style="2"/>
    <col min="1547" max="1547" width="6.21875" style="2" customWidth="1"/>
    <col min="1548" max="1548" width="5.5546875" style="2" customWidth="1"/>
    <col min="1549" max="1549" width="10.77734375" style="2" customWidth="1"/>
    <col min="1550" max="1550" width="8.21875" style="2" customWidth="1"/>
    <col min="1551" max="1551" width="12.21875" style="2" customWidth="1"/>
    <col min="1552" max="1552" width="10.21875" style="2" customWidth="1"/>
    <col min="1553" max="1553" width="9.21875" style="2" customWidth="1"/>
    <col min="1554" max="1792" width="8.77734375" style="2"/>
    <col min="1793" max="1793" width="4.21875" style="2" customWidth="1"/>
    <col min="1794" max="1794" width="2.5546875" style="2" customWidth="1"/>
    <col min="1795" max="1796" width="8.77734375" style="2"/>
    <col min="1797" max="1797" width="7.21875" style="2" customWidth="1"/>
    <col min="1798" max="1798" width="8.21875" style="2" customWidth="1"/>
    <col min="1799" max="1800" width="10.21875" style="2" customWidth="1"/>
    <col min="1801" max="1801" width="3.77734375" style="2" customWidth="1"/>
    <col min="1802" max="1802" width="8.77734375" style="2"/>
    <col min="1803" max="1803" width="6.21875" style="2" customWidth="1"/>
    <col min="1804" max="1804" width="5.5546875" style="2" customWidth="1"/>
    <col min="1805" max="1805" width="10.77734375" style="2" customWidth="1"/>
    <col min="1806" max="1806" width="8.21875" style="2" customWidth="1"/>
    <col min="1807" max="1807" width="12.21875" style="2" customWidth="1"/>
    <col min="1808" max="1808" width="10.21875" style="2" customWidth="1"/>
    <col min="1809" max="1809" width="9.21875" style="2" customWidth="1"/>
    <col min="1810" max="2048" width="8.77734375" style="2"/>
    <col min="2049" max="2049" width="4.21875" style="2" customWidth="1"/>
    <col min="2050" max="2050" width="2.5546875" style="2" customWidth="1"/>
    <col min="2051" max="2052" width="8.77734375" style="2"/>
    <col min="2053" max="2053" width="7.21875" style="2" customWidth="1"/>
    <col min="2054" max="2054" width="8.21875" style="2" customWidth="1"/>
    <col min="2055" max="2056" width="10.21875" style="2" customWidth="1"/>
    <col min="2057" max="2057" width="3.77734375" style="2" customWidth="1"/>
    <col min="2058" max="2058" width="8.77734375" style="2"/>
    <col min="2059" max="2059" width="6.21875" style="2" customWidth="1"/>
    <col min="2060" max="2060" width="5.5546875" style="2" customWidth="1"/>
    <col min="2061" max="2061" width="10.77734375" style="2" customWidth="1"/>
    <col min="2062" max="2062" width="8.21875" style="2" customWidth="1"/>
    <col min="2063" max="2063" width="12.21875" style="2" customWidth="1"/>
    <col min="2064" max="2064" width="10.21875" style="2" customWidth="1"/>
    <col min="2065" max="2065" width="9.21875" style="2" customWidth="1"/>
    <col min="2066" max="2304" width="8.77734375" style="2"/>
    <col min="2305" max="2305" width="4.21875" style="2" customWidth="1"/>
    <col min="2306" max="2306" width="2.5546875" style="2" customWidth="1"/>
    <col min="2307" max="2308" width="8.77734375" style="2"/>
    <col min="2309" max="2309" width="7.21875" style="2" customWidth="1"/>
    <col min="2310" max="2310" width="8.21875" style="2" customWidth="1"/>
    <col min="2311" max="2312" width="10.21875" style="2" customWidth="1"/>
    <col min="2313" max="2313" width="3.77734375" style="2" customWidth="1"/>
    <col min="2314" max="2314" width="8.77734375" style="2"/>
    <col min="2315" max="2315" width="6.21875" style="2" customWidth="1"/>
    <col min="2316" max="2316" width="5.5546875" style="2" customWidth="1"/>
    <col min="2317" max="2317" width="10.77734375" style="2" customWidth="1"/>
    <col min="2318" max="2318" width="8.21875" style="2" customWidth="1"/>
    <col min="2319" max="2319" width="12.21875" style="2" customWidth="1"/>
    <col min="2320" max="2320" width="10.21875" style="2" customWidth="1"/>
    <col min="2321" max="2321" width="9.21875" style="2" customWidth="1"/>
    <col min="2322" max="2560" width="8.77734375" style="2"/>
    <col min="2561" max="2561" width="4.21875" style="2" customWidth="1"/>
    <col min="2562" max="2562" width="2.5546875" style="2" customWidth="1"/>
    <col min="2563" max="2564" width="8.77734375" style="2"/>
    <col min="2565" max="2565" width="7.21875" style="2" customWidth="1"/>
    <col min="2566" max="2566" width="8.21875" style="2" customWidth="1"/>
    <col min="2567" max="2568" width="10.21875" style="2" customWidth="1"/>
    <col min="2569" max="2569" width="3.77734375" style="2" customWidth="1"/>
    <col min="2570" max="2570" width="8.77734375" style="2"/>
    <col min="2571" max="2571" width="6.21875" style="2" customWidth="1"/>
    <col min="2572" max="2572" width="5.5546875" style="2" customWidth="1"/>
    <col min="2573" max="2573" width="10.77734375" style="2" customWidth="1"/>
    <col min="2574" max="2574" width="8.21875" style="2" customWidth="1"/>
    <col min="2575" max="2575" width="12.21875" style="2" customWidth="1"/>
    <col min="2576" max="2576" width="10.21875" style="2" customWidth="1"/>
    <col min="2577" max="2577" width="9.21875" style="2" customWidth="1"/>
    <col min="2578" max="2816" width="8.77734375" style="2"/>
    <col min="2817" max="2817" width="4.21875" style="2" customWidth="1"/>
    <col min="2818" max="2818" width="2.5546875" style="2" customWidth="1"/>
    <col min="2819" max="2820" width="8.77734375" style="2"/>
    <col min="2821" max="2821" width="7.21875" style="2" customWidth="1"/>
    <col min="2822" max="2822" width="8.21875" style="2" customWidth="1"/>
    <col min="2823" max="2824" width="10.21875" style="2" customWidth="1"/>
    <col min="2825" max="2825" width="3.77734375" style="2" customWidth="1"/>
    <col min="2826" max="2826" width="8.77734375" style="2"/>
    <col min="2827" max="2827" width="6.21875" style="2" customWidth="1"/>
    <col min="2828" max="2828" width="5.5546875" style="2" customWidth="1"/>
    <col min="2829" max="2829" width="10.77734375" style="2" customWidth="1"/>
    <col min="2830" max="2830" width="8.21875" style="2" customWidth="1"/>
    <col min="2831" max="2831" width="12.21875" style="2" customWidth="1"/>
    <col min="2832" max="2832" width="10.21875" style="2" customWidth="1"/>
    <col min="2833" max="2833" width="9.21875" style="2" customWidth="1"/>
    <col min="2834" max="3072" width="8.77734375" style="2"/>
    <col min="3073" max="3073" width="4.21875" style="2" customWidth="1"/>
    <col min="3074" max="3074" width="2.5546875" style="2" customWidth="1"/>
    <col min="3075" max="3076" width="8.77734375" style="2"/>
    <col min="3077" max="3077" width="7.21875" style="2" customWidth="1"/>
    <col min="3078" max="3078" width="8.21875" style="2" customWidth="1"/>
    <col min="3079" max="3080" width="10.21875" style="2" customWidth="1"/>
    <col min="3081" max="3081" width="3.77734375" style="2" customWidth="1"/>
    <col min="3082" max="3082" width="8.77734375" style="2"/>
    <col min="3083" max="3083" width="6.21875" style="2" customWidth="1"/>
    <col min="3084" max="3084" width="5.5546875" style="2" customWidth="1"/>
    <col min="3085" max="3085" width="10.77734375" style="2" customWidth="1"/>
    <col min="3086" max="3086" width="8.21875" style="2" customWidth="1"/>
    <col min="3087" max="3087" width="12.21875" style="2" customWidth="1"/>
    <col min="3088" max="3088" width="10.21875" style="2" customWidth="1"/>
    <col min="3089" max="3089" width="9.21875" style="2" customWidth="1"/>
    <col min="3090" max="3328" width="8.77734375" style="2"/>
    <col min="3329" max="3329" width="4.21875" style="2" customWidth="1"/>
    <col min="3330" max="3330" width="2.5546875" style="2" customWidth="1"/>
    <col min="3331" max="3332" width="8.77734375" style="2"/>
    <col min="3333" max="3333" width="7.21875" style="2" customWidth="1"/>
    <col min="3334" max="3334" width="8.21875" style="2" customWidth="1"/>
    <col min="3335" max="3336" width="10.21875" style="2" customWidth="1"/>
    <col min="3337" max="3337" width="3.77734375" style="2" customWidth="1"/>
    <col min="3338" max="3338" width="8.77734375" style="2"/>
    <col min="3339" max="3339" width="6.21875" style="2" customWidth="1"/>
    <col min="3340" max="3340" width="5.5546875" style="2" customWidth="1"/>
    <col min="3341" max="3341" width="10.77734375" style="2" customWidth="1"/>
    <col min="3342" max="3342" width="8.21875" style="2" customWidth="1"/>
    <col min="3343" max="3343" width="12.21875" style="2" customWidth="1"/>
    <col min="3344" max="3344" width="10.21875" style="2" customWidth="1"/>
    <col min="3345" max="3345" width="9.21875" style="2" customWidth="1"/>
    <col min="3346" max="3584" width="8.77734375" style="2"/>
    <col min="3585" max="3585" width="4.21875" style="2" customWidth="1"/>
    <col min="3586" max="3586" width="2.5546875" style="2" customWidth="1"/>
    <col min="3587" max="3588" width="8.77734375" style="2"/>
    <col min="3589" max="3589" width="7.21875" style="2" customWidth="1"/>
    <col min="3590" max="3590" width="8.21875" style="2" customWidth="1"/>
    <col min="3591" max="3592" width="10.21875" style="2" customWidth="1"/>
    <col min="3593" max="3593" width="3.77734375" style="2" customWidth="1"/>
    <col min="3594" max="3594" width="8.77734375" style="2"/>
    <col min="3595" max="3595" width="6.21875" style="2" customWidth="1"/>
    <col min="3596" max="3596" width="5.5546875" style="2" customWidth="1"/>
    <col min="3597" max="3597" width="10.77734375" style="2" customWidth="1"/>
    <col min="3598" max="3598" width="8.21875" style="2" customWidth="1"/>
    <col min="3599" max="3599" width="12.21875" style="2" customWidth="1"/>
    <col min="3600" max="3600" width="10.21875" style="2" customWidth="1"/>
    <col min="3601" max="3601" width="9.21875" style="2" customWidth="1"/>
    <col min="3602" max="3840" width="8.77734375" style="2"/>
    <col min="3841" max="3841" width="4.21875" style="2" customWidth="1"/>
    <col min="3842" max="3842" width="2.5546875" style="2" customWidth="1"/>
    <col min="3843" max="3844" width="8.77734375" style="2"/>
    <col min="3845" max="3845" width="7.21875" style="2" customWidth="1"/>
    <col min="3846" max="3846" width="8.21875" style="2" customWidth="1"/>
    <col min="3847" max="3848" width="10.21875" style="2" customWidth="1"/>
    <col min="3849" max="3849" width="3.77734375" style="2" customWidth="1"/>
    <col min="3850" max="3850" width="8.77734375" style="2"/>
    <col min="3851" max="3851" width="6.21875" style="2" customWidth="1"/>
    <col min="3852" max="3852" width="5.5546875" style="2" customWidth="1"/>
    <col min="3853" max="3853" width="10.77734375" style="2" customWidth="1"/>
    <col min="3854" max="3854" width="8.21875" style="2" customWidth="1"/>
    <col min="3855" max="3855" width="12.21875" style="2" customWidth="1"/>
    <col min="3856" max="3856" width="10.21875" style="2" customWidth="1"/>
    <col min="3857" max="3857" width="9.21875" style="2" customWidth="1"/>
    <col min="3858" max="4096" width="8.77734375" style="2"/>
    <col min="4097" max="4097" width="4.21875" style="2" customWidth="1"/>
    <col min="4098" max="4098" width="2.5546875" style="2" customWidth="1"/>
    <col min="4099" max="4100" width="8.77734375" style="2"/>
    <col min="4101" max="4101" width="7.21875" style="2" customWidth="1"/>
    <col min="4102" max="4102" width="8.21875" style="2" customWidth="1"/>
    <col min="4103" max="4104" width="10.21875" style="2" customWidth="1"/>
    <col min="4105" max="4105" width="3.77734375" style="2" customWidth="1"/>
    <col min="4106" max="4106" width="8.77734375" style="2"/>
    <col min="4107" max="4107" width="6.21875" style="2" customWidth="1"/>
    <col min="4108" max="4108" width="5.5546875" style="2" customWidth="1"/>
    <col min="4109" max="4109" width="10.77734375" style="2" customWidth="1"/>
    <col min="4110" max="4110" width="8.21875" style="2" customWidth="1"/>
    <col min="4111" max="4111" width="12.21875" style="2" customWidth="1"/>
    <col min="4112" max="4112" width="10.21875" style="2" customWidth="1"/>
    <col min="4113" max="4113" width="9.21875" style="2" customWidth="1"/>
    <col min="4114" max="4352" width="8.77734375" style="2"/>
    <col min="4353" max="4353" width="4.21875" style="2" customWidth="1"/>
    <col min="4354" max="4354" width="2.5546875" style="2" customWidth="1"/>
    <col min="4355" max="4356" width="8.77734375" style="2"/>
    <col min="4357" max="4357" width="7.21875" style="2" customWidth="1"/>
    <col min="4358" max="4358" width="8.21875" style="2" customWidth="1"/>
    <col min="4359" max="4360" width="10.21875" style="2" customWidth="1"/>
    <col min="4361" max="4361" width="3.77734375" style="2" customWidth="1"/>
    <col min="4362" max="4362" width="8.77734375" style="2"/>
    <col min="4363" max="4363" width="6.21875" style="2" customWidth="1"/>
    <col min="4364" max="4364" width="5.5546875" style="2" customWidth="1"/>
    <col min="4365" max="4365" width="10.77734375" style="2" customWidth="1"/>
    <col min="4366" max="4366" width="8.21875" style="2" customWidth="1"/>
    <col min="4367" max="4367" width="12.21875" style="2" customWidth="1"/>
    <col min="4368" max="4368" width="10.21875" style="2" customWidth="1"/>
    <col min="4369" max="4369" width="9.21875" style="2" customWidth="1"/>
    <col min="4370" max="4608" width="8.77734375" style="2"/>
    <col min="4609" max="4609" width="4.21875" style="2" customWidth="1"/>
    <col min="4610" max="4610" width="2.5546875" style="2" customWidth="1"/>
    <col min="4611" max="4612" width="8.77734375" style="2"/>
    <col min="4613" max="4613" width="7.21875" style="2" customWidth="1"/>
    <col min="4614" max="4614" width="8.21875" style="2" customWidth="1"/>
    <col min="4615" max="4616" width="10.21875" style="2" customWidth="1"/>
    <col min="4617" max="4617" width="3.77734375" style="2" customWidth="1"/>
    <col min="4618" max="4618" width="8.77734375" style="2"/>
    <col min="4619" max="4619" width="6.21875" style="2" customWidth="1"/>
    <col min="4620" max="4620" width="5.5546875" style="2" customWidth="1"/>
    <col min="4621" max="4621" width="10.77734375" style="2" customWidth="1"/>
    <col min="4622" max="4622" width="8.21875" style="2" customWidth="1"/>
    <col min="4623" max="4623" width="12.21875" style="2" customWidth="1"/>
    <col min="4624" max="4624" width="10.21875" style="2" customWidth="1"/>
    <col min="4625" max="4625" width="9.21875" style="2" customWidth="1"/>
    <col min="4626" max="4864" width="8.77734375" style="2"/>
    <col min="4865" max="4865" width="4.21875" style="2" customWidth="1"/>
    <col min="4866" max="4866" width="2.5546875" style="2" customWidth="1"/>
    <col min="4867" max="4868" width="8.77734375" style="2"/>
    <col min="4869" max="4869" width="7.21875" style="2" customWidth="1"/>
    <col min="4870" max="4870" width="8.21875" style="2" customWidth="1"/>
    <col min="4871" max="4872" width="10.21875" style="2" customWidth="1"/>
    <col min="4873" max="4873" width="3.77734375" style="2" customWidth="1"/>
    <col min="4874" max="4874" width="8.77734375" style="2"/>
    <col min="4875" max="4875" width="6.21875" style="2" customWidth="1"/>
    <col min="4876" max="4876" width="5.5546875" style="2" customWidth="1"/>
    <col min="4877" max="4877" width="10.77734375" style="2" customWidth="1"/>
    <col min="4878" max="4878" width="8.21875" style="2" customWidth="1"/>
    <col min="4879" max="4879" width="12.21875" style="2" customWidth="1"/>
    <col min="4880" max="4880" width="10.21875" style="2" customWidth="1"/>
    <col min="4881" max="4881" width="9.21875" style="2" customWidth="1"/>
    <col min="4882" max="5120" width="8.77734375" style="2"/>
    <col min="5121" max="5121" width="4.21875" style="2" customWidth="1"/>
    <col min="5122" max="5122" width="2.5546875" style="2" customWidth="1"/>
    <col min="5123" max="5124" width="8.77734375" style="2"/>
    <col min="5125" max="5125" width="7.21875" style="2" customWidth="1"/>
    <col min="5126" max="5126" width="8.21875" style="2" customWidth="1"/>
    <col min="5127" max="5128" width="10.21875" style="2" customWidth="1"/>
    <col min="5129" max="5129" width="3.77734375" style="2" customWidth="1"/>
    <col min="5130" max="5130" width="8.77734375" style="2"/>
    <col min="5131" max="5131" width="6.21875" style="2" customWidth="1"/>
    <col min="5132" max="5132" width="5.5546875" style="2" customWidth="1"/>
    <col min="5133" max="5133" width="10.77734375" style="2" customWidth="1"/>
    <col min="5134" max="5134" width="8.21875" style="2" customWidth="1"/>
    <col min="5135" max="5135" width="12.21875" style="2" customWidth="1"/>
    <col min="5136" max="5136" width="10.21875" style="2" customWidth="1"/>
    <col min="5137" max="5137" width="9.21875" style="2" customWidth="1"/>
    <col min="5138" max="5376" width="8.77734375" style="2"/>
    <col min="5377" max="5377" width="4.21875" style="2" customWidth="1"/>
    <col min="5378" max="5378" width="2.5546875" style="2" customWidth="1"/>
    <col min="5379" max="5380" width="8.77734375" style="2"/>
    <col min="5381" max="5381" width="7.21875" style="2" customWidth="1"/>
    <col min="5382" max="5382" width="8.21875" style="2" customWidth="1"/>
    <col min="5383" max="5384" width="10.21875" style="2" customWidth="1"/>
    <col min="5385" max="5385" width="3.77734375" style="2" customWidth="1"/>
    <col min="5386" max="5386" width="8.77734375" style="2"/>
    <col min="5387" max="5387" width="6.21875" style="2" customWidth="1"/>
    <col min="5388" max="5388" width="5.5546875" style="2" customWidth="1"/>
    <col min="5389" max="5389" width="10.77734375" style="2" customWidth="1"/>
    <col min="5390" max="5390" width="8.21875" style="2" customWidth="1"/>
    <col min="5391" max="5391" width="12.21875" style="2" customWidth="1"/>
    <col min="5392" max="5392" width="10.21875" style="2" customWidth="1"/>
    <col min="5393" max="5393" width="9.21875" style="2" customWidth="1"/>
    <col min="5394" max="5632" width="8.77734375" style="2"/>
    <col min="5633" max="5633" width="4.21875" style="2" customWidth="1"/>
    <col min="5634" max="5634" width="2.5546875" style="2" customWidth="1"/>
    <col min="5635" max="5636" width="8.77734375" style="2"/>
    <col min="5637" max="5637" width="7.21875" style="2" customWidth="1"/>
    <col min="5638" max="5638" width="8.21875" style="2" customWidth="1"/>
    <col min="5639" max="5640" width="10.21875" style="2" customWidth="1"/>
    <col min="5641" max="5641" width="3.77734375" style="2" customWidth="1"/>
    <col min="5642" max="5642" width="8.77734375" style="2"/>
    <col min="5643" max="5643" width="6.21875" style="2" customWidth="1"/>
    <col min="5644" max="5644" width="5.5546875" style="2" customWidth="1"/>
    <col min="5645" max="5645" width="10.77734375" style="2" customWidth="1"/>
    <col min="5646" max="5646" width="8.21875" style="2" customWidth="1"/>
    <col min="5647" max="5647" width="12.21875" style="2" customWidth="1"/>
    <col min="5648" max="5648" width="10.21875" style="2" customWidth="1"/>
    <col min="5649" max="5649" width="9.21875" style="2" customWidth="1"/>
    <col min="5650" max="5888" width="8.77734375" style="2"/>
    <col min="5889" max="5889" width="4.21875" style="2" customWidth="1"/>
    <col min="5890" max="5890" width="2.5546875" style="2" customWidth="1"/>
    <col min="5891" max="5892" width="8.77734375" style="2"/>
    <col min="5893" max="5893" width="7.21875" style="2" customWidth="1"/>
    <col min="5894" max="5894" width="8.21875" style="2" customWidth="1"/>
    <col min="5895" max="5896" width="10.21875" style="2" customWidth="1"/>
    <col min="5897" max="5897" width="3.77734375" style="2" customWidth="1"/>
    <col min="5898" max="5898" width="8.77734375" style="2"/>
    <col min="5899" max="5899" width="6.21875" style="2" customWidth="1"/>
    <col min="5900" max="5900" width="5.5546875" style="2" customWidth="1"/>
    <col min="5901" max="5901" width="10.77734375" style="2" customWidth="1"/>
    <col min="5902" max="5902" width="8.21875" style="2" customWidth="1"/>
    <col min="5903" max="5903" width="12.21875" style="2" customWidth="1"/>
    <col min="5904" max="5904" width="10.21875" style="2" customWidth="1"/>
    <col min="5905" max="5905" width="9.21875" style="2" customWidth="1"/>
    <col min="5906" max="6144" width="8.77734375" style="2"/>
    <col min="6145" max="6145" width="4.21875" style="2" customWidth="1"/>
    <col min="6146" max="6146" width="2.5546875" style="2" customWidth="1"/>
    <col min="6147" max="6148" width="8.77734375" style="2"/>
    <col min="6149" max="6149" width="7.21875" style="2" customWidth="1"/>
    <col min="6150" max="6150" width="8.21875" style="2" customWidth="1"/>
    <col min="6151" max="6152" width="10.21875" style="2" customWidth="1"/>
    <col min="6153" max="6153" width="3.77734375" style="2" customWidth="1"/>
    <col min="6154" max="6154" width="8.77734375" style="2"/>
    <col min="6155" max="6155" width="6.21875" style="2" customWidth="1"/>
    <col min="6156" max="6156" width="5.5546875" style="2" customWidth="1"/>
    <col min="6157" max="6157" width="10.77734375" style="2" customWidth="1"/>
    <col min="6158" max="6158" width="8.21875" style="2" customWidth="1"/>
    <col min="6159" max="6159" width="12.21875" style="2" customWidth="1"/>
    <col min="6160" max="6160" width="10.21875" style="2" customWidth="1"/>
    <col min="6161" max="6161" width="9.21875" style="2" customWidth="1"/>
    <col min="6162" max="6400" width="8.77734375" style="2"/>
    <col min="6401" max="6401" width="4.21875" style="2" customWidth="1"/>
    <col min="6402" max="6402" width="2.5546875" style="2" customWidth="1"/>
    <col min="6403" max="6404" width="8.77734375" style="2"/>
    <col min="6405" max="6405" width="7.21875" style="2" customWidth="1"/>
    <col min="6406" max="6406" width="8.21875" style="2" customWidth="1"/>
    <col min="6407" max="6408" width="10.21875" style="2" customWidth="1"/>
    <col min="6409" max="6409" width="3.77734375" style="2" customWidth="1"/>
    <col min="6410" max="6410" width="8.77734375" style="2"/>
    <col min="6411" max="6411" width="6.21875" style="2" customWidth="1"/>
    <col min="6412" max="6412" width="5.5546875" style="2" customWidth="1"/>
    <col min="6413" max="6413" width="10.77734375" style="2" customWidth="1"/>
    <col min="6414" max="6414" width="8.21875" style="2" customWidth="1"/>
    <col min="6415" max="6415" width="12.21875" style="2" customWidth="1"/>
    <col min="6416" max="6416" width="10.21875" style="2" customWidth="1"/>
    <col min="6417" max="6417" width="9.21875" style="2" customWidth="1"/>
    <col min="6418" max="6656" width="8.77734375" style="2"/>
    <col min="6657" max="6657" width="4.21875" style="2" customWidth="1"/>
    <col min="6658" max="6658" width="2.5546875" style="2" customWidth="1"/>
    <col min="6659" max="6660" width="8.77734375" style="2"/>
    <col min="6661" max="6661" width="7.21875" style="2" customWidth="1"/>
    <col min="6662" max="6662" width="8.21875" style="2" customWidth="1"/>
    <col min="6663" max="6664" width="10.21875" style="2" customWidth="1"/>
    <col min="6665" max="6665" width="3.77734375" style="2" customWidth="1"/>
    <col min="6666" max="6666" width="8.77734375" style="2"/>
    <col min="6667" max="6667" width="6.21875" style="2" customWidth="1"/>
    <col min="6668" max="6668" width="5.5546875" style="2" customWidth="1"/>
    <col min="6669" max="6669" width="10.77734375" style="2" customWidth="1"/>
    <col min="6670" max="6670" width="8.21875" style="2" customWidth="1"/>
    <col min="6671" max="6671" width="12.21875" style="2" customWidth="1"/>
    <col min="6672" max="6672" width="10.21875" style="2" customWidth="1"/>
    <col min="6673" max="6673" width="9.21875" style="2" customWidth="1"/>
    <col min="6674" max="6912" width="8.77734375" style="2"/>
    <col min="6913" max="6913" width="4.21875" style="2" customWidth="1"/>
    <col min="6914" max="6914" width="2.5546875" style="2" customWidth="1"/>
    <col min="6915" max="6916" width="8.77734375" style="2"/>
    <col min="6917" max="6917" width="7.21875" style="2" customWidth="1"/>
    <col min="6918" max="6918" width="8.21875" style="2" customWidth="1"/>
    <col min="6919" max="6920" width="10.21875" style="2" customWidth="1"/>
    <col min="6921" max="6921" width="3.77734375" style="2" customWidth="1"/>
    <col min="6922" max="6922" width="8.77734375" style="2"/>
    <col min="6923" max="6923" width="6.21875" style="2" customWidth="1"/>
    <col min="6924" max="6924" width="5.5546875" style="2" customWidth="1"/>
    <col min="6925" max="6925" width="10.77734375" style="2" customWidth="1"/>
    <col min="6926" max="6926" width="8.21875" style="2" customWidth="1"/>
    <col min="6927" max="6927" width="12.21875" style="2" customWidth="1"/>
    <col min="6928" max="6928" width="10.21875" style="2" customWidth="1"/>
    <col min="6929" max="6929" width="9.21875" style="2" customWidth="1"/>
    <col min="6930" max="7168" width="8.77734375" style="2"/>
    <col min="7169" max="7169" width="4.21875" style="2" customWidth="1"/>
    <col min="7170" max="7170" width="2.5546875" style="2" customWidth="1"/>
    <col min="7171" max="7172" width="8.77734375" style="2"/>
    <col min="7173" max="7173" width="7.21875" style="2" customWidth="1"/>
    <col min="7174" max="7174" width="8.21875" style="2" customWidth="1"/>
    <col min="7175" max="7176" width="10.21875" style="2" customWidth="1"/>
    <col min="7177" max="7177" width="3.77734375" style="2" customWidth="1"/>
    <col min="7178" max="7178" width="8.77734375" style="2"/>
    <col min="7179" max="7179" width="6.21875" style="2" customWidth="1"/>
    <col min="7180" max="7180" width="5.5546875" style="2" customWidth="1"/>
    <col min="7181" max="7181" width="10.77734375" style="2" customWidth="1"/>
    <col min="7182" max="7182" width="8.21875" style="2" customWidth="1"/>
    <col min="7183" max="7183" width="12.21875" style="2" customWidth="1"/>
    <col min="7184" max="7184" width="10.21875" style="2" customWidth="1"/>
    <col min="7185" max="7185" width="9.21875" style="2" customWidth="1"/>
    <col min="7186" max="7424" width="8.77734375" style="2"/>
    <col min="7425" max="7425" width="4.21875" style="2" customWidth="1"/>
    <col min="7426" max="7426" width="2.5546875" style="2" customWidth="1"/>
    <col min="7427" max="7428" width="8.77734375" style="2"/>
    <col min="7429" max="7429" width="7.21875" style="2" customWidth="1"/>
    <col min="7430" max="7430" width="8.21875" style="2" customWidth="1"/>
    <col min="7431" max="7432" width="10.21875" style="2" customWidth="1"/>
    <col min="7433" max="7433" width="3.77734375" style="2" customWidth="1"/>
    <col min="7434" max="7434" width="8.77734375" style="2"/>
    <col min="7435" max="7435" width="6.21875" style="2" customWidth="1"/>
    <col min="7436" max="7436" width="5.5546875" style="2" customWidth="1"/>
    <col min="7437" max="7437" width="10.77734375" style="2" customWidth="1"/>
    <col min="7438" max="7438" width="8.21875" style="2" customWidth="1"/>
    <col min="7439" max="7439" width="12.21875" style="2" customWidth="1"/>
    <col min="7440" max="7440" width="10.21875" style="2" customWidth="1"/>
    <col min="7441" max="7441" width="9.21875" style="2" customWidth="1"/>
    <col min="7442" max="7680" width="8.77734375" style="2"/>
    <col min="7681" max="7681" width="4.21875" style="2" customWidth="1"/>
    <col min="7682" max="7682" width="2.5546875" style="2" customWidth="1"/>
    <col min="7683" max="7684" width="8.77734375" style="2"/>
    <col min="7685" max="7685" width="7.21875" style="2" customWidth="1"/>
    <col min="7686" max="7686" width="8.21875" style="2" customWidth="1"/>
    <col min="7687" max="7688" width="10.21875" style="2" customWidth="1"/>
    <col min="7689" max="7689" width="3.77734375" style="2" customWidth="1"/>
    <col min="7690" max="7690" width="8.77734375" style="2"/>
    <col min="7691" max="7691" width="6.21875" style="2" customWidth="1"/>
    <col min="7692" max="7692" width="5.5546875" style="2" customWidth="1"/>
    <col min="7693" max="7693" width="10.77734375" style="2" customWidth="1"/>
    <col min="7694" max="7694" width="8.21875" style="2" customWidth="1"/>
    <col min="7695" max="7695" width="12.21875" style="2" customWidth="1"/>
    <col min="7696" max="7696" width="10.21875" style="2" customWidth="1"/>
    <col min="7697" max="7697" width="9.21875" style="2" customWidth="1"/>
    <col min="7698" max="7936" width="8.77734375" style="2"/>
    <col min="7937" max="7937" width="4.21875" style="2" customWidth="1"/>
    <col min="7938" max="7938" width="2.5546875" style="2" customWidth="1"/>
    <col min="7939" max="7940" width="8.77734375" style="2"/>
    <col min="7941" max="7941" width="7.21875" style="2" customWidth="1"/>
    <col min="7942" max="7942" width="8.21875" style="2" customWidth="1"/>
    <col min="7943" max="7944" width="10.21875" style="2" customWidth="1"/>
    <col min="7945" max="7945" width="3.77734375" style="2" customWidth="1"/>
    <col min="7946" max="7946" width="8.77734375" style="2"/>
    <col min="7947" max="7947" width="6.21875" style="2" customWidth="1"/>
    <col min="7948" max="7948" width="5.5546875" style="2" customWidth="1"/>
    <col min="7949" max="7949" width="10.77734375" style="2" customWidth="1"/>
    <col min="7950" max="7950" width="8.21875" style="2" customWidth="1"/>
    <col min="7951" max="7951" width="12.21875" style="2" customWidth="1"/>
    <col min="7952" max="7952" width="10.21875" style="2" customWidth="1"/>
    <col min="7953" max="7953" width="9.21875" style="2" customWidth="1"/>
    <col min="7954" max="8192" width="8.77734375" style="2"/>
    <col min="8193" max="8193" width="4.21875" style="2" customWidth="1"/>
    <col min="8194" max="8194" width="2.5546875" style="2" customWidth="1"/>
    <col min="8195" max="8196" width="8.77734375" style="2"/>
    <col min="8197" max="8197" width="7.21875" style="2" customWidth="1"/>
    <col min="8198" max="8198" width="8.21875" style="2" customWidth="1"/>
    <col min="8199" max="8200" width="10.21875" style="2" customWidth="1"/>
    <col min="8201" max="8201" width="3.77734375" style="2" customWidth="1"/>
    <col min="8202" max="8202" width="8.77734375" style="2"/>
    <col min="8203" max="8203" width="6.21875" style="2" customWidth="1"/>
    <col min="8204" max="8204" width="5.5546875" style="2" customWidth="1"/>
    <col min="8205" max="8205" width="10.77734375" style="2" customWidth="1"/>
    <col min="8206" max="8206" width="8.21875" style="2" customWidth="1"/>
    <col min="8207" max="8207" width="12.21875" style="2" customWidth="1"/>
    <col min="8208" max="8208" width="10.21875" style="2" customWidth="1"/>
    <col min="8209" max="8209" width="9.21875" style="2" customWidth="1"/>
    <col min="8210" max="8448" width="8.77734375" style="2"/>
    <col min="8449" max="8449" width="4.21875" style="2" customWidth="1"/>
    <col min="8450" max="8450" width="2.5546875" style="2" customWidth="1"/>
    <col min="8451" max="8452" width="8.77734375" style="2"/>
    <col min="8453" max="8453" width="7.21875" style="2" customWidth="1"/>
    <col min="8454" max="8454" width="8.21875" style="2" customWidth="1"/>
    <col min="8455" max="8456" width="10.21875" style="2" customWidth="1"/>
    <col min="8457" max="8457" width="3.77734375" style="2" customWidth="1"/>
    <col min="8458" max="8458" width="8.77734375" style="2"/>
    <col min="8459" max="8459" width="6.21875" style="2" customWidth="1"/>
    <col min="8460" max="8460" width="5.5546875" style="2" customWidth="1"/>
    <col min="8461" max="8461" width="10.77734375" style="2" customWidth="1"/>
    <col min="8462" max="8462" width="8.21875" style="2" customWidth="1"/>
    <col min="8463" max="8463" width="12.21875" style="2" customWidth="1"/>
    <col min="8464" max="8464" width="10.21875" style="2" customWidth="1"/>
    <col min="8465" max="8465" width="9.21875" style="2" customWidth="1"/>
    <col min="8466" max="8704" width="8.77734375" style="2"/>
    <col min="8705" max="8705" width="4.21875" style="2" customWidth="1"/>
    <col min="8706" max="8706" width="2.5546875" style="2" customWidth="1"/>
    <col min="8707" max="8708" width="8.77734375" style="2"/>
    <col min="8709" max="8709" width="7.21875" style="2" customWidth="1"/>
    <col min="8710" max="8710" width="8.21875" style="2" customWidth="1"/>
    <col min="8711" max="8712" width="10.21875" style="2" customWidth="1"/>
    <col min="8713" max="8713" width="3.77734375" style="2" customWidth="1"/>
    <col min="8714" max="8714" width="8.77734375" style="2"/>
    <col min="8715" max="8715" width="6.21875" style="2" customWidth="1"/>
    <col min="8716" max="8716" width="5.5546875" style="2" customWidth="1"/>
    <col min="8717" max="8717" width="10.77734375" style="2" customWidth="1"/>
    <col min="8718" max="8718" width="8.21875" style="2" customWidth="1"/>
    <col min="8719" max="8719" width="12.21875" style="2" customWidth="1"/>
    <col min="8720" max="8720" width="10.21875" style="2" customWidth="1"/>
    <col min="8721" max="8721" width="9.21875" style="2" customWidth="1"/>
    <col min="8722" max="8960" width="8.77734375" style="2"/>
    <col min="8961" max="8961" width="4.21875" style="2" customWidth="1"/>
    <col min="8962" max="8962" width="2.5546875" style="2" customWidth="1"/>
    <col min="8963" max="8964" width="8.77734375" style="2"/>
    <col min="8965" max="8965" width="7.21875" style="2" customWidth="1"/>
    <col min="8966" max="8966" width="8.21875" style="2" customWidth="1"/>
    <col min="8967" max="8968" width="10.21875" style="2" customWidth="1"/>
    <col min="8969" max="8969" width="3.77734375" style="2" customWidth="1"/>
    <col min="8970" max="8970" width="8.77734375" style="2"/>
    <col min="8971" max="8971" width="6.21875" style="2" customWidth="1"/>
    <col min="8972" max="8972" width="5.5546875" style="2" customWidth="1"/>
    <col min="8973" max="8973" width="10.77734375" style="2" customWidth="1"/>
    <col min="8974" max="8974" width="8.21875" style="2" customWidth="1"/>
    <col min="8975" max="8975" width="12.21875" style="2" customWidth="1"/>
    <col min="8976" max="8976" width="10.21875" style="2" customWidth="1"/>
    <col min="8977" max="8977" width="9.21875" style="2" customWidth="1"/>
    <col min="8978" max="9216" width="8.77734375" style="2"/>
    <col min="9217" max="9217" width="4.21875" style="2" customWidth="1"/>
    <col min="9218" max="9218" width="2.5546875" style="2" customWidth="1"/>
    <col min="9219" max="9220" width="8.77734375" style="2"/>
    <col min="9221" max="9221" width="7.21875" style="2" customWidth="1"/>
    <col min="9222" max="9222" width="8.21875" style="2" customWidth="1"/>
    <col min="9223" max="9224" width="10.21875" style="2" customWidth="1"/>
    <col min="9225" max="9225" width="3.77734375" style="2" customWidth="1"/>
    <col min="9226" max="9226" width="8.77734375" style="2"/>
    <col min="9227" max="9227" width="6.21875" style="2" customWidth="1"/>
    <col min="9228" max="9228" width="5.5546875" style="2" customWidth="1"/>
    <col min="9229" max="9229" width="10.77734375" style="2" customWidth="1"/>
    <col min="9230" max="9230" width="8.21875" style="2" customWidth="1"/>
    <col min="9231" max="9231" width="12.21875" style="2" customWidth="1"/>
    <col min="9232" max="9232" width="10.21875" style="2" customWidth="1"/>
    <col min="9233" max="9233" width="9.21875" style="2" customWidth="1"/>
    <col min="9234" max="9472" width="8.77734375" style="2"/>
    <col min="9473" max="9473" width="4.21875" style="2" customWidth="1"/>
    <col min="9474" max="9474" width="2.5546875" style="2" customWidth="1"/>
    <col min="9475" max="9476" width="8.77734375" style="2"/>
    <col min="9477" max="9477" width="7.21875" style="2" customWidth="1"/>
    <col min="9478" max="9478" width="8.21875" style="2" customWidth="1"/>
    <col min="9479" max="9480" width="10.21875" style="2" customWidth="1"/>
    <col min="9481" max="9481" width="3.77734375" style="2" customWidth="1"/>
    <col min="9482" max="9482" width="8.77734375" style="2"/>
    <col min="9483" max="9483" width="6.21875" style="2" customWidth="1"/>
    <col min="9484" max="9484" width="5.5546875" style="2" customWidth="1"/>
    <col min="9485" max="9485" width="10.77734375" style="2" customWidth="1"/>
    <col min="9486" max="9486" width="8.21875" style="2" customWidth="1"/>
    <col min="9487" max="9487" width="12.21875" style="2" customWidth="1"/>
    <col min="9488" max="9488" width="10.21875" style="2" customWidth="1"/>
    <col min="9489" max="9489" width="9.21875" style="2" customWidth="1"/>
    <col min="9490" max="9728" width="8.77734375" style="2"/>
    <col min="9729" max="9729" width="4.21875" style="2" customWidth="1"/>
    <col min="9730" max="9730" width="2.5546875" style="2" customWidth="1"/>
    <col min="9731" max="9732" width="8.77734375" style="2"/>
    <col min="9733" max="9733" width="7.21875" style="2" customWidth="1"/>
    <col min="9734" max="9734" width="8.21875" style="2" customWidth="1"/>
    <col min="9735" max="9736" width="10.21875" style="2" customWidth="1"/>
    <col min="9737" max="9737" width="3.77734375" style="2" customWidth="1"/>
    <col min="9738" max="9738" width="8.77734375" style="2"/>
    <col min="9739" max="9739" width="6.21875" style="2" customWidth="1"/>
    <col min="9740" max="9740" width="5.5546875" style="2" customWidth="1"/>
    <col min="9741" max="9741" width="10.77734375" style="2" customWidth="1"/>
    <col min="9742" max="9742" width="8.21875" style="2" customWidth="1"/>
    <col min="9743" max="9743" width="12.21875" style="2" customWidth="1"/>
    <col min="9744" max="9744" width="10.21875" style="2" customWidth="1"/>
    <col min="9745" max="9745" width="9.21875" style="2" customWidth="1"/>
    <col min="9746" max="9984" width="8.77734375" style="2"/>
    <col min="9985" max="9985" width="4.21875" style="2" customWidth="1"/>
    <col min="9986" max="9986" width="2.5546875" style="2" customWidth="1"/>
    <col min="9987" max="9988" width="8.77734375" style="2"/>
    <col min="9989" max="9989" width="7.21875" style="2" customWidth="1"/>
    <col min="9990" max="9990" width="8.21875" style="2" customWidth="1"/>
    <col min="9991" max="9992" width="10.21875" style="2" customWidth="1"/>
    <col min="9993" max="9993" width="3.77734375" style="2" customWidth="1"/>
    <col min="9994" max="9994" width="8.77734375" style="2"/>
    <col min="9995" max="9995" width="6.21875" style="2" customWidth="1"/>
    <col min="9996" max="9996" width="5.5546875" style="2" customWidth="1"/>
    <col min="9997" max="9997" width="10.77734375" style="2" customWidth="1"/>
    <col min="9998" max="9998" width="8.21875" style="2" customWidth="1"/>
    <col min="9999" max="9999" width="12.21875" style="2" customWidth="1"/>
    <col min="10000" max="10000" width="10.21875" style="2" customWidth="1"/>
    <col min="10001" max="10001" width="9.21875" style="2" customWidth="1"/>
    <col min="10002" max="10240" width="8.77734375" style="2"/>
    <col min="10241" max="10241" width="4.21875" style="2" customWidth="1"/>
    <col min="10242" max="10242" width="2.5546875" style="2" customWidth="1"/>
    <col min="10243" max="10244" width="8.77734375" style="2"/>
    <col min="10245" max="10245" width="7.21875" style="2" customWidth="1"/>
    <col min="10246" max="10246" width="8.21875" style="2" customWidth="1"/>
    <col min="10247" max="10248" width="10.21875" style="2" customWidth="1"/>
    <col min="10249" max="10249" width="3.77734375" style="2" customWidth="1"/>
    <col min="10250" max="10250" width="8.77734375" style="2"/>
    <col min="10251" max="10251" width="6.21875" style="2" customWidth="1"/>
    <col min="10252" max="10252" width="5.5546875" style="2" customWidth="1"/>
    <col min="10253" max="10253" width="10.77734375" style="2" customWidth="1"/>
    <col min="10254" max="10254" width="8.21875" style="2" customWidth="1"/>
    <col min="10255" max="10255" width="12.21875" style="2" customWidth="1"/>
    <col min="10256" max="10256" width="10.21875" style="2" customWidth="1"/>
    <col min="10257" max="10257" width="9.21875" style="2" customWidth="1"/>
    <col min="10258" max="10496" width="8.77734375" style="2"/>
    <col min="10497" max="10497" width="4.21875" style="2" customWidth="1"/>
    <col min="10498" max="10498" width="2.5546875" style="2" customWidth="1"/>
    <col min="10499" max="10500" width="8.77734375" style="2"/>
    <col min="10501" max="10501" width="7.21875" style="2" customWidth="1"/>
    <col min="10502" max="10502" width="8.21875" style="2" customWidth="1"/>
    <col min="10503" max="10504" width="10.21875" style="2" customWidth="1"/>
    <col min="10505" max="10505" width="3.77734375" style="2" customWidth="1"/>
    <col min="10506" max="10506" width="8.77734375" style="2"/>
    <col min="10507" max="10507" width="6.21875" style="2" customWidth="1"/>
    <col min="10508" max="10508" width="5.5546875" style="2" customWidth="1"/>
    <col min="10509" max="10509" width="10.77734375" style="2" customWidth="1"/>
    <col min="10510" max="10510" width="8.21875" style="2" customWidth="1"/>
    <col min="10511" max="10511" width="12.21875" style="2" customWidth="1"/>
    <col min="10512" max="10512" width="10.21875" style="2" customWidth="1"/>
    <col min="10513" max="10513" width="9.21875" style="2" customWidth="1"/>
    <col min="10514" max="10752" width="8.77734375" style="2"/>
    <col min="10753" max="10753" width="4.21875" style="2" customWidth="1"/>
    <col min="10754" max="10754" width="2.5546875" style="2" customWidth="1"/>
    <col min="10755" max="10756" width="8.77734375" style="2"/>
    <col min="10757" max="10757" width="7.21875" style="2" customWidth="1"/>
    <col min="10758" max="10758" width="8.21875" style="2" customWidth="1"/>
    <col min="10759" max="10760" width="10.21875" style="2" customWidth="1"/>
    <col min="10761" max="10761" width="3.77734375" style="2" customWidth="1"/>
    <col min="10762" max="10762" width="8.77734375" style="2"/>
    <col min="10763" max="10763" width="6.21875" style="2" customWidth="1"/>
    <col min="10764" max="10764" width="5.5546875" style="2" customWidth="1"/>
    <col min="10765" max="10765" width="10.77734375" style="2" customWidth="1"/>
    <col min="10766" max="10766" width="8.21875" style="2" customWidth="1"/>
    <col min="10767" max="10767" width="12.21875" style="2" customWidth="1"/>
    <col min="10768" max="10768" width="10.21875" style="2" customWidth="1"/>
    <col min="10769" max="10769" width="9.21875" style="2" customWidth="1"/>
    <col min="10770" max="11008" width="8.77734375" style="2"/>
    <col min="11009" max="11009" width="4.21875" style="2" customWidth="1"/>
    <col min="11010" max="11010" width="2.5546875" style="2" customWidth="1"/>
    <col min="11011" max="11012" width="8.77734375" style="2"/>
    <col min="11013" max="11013" width="7.21875" style="2" customWidth="1"/>
    <col min="11014" max="11014" width="8.21875" style="2" customWidth="1"/>
    <col min="11015" max="11016" width="10.21875" style="2" customWidth="1"/>
    <col min="11017" max="11017" width="3.77734375" style="2" customWidth="1"/>
    <col min="11018" max="11018" width="8.77734375" style="2"/>
    <col min="11019" max="11019" width="6.21875" style="2" customWidth="1"/>
    <col min="11020" max="11020" width="5.5546875" style="2" customWidth="1"/>
    <col min="11021" max="11021" width="10.77734375" style="2" customWidth="1"/>
    <col min="11022" max="11022" width="8.21875" style="2" customWidth="1"/>
    <col min="11023" max="11023" width="12.21875" style="2" customWidth="1"/>
    <col min="11024" max="11024" width="10.21875" style="2" customWidth="1"/>
    <col min="11025" max="11025" width="9.21875" style="2" customWidth="1"/>
    <col min="11026" max="11264" width="8.77734375" style="2"/>
    <col min="11265" max="11265" width="4.21875" style="2" customWidth="1"/>
    <col min="11266" max="11266" width="2.5546875" style="2" customWidth="1"/>
    <col min="11267" max="11268" width="8.77734375" style="2"/>
    <col min="11269" max="11269" width="7.21875" style="2" customWidth="1"/>
    <col min="11270" max="11270" width="8.21875" style="2" customWidth="1"/>
    <col min="11271" max="11272" width="10.21875" style="2" customWidth="1"/>
    <col min="11273" max="11273" width="3.77734375" style="2" customWidth="1"/>
    <col min="11274" max="11274" width="8.77734375" style="2"/>
    <col min="11275" max="11275" width="6.21875" style="2" customWidth="1"/>
    <col min="11276" max="11276" width="5.5546875" style="2" customWidth="1"/>
    <col min="11277" max="11277" width="10.77734375" style="2" customWidth="1"/>
    <col min="11278" max="11278" width="8.21875" style="2" customWidth="1"/>
    <col min="11279" max="11279" width="12.21875" style="2" customWidth="1"/>
    <col min="11280" max="11280" width="10.21875" style="2" customWidth="1"/>
    <col min="11281" max="11281" width="9.21875" style="2" customWidth="1"/>
    <col min="11282" max="11520" width="8.77734375" style="2"/>
    <col min="11521" max="11521" width="4.21875" style="2" customWidth="1"/>
    <col min="11522" max="11522" width="2.5546875" style="2" customWidth="1"/>
    <col min="11523" max="11524" width="8.77734375" style="2"/>
    <col min="11525" max="11525" width="7.21875" style="2" customWidth="1"/>
    <col min="11526" max="11526" width="8.21875" style="2" customWidth="1"/>
    <col min="11527" max="11528" width="10.21875" style="2" customWidth="1"/>
    <col min="11529" max="11529" width="3.77734375" style="2" customWidth="1"/>
    <col min="11530" max="11530" width="8.77734375" style="2"/>
    <col min="11531" max="11531" width="6.21875" style="2" customWidth="1"/>
    <col min="11532" max="11532" width="5.5546875" style="2" customWidth="1"/>
    <col min="11533" max="11533" width="10.77734375" style="2" customWidth="1"/>
    <col min="11534" max="11534" width="8.21875" style="2" customWidth="1"/>
    <col min="11535" max="11535" width="12.21875" style="2" customWidth="1"/>
    <col min="11536" max="11536" width="10.21875" style="2" customWidth="1"/>
    <col min="11537" max="11537" width="9.21875" style="2" customWidth="1"/>
    <col min="11538" max="11776" width="8.77734375" style="2"/>
    <col min="11777" max="11777" width="4.21875" style="2" customWidth="1"/>
    <col min="11778" max="11778" width="2.5546875" style="2" customWidth="1"/>
    <col min="11779" max="11780" width="8.77734375" style="2"/>
    <col min="11781" max="11781" width="7.21875" style="2" customWidth="1"/>
    <col min="11782" max="11782" width="8.21875" style="2" customWidth="1"/>
    <col min="11783" max="11784" width="10.21875" style="2" customWidth="1"/>
    <col min="11785" max="11785" width="3.77734375" style="2" customWidth="1"/>
    <col min="11786" max="11786" width="8.77734375" style="2"/>
    <col min="11787" max="11787" width="6.21875" style="2" customWidth="1"/>
    <col min="11788" max="11788" width="5.5546875" style="2" customWidth="1"/>
    <col min="11789" max="11789" width="10.77734375" style="2" customWidth="1"/>
    <col min="11790" max="11790" width="8.21875" style="2" customWidth="1"/>
    <col min="11791" max="11791" width="12.21875" style="2" customWidth="1"/>
    <col min="11792" max="11792" width="10.21875" style="2" customWidth="1"/>
    <col min="11793" max="11793" width="9.21875" style="2" customWidth="1"/>
    <col min="11794" max="12032" width="8.77734375" style="2"/>
    <col min="12033" max="12033" width="4.21875" style="2" customWidth="1"/>
    <col min="12034" max="12034" width="2.5546875" style="2" customWidth="1"/>
    <col min="12035" max="12036" width="8.77734375" style="2"/>
    <col min="12037" max="12037" width="7.21875" style="2" customWidth="1"/>
    <col min="12038" max="12038" width="8.21875" style="2" customWidth="1"/>
    <col min="12039" max="12040" width="10.21875" style="2" customWidth="1"/>
    <col min="12041" max="12041" width="3.77734375" style="2" customWidth="1"/>
    <col min="12042" max="12042" width="8.77734375" style="2"/>
    <col min="12043" max="12043" width="6.21875" style="2" customWidth="1"/>
    <col min="12044" max="12044" width="5.5546875" style="2" customWidth="1"/>
    <col min="12045" max="12045" width="10.77734375" style="2" customWidth="1"/>
    <col min="12046" max="12046" width="8.21875" style="2" customWidth="1"/>
    <col min="12047" max="12047" width="12.21875" style="2" customWidth="1"/>
    <col min="12048" max="12048" width="10.21875" style="2" customWidth="1"/>
    <col min="12049" max="12049" width="9.21875" style="2" customWidth="1"/>
    <col min="12050" max="12288" width="8.77734375" style="2"/>
    <col min="12289" max="12289" width="4.21875" style="2" customWidth="1"/>
    <col min="12290" max="12290" width="2.5546875" style="2" customWidth="1"/>
    <col min="12291" max="12292" width="8.77734375" style="2"/>
    <col min="12293" max="12293" width="7.21875" style="2" customWidth="1"/>
    <col min="12294" max="12294" width="8.21875" style="2" customWidth="1"/>
    <col min="12295" max="12296" width="10.21875" style="2" customWidth="1"/>
    <col min="12297" max="12297" width="3.77734375" style="2" customWidth="1"/>
    <col min="12298" max="12298" width="8.77734375" style="2"/>
    <col min="12299" max="12299" width="6.21875" style="2" customWidth="1"/>
    <col min="12300" max="12300" width="5.5546875" style="2" customWidth="1"/>
    <col min="12301" max="12301" width="10.77734375" style="2" customWidth="1"/>
    <col min="12302" max="12302" width="8.21875" style="2" customWidth="1"/>
    <col min="12303" max="12303" width="12.21875" style="2" customWidth="1"/>
    <col min="12304" max="12304" width="10.21875" style="2" customWidth="1"/>
    <col min="12305" max="12305" width="9.21875" style="2" customWidth="1"/>
    <col min="12306" max="12544" width="8.77734375" style="2"/>
    <col min="12545" max="12545" width="4.21875" style="2" customWidth="1"/>
    <col min="12546" max="12546" width="2.5546875" style="2" customWidth="1"/>
    <col min="12547" max="12548" width="8.77734375" style="2"/>
    <col min="12549" max="12549" width="7.21875" style="2" customWidth="1"/>
    <col min="12550" max="12550" width="8.21875" style="2" customWidth="1"/>
    <col min="12551" max="12552" width="10.21875" style="2" customWidth="1"/>
    <col min="12553" max="12553" width="3.77734375" style="2" customWidth="1"/>
    <col min="12554" max="12554" width="8.77734375" style="2"/>
    <col min="12555" max="12555" width="6.21875" style="2" customWidth="1"/>
    <col min="12556" max="12556" width="5.5546875" style="2" customWidth="1"/>
    <col min="12557" max="12557" width="10.77734375" style="2" customWidth="1"/>
    <col min="12558" max="12558" width="8.21875" style="2" customWidth="1"/>
    <col min="12559" max="12559" width="12.21875" style="2" customWidth="1"/>
    <col min="12560" max="12560" width="10.21875" style="2" customWidth="1"/>
    <col min="12561" max="12561" width="9.21875" style="2" customWidth="1"/>
    <col min="12562" max="12800" width="8.77734375" style="2"/>
    <col min="12801" max="12801" width="4.21875" style="2" customWidth="1"/>
    <col min="12802" max="12802" width="2.5546875" style="2" customWidth="1"/>
    <col min="12803" max="12804" width="8.77734375" style="2"/>
    <col min="12805" max="12805" width="7.21875" style="2" customWidth="1"/>
    <col min="12806" max="12806" width="8.21875" style="2" customWidth="1"/>
    <col min="12807" max="12808" width="10.21875" style="2" customWidth="1"/>
    <col min="12809" max="12809" width="3.77734375" style="2" customWidth="1"/>
    <col min="12810" max="12810" width="8.77734375" style="2"/>
    <col min="12811" max="12811" width="6.21875" style="2" customWidth="1"/>
    <col min="12812" max="12812" width="5.5546875" style="2" customWidth="1"/>
    <col min="12813" max="12813" width="10.77734375" style="2" customWidth="1"/>
    <col min="12814" max="12814" width="8.21875" style="2" customWidth="1"/>
    <col min="12815" max="12815" width="12.21875" style="2" customWidth="1"/>
    <col min="12816" max="12816" width="10.21875" style="2" customWidth="1"/>
    <col min="12817" max="12817" width="9.21875" style="2" customWidth="1"/>
    <col min="12818" max="13056" width="8.77734375" style="2"/>
    <col min="13057" max="13057" width="4.21875" style="2" customWidth="1"/>
    <col min="13058" max="13058" width="2.5546875" style="2" customWidth="1"/>
    <col min="13059" max="13060" width="8.77734375" style="2"/>
    <col min="13061" max="13061" width="7.21875" style="2" customWidth="1"/>
    <col min="13062" max="13062" width="8.21875" style="2" customWidth="1"/>
    <col min="13063" max="13064" width="10.21875" style="2" customWidth="1"/>
    <col min="13065" max="13065" width="3.77734375" style="2" customWidth="1"/>
    <col min="13066" max="13066" width="8.77734375" style="2"/>
    <col min="13067" max="13067" width="6.21875" style="2" customWidth="1"/>
    <col min="13068" max="13068" width="5.5546875" style="2" customWidth="1"/>
    <col min="13069" max="13069" width="10.77734375" style="2" customWidth="1"/>
    <col min="13070" max="13070" width="8.21875" style="2" customWidth="1"/>
    <col min="13071" max="13071" width="12.21875" style="2" customWidth="1"/>
    <col min="13072" max="13072" width="10.21875" style="2" customWidth="1"/>
    <col min="13073" max="13073" width="9.21875" style="2" customWidth="1"/>
    <col min="13074" max="13312" width="8.77734375" style="2"/>
    <col min="13313" max="13313" width="4.21875" style="2" customWidth="1"/>
    <col min="13314" max="13314" width="2.5546875" style="2" customWidth="1"/>
    <col min="13315" max="13316" width="8.77734375" style="2"/>
    <col min="13317" max="13317" width="7.21875" style="2" customWidth="1"/>
    <col min="13318" max="13318" width="8.21875" style="2" customWidth="1"/>
    <col min="13319" max="13320" width="10.21875" style="2" customWidth="1"/>
    <col min="13321" max="13321" width="3.77734375" style="2" customWidth="1"/>
    <col min="13322" max="13322" width="8.77734375" style="2"/>
    <col min="13323" max="13323" width="6.21875" style="2" customWidth="1"/>
    <col min="13324" max="13324" width="5.5546875" style="2" customWidth="1"/>
    <col min="13325" max="13325" width="10.77734375" style="2" customWidth="1"/>
    <col min="13326" max="13326" width="8.21875" style="2" customWidth="1"/>
    <col min="13327" max="13327" width="12.21875" style="2" customWidth="1"/>
    <col min="13328" max="13328" width="10.21875" style="2" customWidth="1"/>
    <col min="13329" max="13329" width="9.21875" style="2" customWidth="1"/>
    <col min="13330" max="13568" width="8.77734375" style="2"/>
    <col min="13569" max="13569" width="4.21875" style="2" customWidth="1"/>
    <col min="13570" max="13570" width="2.5546875" style="2" customWidth="1"/>
    <col min="13571" max="13572" width="8.77734375" style="2"/>
    <col min="13573" max="13573" width="7.21875" style="2" customWidth="1"/>
    <col min="13574" max="13574" width="8.21875" style="2" customWidth="1"/>
    <col min="13575" max="13576" width="10.21875" style="2" customWidth="1"/>
    <col min="13577" max="13577" width="3.77734375" style="2" customWidth="1"/>
    <col min="13578" max="13578" width="8.77734375" style="2"/>
    <col min="13579" max="13579" width="6.21875" style="2" customWidth="1"/>
    <col min="13580" max="13580" width="5.5546875" style="2" customWidth="1"/>
    <col min="13581" max="13581" width="10.77734375" style="2" customWidth="1"/>
    <col min="13582" max="13582" width="8.21875" style="2" customWidth="1"/>
    <col min="13583" max="13583" width="12.21875" style="2" customWidth="1"/>
    <col min="13584" max="13584" width="10.21875" style="2" customWidth="1"/>
    <col min="13585" max="13585" width="9.21875" style="2" customWidth="1"/>
    <col min="13586" max="13824" width="8.77734375" style="2"/>
    <col min="13825" max="13825" width="4.21875" style="2" customWidth="1"/>
    <col min="13826" max="13826" width="2.5546875" style="2" customWidth="1"/>
    <col min="13827" max="13828" width="8.77734375" style="2"/>
    <col min="13829" max="13829" width="7.21875" style="2" customWidth="1"/>
    <col min="13830" max="13830" width="8.21875" style="2" customWidth="1"/>
    <col min="13831" max="13832" width="10.21875" style="2" customWidth="1"/>
    <col min="13833" max="13833" width="3.77734375" style="2" customWidth="1"/>
    <col min="13834" max="13834" width="8.77734375" style="2"/>
    <col min="13835" max="13835" width="6.21875" style="2" customWidth="1"/>
    <col min="13836" max="13836" width="5.5546875" style="2" customWidth="1"/>
    <col min="13837" max="13837" width="10.77734375" style="2" customWidth="1"/>
    <col min="13838" max="13838" width="8.21875" style="2" customWidth="1"/>
    <col min="13839" max="13839" width="12.21875" style="2" customWidth="1"/>
    <col min="13840" max="13840" width="10.21875" style="2" customWidth="1"/>
    <col min="13841" max="13841" width="9.21875" style="2" customWidth="1"/>
    <col min="13842" max="14080" width="8.77734375" style="2"/>
    <col min="14081" max="14081" width="4.21875" style="2" customWidth="1"/>
    <col min="14082" max="14082" width="2.5546875" style="2" customWidth="1"/>
    <col min="14083" max="14084" width="8.77734375" style="2"/>
    <col min="14085" max="14085" width="7.21875" style="2" customWidth="1"/>
    <col min="14086" max="14086" width="8.21875" style="2" customWidth="1"/>
    <col min="14087" max="14088" width="10.21875" style="2" customWidth="1"/>
    <col min="14089" max="14089" width="3.77734375" style="2" customWidth="1"/>
    <col min="14090" max="14090" width="8.77734375" style="2"/>
    <col min="14091" max="14091" width="6.21875" style="2" customWidth="1"/>
    <col min="14092" max="14092" width="5.5546875" style="2" customWidth="1"/>
    <col min="14093" max="14093" width="10.77734375" style="2" customWidth="1"/>
    <col min="14094" max="14094" width="8.21875" style="2" customWidth="1"/>
    <col min="14095" max="14095" width="12.21875" style="2" customWidth="1"/>
    <col min="14096" max="14096" width="10.21875" style="2" customWidth="1"/>
    <col min="14097" max="14097" width="9.21875" style="2" customWidth="1"/>
    <col min="14098" max="14336" width="8.77734375" style="2"/>
    <col min="14337" max="14337" width="4.21875" style="2" customWidth="1"/>
    <col min="14338" max="14338" width="2.5546875" style="2" customWidth="1"/>
    <col min="14339" max="14340" width="8.77734375" style="2"/>
    <col min="14341" max="14341" width="7.21875" style="2" customWidth="1"/>
    <col min="14342" max="14342" width="8.21875" style="2" customWidth="1"/>
    <col min="14343" max="14344" width="10.21875" style="2" customWidth="1"/>
    <col min="14345" max="14345" width="3.77734375" style="2" customWidth="1"/>
    <col min="14346" max="14346" width="8.77734375" style="2"/>
    <col min="14347" max="14347" width="6.21875" style="2" customWidth="1"/>
    <col min="14348" max="14348" width="5.5546875" style="2" customWidth="1"/>
    <col min="14349" max="14349" width="10.77734375" style="2" customWidth="1"/>
    <col min="14350" max="14350" width="8.21875" style="2" customWidth="1"/>
    <col min="14351" max="14351" width="12.21875" style="2" customWidth="1"/>
    <col min="14352" max="14352" width="10.21875" style="2" customWidth="1"/>
    <col min="14353" max="14353" width="9.21875" style="2" customWidth="1"/>
    <col min="14354" max="14592" width="8.77734375" style="2"/>
    <col min="14593" max="14593" width="4.21875" style="2" customWidth="1"/>
    <col min="14594" max="14594" width="2.5546875" style="2" customWidth="1"/>
    <col min="14595" max="14596" width="8.77734375" style="2"/>
    <col min="14597" max="14597" width="7.21875" style="2" customWidth="1"/>
    <col min="14598" max="14598" width="8.21875" style="2" customWidth="1"/>
    <col min="14599" max="14600" width="10.21875" style="2" customWidth="1"/>
    <col min="14601" max="14601" width="3.77734375" style="2" customWidth="1"/>
    <col min="14602" max="14602" width="8.77734375" style="2"/>
    <col min="14603" max="14603" width="6.21875" style="2" customWidth="1"/>
    <col min="14604" max="14604" width="5.5546875" style="2" customWidth="1"/>
    <col min="14605" max="14605" width="10.77734375" style="2" customWidth="1"/>
    <col min="14606" max="14606" width="8.21875" style="2" customWidth="1"/>
    <col min="14607" max="14607" width="12.21875" style="2" customWidth="1"/>
    <col min="14608" max="14608" width="10.21875" style="2" customWidth="1"/>
    <col min="14609" max="14609" width="9.21875" style="2" customWidth="1"/>
    <col min="14610" max="14848" width="8.77734375" style="2"/>
    <col min="14849" max="14849" width="4.21875" style="2" customWidth="1"/>
    <col min="14850" max="14850" width="2.5546875" style="2" customWidth="1"/>
    <col min="14851" max="14852" width="8.77734375" style="2"/>
    <col min="14853" max="14853" width="7.21875" style="2" customWidth="1"/>
    <col min="14854" max="14854" width="8.21875" style="2" customWidth="1"/>
    <col min="14855" max="14856" width="10.21875" style="2" customWidth="1"/>
    <col min="14857" max="14857" width="3.77734375" style="2" customWidth="1"/>
    <col min="14858" max="14858" width="8.77734375" style="2"/>
    <col min="14859" max="14859" width="6.21875" style="2" customWidth="1"/>
    <col min="14860" max="14860" width="5.5546875" style="2" customWidth="1"/>
    <col min="14861" max="14861" width="10.77734375" style="2" customWidth="1"/>
    <col min="14862" max="14862" width="8.21875" style="2" customWidth="1"/>
    <col min="14863" max="14863" width="12.21875" style="2" customWidth="1"/>
    <col min="14864" max="14864" width="10.21875" style="2" customWidth="1"/>
    <col min="14865" max="14865" width="9.21875" style="2" customWidth="1"/>
    <col min="14866" max="15104" width="8.77734375" style="2"/>
    <col min="15105" max="15105" width="4.21875" style="2" customWidth="1"/>
    <col min="15106" max="15106" width="2.5546875" style="2" customWidth="1"/>
    <col min="15107" max="15108" width="8.77734375" style="2"/>
    <col min="15109" max="15109" width="7.21875" style="2" customWidth="1"/>
    <col min="15110" max="15110" width="8.21875" style="2" customWidth="1"/>
    <col min="15111" max="15112" width="10.21875" style="2" customWidth="1"/>
    <col min="15113" max="15113" width="3.77734375" style="2" customWidth="1"/>
    <col min="15114" max="15114" width="8.77734375" style="2"/>
    <col min="15115" max="15115" width="6.21875" style="2" customWidth="1"/>
    <col min="15116" max="15116" width="5.5546875" style="2" customWidth="1"/>
    <col min="15117" max="15117" width="10.77734375" style="2" customWidth="1"/>
    <col min="15118" max="15118" width="8.21875" style="2" customWidth="1"/>
    <col min="15119" max="15119" width="12.21875" style="2" customWidth="1"/>
    <col min="15120" max="15120" width="10.21875" style="2" customWidth="1"/>
    <col min="15121" max="15121" width="9.21875" style="2" customWidth="1"/>
    <col min="15122" max="15360" width="8.77734375" style="2"/>
    <col min="15361" max="15361" width="4.21875" style="2" customWidth="1"/>
    <col min="15362" max="15362" width="2.5546875" style="2" customWidth="1"/>
    <col min="15363" max="15364" width="8.77734375" style="2"/>
    <col min="15365" max="15365" width="7.21875" style="2" customWidth="1"/>
    <col min="15366" max="15366" width="8.21875" style="2" customWidth="1"/>
    <col min="15367" max="15368" width="10.21875" style="2" customWidth="1"/>
    <col min="15369" max="15369" width="3.77734375" style="2" customWidth="1"/>
    <col min="15370" max="15370" width="8.77734375" style="2"/>
    <col min="15371" max="15371" width="6.21875" style="2" customWidth="1"/>
    <col min="15372" max="15372" width="5.5546875" style="2" customWidth="1"/>
    <col min="15373" max="15373" width="10.77734375" style="2" customWidth="1"/>
    <col min="15374" max="15374" width="8.21875" style="2" customWidth="1"/>
    <col min="15375" max="15375" width="12.21875" style="2" customWidth="1"/>
    <col min="15376" max="15376" width="10.21875" style="2" customWidth="1"/>
    <col min="15377" max="15377" width="9.21875" style="2" customWidth="1"/>
    <col min="15378" max="15616" width="8.77734375" style="2"/>
    <col min="15617" max="15617" width="4.21875" style="2" customWidth="1"/>
    <col min="15618" max="15618" width="2.5546875" style="2" customWidth="1"/>
    <col min="15619" max="15620" width="8.77734375" style="2"/>
    <col min="15621" max="15621" width="7.21875" style="2" customWidth="1"/>
    <col min="15622" max="15622" width="8.21875" style="2" customWidth="1"/>
    <col min="15623" max="15624" width="10.21875" style="2" customWidth="1"/>
    <col min="15625" max="15625" width="3.77734375" style="2" customWidth="1"/>
    <col min="15626" max="15626" width="8.77734375" style="2"/>
    <col min="15627" max="15627" width="6.21875" style="2" customWidth="1"/>
    <col min="15628" max="15628" width="5.5546875" style="2" customWidth="1"/>
    <col min="15629" max="15629" width="10.77734375" style="2" customWidth="1"/>
    <col min="15630" max="15630" width="8.21875" style="2" customWidth="1"/>
    <col min="15631" max="15631" width="12.21875" style="2" customWidth="1"/>
    <col min="15632" max="15632" width="10.21875" style="2" customWidth="1"/>
    <col min="15633" max="15633" width="9.21875" style="2" customWidth="1"/>
    <col min="15634" max="15872" width="8.77734375" style="2"/>
    <col min="15873" max="15873" width="4.21875" style="2" customWidth="1"/>
    <col min="15874" max="15874" width="2.5546875" style="2" customWidth="1"/>
    <col min="15875" max="15876" width="8.77734375" style="2"/>
    <col min="15877" max="15877" width="7.21875" style="2" customWidth="1"/>
    <col min="15878" max="15878" width="8.21875" style="2" customWidth="1"/>
    <col min="15879" max="15880" width="10.21875" style="2" customWidth="1"/>
    <col min="15881" max="15881" width="3.77734375" style="2" customWidth="1"/>
    <col min="15882" max="15882" width="8.77734375" style="2"/>
    <col min="15883" max="15883" width="6.21875" style="2" customWidth="1"/>
    <col min="15884" max="15884" width="5.5546875" style="2" customWidth="1"/>
    <col min="15885" max="15885" width="10.77734375" style="2" customWidth="1"/>
    <col min="15886" max="15886" width="8.21875" style="2" customWidth="1"/>
    <col min="15887" max="15887" width="12.21875" style="2" customWidth="1"/>
    <col min="15888" max="15888" width="10.21875" style="2" customWidth="1"/>
    <col min="15889" max="15889" width="9.21875" style="2" customWidth="1"/>
    <col min="15890" max="16128" width="8.77734375" style="2"/>
    <col min="16129" max="16129" width="4.21875" style="2" customWidth="1"/>
    <col min="16130" max="16130" width="2.5546875" style="2" customWidth="1"/>
    <col min="16131" max="16132" width="8.77734375" style="2"/>
    <col min="16133" max="16133" width="7.21875" style="2" customWidth="1"/>
    <col min="16134" max="16134" width="8.21875" style="2" customWidth="1"/>
    <col min="16135" max="16136" width="10.21875" style="2" customWidth="1"/>
    <col min="16137" max="16137" width="3.77734375" style="2" customWidth="1"/>
    <col min="16138" max="16138" width="8.77734375" style="2"/>
    <col min="16139" max="16139" width="6.21875" style="2" customWidth="1"/>
    <col min="16140" max="16140" width="5.5546875" style="2" customWidth="1"/>
    <col min="16141" max="16141" width="10.77734375" style="2" customWidth="1"/>
    <col min="16142" max="16142" width="8.21875" style="2" customWidth="1"/>
    <col min="16143" max="16143" width="12.21875" style="2" customWidth="1"/>
    <col min="16144" max="16144" width="10.21875" style="2" customWidth="1"/>
    <col min="16145" max="16145" width="9.21875" style="2" customWidth="1"/>
    <col min="16146" max="16384" width="8.77734375" style="2"/>
  </cols>
  <sheetData>
    <row r="1" spans="1:18" ht="15.6">
      <c r="A1" s="1220" t="s">
        <v>20</v>
      </c>
      <c r="B1" s="1220"/>
      <c r="C1" s="1220"/>
      <c r="D1" s="1220"/>
      <c r="E1" s="1220"/>
      <c r="F1" s="1220"/>
      <c r="G1" s="1220"/>
      <c r="H1" s="1220"/>
      <c r="I1" s="1220"/>
      <c r="J1" s="1220"/>
      <c r="K1" s="1220"/>
      <c r="L1" s="1220"/>
      <c r="M1" s="1220"/>
      <c r="N1" s="1220"/>
      <c r="O1" s="1220"/>
      <c r="P1" s="49"/>
      <c r="Q1" s="50"/>
      <c r="R1" s="49"/>
    </row>
    <row r="2" spans="1:18" ht="15.6">
      <c r="A2" s="1220" t="s">
        <v>42</v>
      </c>
      <c r="B2" s="1220"/>
      <c r="C2" s="1220"/>
      <c r="D2" s="1220"/>
      <c r="E2" s="1220"/>
      <c r="F2" s="1220"/>
      <c r="G2" s="1220"/>
      <c r="H2" s="1220"/>
      <c r="I2" s="1220"/>
      <c r="J2" s="1220"/>
      <c r="K2" s="1220"/>
      <c r="L2" s="1220"/>
      <c r="M2" s="1220"/>
      <c r="N2" s="1220"/>
      <c r="O2" s="1220"/>
    </row>
    <row r="3" spans="1:18" ht="15" customHeight="1">
      <c r="A3" s="1225" t="s">
        <v>48</v>
      </c>
      <c r="B3" s="1225"/>
      <c r="C3" s="1225"/>
      <c r="D3" s="1225"/>
      <c r="E3" s="1225"/>
      <c r="F3" s="1225"/>
      <c r="G3" s="1225"/>
      <c r="H3" s="1225"/>
      <c r="I3" s="1225"/>
      <c r="J3" s="1225"/>
      <c r="K3" s="1225"/>
      <c r="L3" s="1225"/>
      <c r="M3" s="1225"/>
      <c r="N3" s="1225"/>
      <c r="O3" s="1225"/>
    </row>
    <row r="4" spans="1:18" ht="7.5" customHeight="1"/>
    <row r="5" spans="1:18" ht="39" customHeight="1">
      <c r="A5" s="33" t="s">
        <v>22</v>
      </c>
      <c r="F5" s="34" t="s">
        <v>23</v>
      </c>
      <c r="H5" s="35" t="s">
        <v>24</v>
      </c>
      <c r="I5" s="36"/>
      <c r="J5" s="1221" t="s">
        <v>25</v>
      </c>
      <c r="K5" s="1217"/>
      <c r="M5" s="3" t="s">
        <v>26</v>
      </c>
      <c r="O5" s="37" t="s">
        <v>27</v>
      </c>
    </row>
    <row r="6" spans="1:18" ht="6.75" customHeight="1"/>
    <row r="7" spans="1:18" ht="15">
      <c r="B7" s="5" t="s">
        <v>6</v>
      </c>
      <c r="F7" s="38">
        <f>IF('Input (5)'!$G$4=0," ",'Input (5)'!$G$4)</f>
        <v>19</v>
      </c>
      <c r="G7" s="39"/>
      <c r="J7" s="1222">
        <f>IF('Input (5)'!G4=0,"0",'Input (5)'!G4)</f>
        <v>19</v>
      </c>
      <c r="K7" s="1222"/>
      <c r="L7" s="40" t="s">
        <v>28</v>
      </c>
      <c r="M7" s="41">
        <f>IF('Input (5)'!G4=0,0,LOOKUP(J7,'criteria (5)'!$A$3:$A$10,'criteria (5)'!$B$3:$B$10))</f>
        <v>40</v>
      </c>
      <c r="N7" s="42" t="s">
        <v>29</v>
      </c>
      <c r="O7" s="38">
        <f>IF(Q7=0,0,IF(Q7&lt;LOOKUP(J7,'criteria (5)'!$A$3:$A$10,'criteria (5)'!$C$3:$C$10),LOOKUP(J7,'criteria (5)'!$A$3:$A$10,'criteria (5)'!$C$3:$C$10),IF(LOOKUP(J7,'criteria (5)'!$A$3:$A$10,'criteria (5)'!$C$3:$C$10)=0,0,Q7)))</f>
        <v>0.6</v>
      </c>
      <c r="P7" s="28" t="str">
        <f>IF('Input (5)'!G4=0," ",IF(O7=0,"ADD to 1-6",IF(O7=Q7," ","Minimum")))</f>
        <v>Minimum</v>
      </c>
      <c r="Q7" s="32">
        <f>ROUND(IF('Input (5)'!G4=0,0,IF(M7=0,0,(J7/M7))),2)</f>
        <v>0.48</v>
      </c>
    </row>
    <row r="8" spans="1:18" ht="6.75" customHeight="1">
      <c r="J8" s="43"/>
      <c r="K8" s="43"/>
      <c r="O8" s="43"/>
    </row>
    <row r="9" spans="1:18">
      <c r="B9" s="5" t="s">
        <v>7</v>
      </c>
      <c r="J9" s="43"/>
      <c r="K9" s="43"/>
      <c r="O9" s="43"/>
    </row>
    <row r="10" spans="1:18">
      <c r="B10" s="28" t="s">
        <v>30</v>
      </c>
      <c r="J10" s="43"/>
      <c r="K10" s="43"/>
      <c r="O10" s="43"/>
    </row>
    <row r="11" spans="1:18" ht="16.5" customHeight="1">
      <c r="C11" s="12" t="s">
        <v>8</v>
      </c>
      <c r="F11" s="41" t="str">
        <f>IF(J11=0," ",IF($J$16&gt;300," ",'Input (5)'!G7))</f>
        <v xml:space="preserve"> </v>
      </c>
      <c r="G11" s="44" t="s">
        <v>31</v>
      </c>
      <c r="H11" s="38" t="str">
        <f>IF(J11=0," ",'C (5)'!H25)</f>
        <v xml:space="preserve"> </v>
      </c>
      <c r="I11" s="42" t="s">
        <v>29</v>
      </c>
      <c r="J11" s="1222">
        <f>IF('Input (5)'!G7=0,0,IF(SUM('Input (5)'!G7-'C (5)'!H25)+SUM('Input (5)'!G8-'C (5)'!H26)&gt;299.99,SUM('Input (5)'!G7-'C (5)'!H25),0))</f>
        <v>0</v>
      </c>
      <c r="K11" s="1222"/>
      <c r="L11" s="40" t="s">
        <v>28</v>
      </c>
      <c r="M11" s="41">
        <f>IF(SUM('Input (5)'!$G$7-'C (5)'!$H$25)+SUM('Input (5)'!$G$8-'C (5)'!$H$26)&gt;299.99,20,0)</f>
        <v>0</v>
      </c>
      <c r="N11" s="42" t="s">
        <v>29</v>
      </c>
      <c r="O11" s="38">
        <f>ROUND(IF(SUM('Input (5)'!$G$7-'C (5)'!$H$25)+SUM('Input (5)'!$G$8-'C (5)'!$H$26)&lt;299.99,0,IF(Q11+Q13&lt;15,0,(J11/M11))),2)</f>
        <v>0</v>
      </c>
      <c r="P11" s="2" t="str">
        <f>IF(O11=0," ",IF(O11=Q11," ","Minimum"))</f>
        <v xml:space="preserve"> </v>
      </c>
      <c r="Q11" s="32">
        <f>ROUND(IF(SUM('Input (5)'!$G$7-'C (5)'!$H$25)+SUM('Input (5)'!$G$8-'C (5)'!$H$26)&lt;299.99,0,(J11/M11)),2)</f>
        <v>0</v>
      </c>
    </row>
    <row r="12" spans="1:18" ht="9" customHeight="1">
      <c r="B12" s="12"/>
      <c r="J12" s="43"/>
      <c r="K12" s="43"/>
      <c r="O12" s="43"/>
    </row>
    <row r="13" spans="1:18" ht="15">
      <c r="C13" s="12" t="s">
        <v>9</v>
      </c>
      <c r="F13" s="41" t="str">
        <f>IF(J13=0," ",IF($J$16&gt;300," ",'Input (5)'!G8))</f>
        <v xml:space="preserve"> </v>
      </c>
      <c r="G13" s="44" t="s">
        <v>31</v>
      </c>
      <c r="H13" s="38" t="str">
        <f>IF(J13=0," ",'C (5)'!H26)</f>
        <v xml:space="preserve"> </v>
      </c>
      <c r="I13" s="42" t="s">
        <v>29</v>
      </c>
      <c r="J13" s="1222">
        <f>IF('Input (5)'!G8=0,0,IF(SUM('Input (5)'!G7-'C (5)'!H25)+SUM('Input (5)'!G8-'C (5)'!H26)&gt;299.99,SUM('Input (5)'!G8-'C (5)'!H26),0))</f>
        <v>0</v>
      </c>
      <c r="K13" s="1222"/>
      <c r="L13" s="40" t="s">
        <v>28</v>
      </c>
      <c r="M13" s="41">
        <f>IF(SUM('Input (5)'!$G$7-'C (5)'!$H$25)+SUM('Input (5)'!$G$8-'C (5)'!$H$26)&gt;299.99,23,0)</f>
        <v>0</v>
      </c>
      <c r="N13" s="42" t="s">
        <v>29</v>
      </c>
      <c r="O13" s="38">
        <f>ROUND(IF(SUM('Input (5)'!$G$7-'C (5)'!$H$25)+SUM('Input (5)'!$G$8-'C (5)'!$H$26)&lt;299.99,0,IF(Q11+Q13&lt;15,0,($J$13/$M$13))),2)</f>
        <v>0</v>
      </c>
      <c r="P13" s="2" t="str">
        <f>IF(O13=0," ",IF(O13=Q13," ","Minimum"))</f>
        <v xml:space="preserve"> </v>
      </c>
      <c r="Q13" s="32">
        <f>ROUND(IF(SUM('Input (5)'!$G$7-'C (5)'!$H$25)+SUM('Input (5)'!$G$8-'C (5)'!$H$26)&lt;299.99,0,($J$13/$M$13)),2)</f>
        <v>0</v>
      </c>
    </row>
    <row r="14" spans="1:18" ht="15">
      <c r="B14" s="5" t="s">
        <v>7</v>
      </c>
      <c r="F14" s="36"/>
      <c r="G14" s="44"/>
      <c r="H14" s="39"/>
      <c r="I14" s="42"/>
      <c r="O14" s="39" t="str">
        <f>IF(P14="Minimum",15," ")</f>
        <v xml:space="preserve"> </v>
      </c>
      <c r="P14" s="2" t="str">
        <f>IF(Q11+Q13=0," ",IF(Q11+Q13&lt;15,"Minimum"," "))</f>
        <v xml:space="preserve"> </v>
      </c>
    </row>
    <row r="15" spans="1:18">
      <c r="B15" s="28" t="s">
        <v>32</v>
      </c>
      <c r="O15" s="43"/>
    </row>
    <row r="16" spans="1:18" ht="15">
      <c r="C16" s="12" t="s">
        <v>33</v>
      </c>
      <c r="F16" s="41">
        <f>IF(J16=0," ",IF(J16&lt;300,SUM('Input (5)'!G7+'Input (5)'!G8)," "))</f>
        <v>98.8</v>
      </c>
      <c r="G16" s="44" t="s">
        <v>31</v>
      </c>
      <c r="H16" s="38">
        <f>IF(J16=0," ",'C (5)'!H22)</f>
        <v>7.4399999999999995</v>
      </c>
      <c r="I16" s="42" t="s">
        <v>29</v>
      </c>
      <c r="J16" s="1222">
        <f>IF('Input (5)'!G9=0,0,IF(SUM('Input (5)'!G7-'C (5)'!H25)+SUM('Input (5)'!G8-'C (5)'!H26)&lt;300,IF(P7="ADD to 1-6",SUM('Input (5)'!G7-'C (5)'!H25)+SUM('Input (5)'!G8-'C (5)'!H26)+'Input (5)'!G4,SUM('Input (5)'!G7-'C (5)'!H25)+SUM('Input (5)'!G8-'C (5)'!H26)),0))</f>
        <v>91.36</v>
      </c>
      <c r="K16" s="1222"/>
      <c r="L16" s="40" t="s">
        <v>28</v>
      </c>
      <c r="M16" s="41">
        <f>IF(SUM('Input (5)'!$G$7-'C (5)'!$H$25)+SUM('Input (5)'!$G$8-'C (5)'!$H$26)&lt;299.99,LOOKUP(J16,'criteria (5)'!$M$3:$M$11,'criteria (5)'!$N$3:$N$11),0)</f>
        <v>16</v>
      </c>
      <c r="N16" s="42" t="s">
        <v>29</v>
      </c>
      <c r="O16" s="38">
        <f>IF(Q16=0,0,IF(Q16&lt;LOOKUP(J16,'criteria (5)'!$M$3:$M$10,'criteria (5)'!$O$3:$O$10),LOOKUP(J16,'criteria (5)'!$M$3:$M$10,'criteria (5)'!$O$3:$O$10),Q16))</f>
        <v>5.71</v>
      </c>
      <c r="P16" s="2" t="str">
        <f>IF(O16=0," ",IF(O16=Q16," ","Minimum"))</f>
        <v xml:space="preserve"> </v>
      </c>
      <c r="Q16" s="32">
        <f>ROUND(IF('Input (5)'!G9=0,0,IF(SUM('Input (5)'!$G$7-'C (5)'!$H$25)+SUM('Input (5)'!$G$8-'C (5)'!$H$26)&gt;299.99,0,(J16/M16))),2)</f>
        <v>5.71</v>
      </c>
    </row>
    <row r="17" spans="1:17" ht="6" customHeight="1">
      <c r="J17" s="43"/>
      <c r="K17" s="43"/>
      <c r="O17" s="43"/>
    </row>
    <row r="18" spans="1:17" ht="15">
      <c r="B18" s="5" t="s">
        <v>10</v>
      </c>
      <c r="F18" s="41">
        <f>IF(J18=0," ",'Input (5)'!G10)</f>
        <v>133</v>
      </c>
      <c r="G18" s="44" t="s">
        <v>31</v>
      </c>
      <c r="H18" s="38"/>
      <c r="I18" s="42" t="s">
        <v>29</v>
      </c>
      <c r="J18" s="1222">
        <f>IF('Input (5)'!G10=0,0,'Input (5)'!G10)</f>
        <v>133</v>
      </c>
      <c r="K18" s="1222"/>
      <c r="L18" s="40" t="s">
        <v>28</v>
      </c>
      <c r="M18" s="41">
        <f>IF(J18=0,0,IF(J18&gt;99.99,LOOKUP(J18,'criteria (5)'!Q3:Q10,'criteria (5)'!R3:R10),12))</f>
        <v>12</v>
      </c>
      <c r="N18" s="42" t="s">
        <v>29</v>
      </c>
      <c r="O18" s="38">
        <f>ROUND(IF(J18=0,0,IF(J18&lt;99.99,IF(M18=0,8,(J18/M18)),IF(Q18&lt;LOOKUP(J18,'criteria (5)'!$Q$3:$Q$10,'criteria (5)'!$S$3:$S$10),LOOKUP(J18,'criteria (5)'!$Q$3:$Q$10,'criteria (5)'!$S$3:$S$10),Q18))),2)</f>
        <v>11.08</v>
      </c>
      <c r="P18" s="2" t="str">
        <f>IF(O18=0," ",IF(O18=Q18," ","Minimum"))</f>
        <v xml:space="preserve"> </v>
      </c>
      <c r="Q18" s="32">
        <f>ROUND(IF(M18=0,0,(J18/M18)),2)</f>
        <v>11.08</v>
      </c>
    </row>
    <row r="19" spans="1:17">
      <c r="B19" s="5"/>
      <c r="J19" s="39"/>
      <c r="K19" s="39"/>
      <c r="M19" s="36"/>
      <c r="N19" s="42"/>
      <c r="O19" s="36"/>
    </row>
    <row r="20" spans="1:17" ht="15.6">
      <c r="A20" s="48" t="s">
        <v>43</v>
      </c>
      <c r="J20" s="43"/>
      <c r="K20" s="43"/>
    </row>
    <row r="21" spans="1:17" ht="3.75" customHeight="1">
      <c r="J21" s="43"/>
      <c r="K21" s="43"/>
    </row>
    <row r="22" spans="1:17">
      <c r="B22" s="2" t="s">
        <v>44</v>
      </c>
      <c r="J22" s="1222" t="str">
        <f>IF('C (5)'!H55=0," ",'C (5)'!H55)</f>
        <v xml:space="preserve"> </v>
      </c>
      <c r="K22" s="1222"/>
    </row>
    <row r="23" spans="1:17" ht="6" customHeight="1">
      <c r="J23" s="43"/>
      <c r="K23" s="43"/>
    </row>
    <row r="24" spans="1:17">
      <c r="B24" s="2" t="s">
        <v>45</v>
      </c>
      <c r="J24" s="1222">
        <f>IF('C (5)'!H22=0," ",'C (5)'!H22)</f>
        <v>7.4399999999999995</v>
      </c>
      <c r="K24" s="1222"/>
    </row>
    <row r="25" spans="1:17" ht="6" customHeight="1">
      <c r="J25" s="43"/>
      <c r="K25" s="43"/>
    </row>
    <row r="26" spans="1:17">
      <c r="B26" s="2" t="s">
        <v>46</v>
      </c>
      <c r="J26" s="1222">
        <f>0</f>
        <v>0</v>
      </c>
      <c r="K26" s="1222"/>
    </row>
    <row r="27" spans="1:17" ht="6" customHeight="1">
      <c r="J27" s="43"/>
      <c r="K27" s="43"/>
    </row>
    <row r="28" spans="1:17" ht="6" customHeight="1">
      <c r="J28" s="39"/>
      <c r="K28" s="39"/>
    </row>
    <row r="29" spans="1:17" ht="13.5" customHeight="1" thickBot="1">
      <c r="B29" s="46" t="s">
        <v>47</v>
      </c>
      <c r="J29" s="1219">
        <f>SUM(J22:K27)</f>
        <v>7.4399999999999995</v>
      </c>
      <c r="K29" s="1219"/>
      <c r="L29" s="40" t="s">
        <v>28</v>
      </c>
      <c r="M29" s="41">
        <f>IF(SUM('Input (5)'!C4:C10)=0,0,IF(J29&gt;=14,LOOKUP(J29,'criteria (5)'!$U$3:$U$10,'criteria (5)'!$V$3:$V$10),0))</f>
        <v>0</v>
      </c>
      <c r="N29" s="42" t="s">
        <v>29</v>
      </c>
      <c r="O29" s="38">
        <f>IF(J29=0,0,IF(Q29&lt;LOOKUP(J29,'criteria (5)'!$U$3:$U$10,'criteria (5)'!$W$3:$W$10),LOOKUP(J29,'criteria (5)'!$U$3:$U$10,'criteria (5)'!$W$3:$W$10),Q29))</f>
        <v>0.5</v>
      </c>
      <c r="P29" s="2" t="str">
        <f>IF(O29=0," ",IF(O29=Q29," ","Minimum"))</f>
        <v>Minimum</v>
      </c>
      <c r="Q29" s="32">
        <f>ROUND(IF(SUM('Input (5)'!C4:C10)=0,0,IF(M29=0,0,(J29/M29))),2)</f>
        <v>0</v>
      </c>
    </row>
    <row r="30" spans="1:17" ht="12" customHeight="1" thickTop="1">
      <c r="B30" s="1226"/>
      <c r="C30" s="1226"/>
      <c r="D30" s="1226"/>
      <c r="E30" s="1226"/>
      <c r="F30" s="47"/>
      <c r="G30" s="47"/>
      <c r="H30" s="47"/>
      <c r="J30" s="12"/>
      <c r="N30" s="42"/>
      <c r="O30" s="39"/>
      <c r="P30" s="46"/>
    </row>
    <row r="31" spans="1:17" ht="19.5" customHeight="1">
      <c r="A31" s="48" t="s">
        <v>39</v>
      </c>
      <c r="O31" s="43"/>
    </row>
    <row r="32" spans="1:17" ht="15">
      <c r="B32" s="1227" t="str">
        <f>IF('Input (5)'!E14=0," ","Alternative Secondary High School")</f>
        <v xml:space="preserve"> </v>
      </c>
      <c r="C32" s="1227"/>
      <c r="D32" s="1227"/>
      <c r="E32" s="1227"/>
      <c r="F32" s="1227"/>
      <c r="J32" s="1222">
        <f>'Input (5)'!G14</f>
        <v>0</v>
      </c>
      <c r="K32" s="1222"/>
      <c r="L32" s="40" t="s">
        <v>28</v>
      </c>
      <c r="M32" s="41">
        <f>IF(J32=0,0,IF(Q32&lt;1,M18,12))</f>
        <v>0</v>
      </c>
      <c r="N32" s="42" t="s">
        <v>29</v>
      </c>
      <c r="O32" s="38">
        <f>ROUND(IF(J32=0,0,J32/M32),2)</f>
        <v>0</v>
      </c>
      <c r="P32" s="45"/>
      <c r="Q32" s="32">
        <f>ROUND(IF(J32=0,0,J32/12),2)</f>
        <v>0</v>
      </c>
    </row>
    <row r="33" spans="1:17" ht="11.25" customHeight="1">
      <c r="J33" s="43"/>
      <c r="K33" s="43"/>
      <c r="O33" s="43"/>
    </row>
    <row r="34" spans="1:17" ht="11.25" customHeight="1">
      <c r="B34" s="1227" t="str">
        <f>IF('Input (5)'!E15=0," ","Summer Alternative Secondary High School")</f>
        <v xml:space="preserve"> </v>
      </c>
      <c r="C34" s="1227"/>
      <c r="D34" s="1227"/>
      <c r="E34" s="1227"/>
      <c r="F34" s="1227"/>
      <c r="J34" s="1222">
        <f>'Input (5)'!E15</f>
        <v>0</v>
      </c>
      <c r="K34" s="1222"/>
      <c r="L34" s="40" t="s">
        <v>28</v>
      </c>
      <c r="M34" s="41">
        <f>IF(J34=0,0,40)</f>
        <v>0</v>
      </c>
      <c r="N34" s="42" t="s">
        <v>29</v>
      </c>
      <c r="O34" s="38">
        <f>ROUND(IF(J34=0,0,J34/M34),2)</f>
        <v>0</v>
      </c>
      <c r="P34" s="45"/>
      <c r="Q34" s="32">
        <f>ROUND(IF(J34=0,0,J34/12),2)</f>
        <v>0</v>
      </c>
    </row>
    <row r="35" spans="1:17" ht="13.5" customHeight="1">
      <c r="J35" s="36"/>
      <c r="K35" s="36"/>
      <c r="L35" s="40"/>
      <c r="M35" s="36"/>
      <c r="N35" s="42"/>
      <c r="O35" s="36"/>
      <c r="P35" s="46"/>
    </row>
    <row r="36" spans="1:17" ht="18.75" customHeight="1" thickBot="1">
      <c r="A36" s="45"/>
      <c r="B36" s="12" t="s">
        <v>40</v>
      </c>
      <c r="C36" s="46"/>
      <c r="D36" s="46"/>
      <c r="E36" s="46"/>
      <c r="F36" s="46"/>
      <c r="G36" s="46"/>
      <c r="H36" s="46"/>
      <c r="I36" s="46"/>
      <c r="J36" s="46"/>
      <c r="K36" s="46"/>
      <c r="M36" s="36"/>
      <c r="O36" s="52">
        <f>ROUND(IF(SUM(O7:O34)=0,0,SUM(O7:O34)),2)</f>
        <v>17.89</v>
      </c>
    </row>
    <row r="37" spans="1:17" ht="13.8" thickTop="1">
      <c r="M37" s="1218" t="str">
        <f>IF(O36=0," ",IF(O36&lt;'Best 28 (5)'!O36,"Do Not Use","You May Use this Calculation"))</f>
        <v>You May Use this Calculation</v>
      </c>
      <c r="N37" s="1218"/>
      <c r="O37" s="1218"/>
      <c r="P37" s="1218"/>
    </row>
  </sheetData>
  <sheetProtection password="CDD6" sheet="1" objects="1" scenarios="1"/>
  <mergeCells count="19">
    <mergeCell ref="M37:P37"/>
    <mergeCell ref="J29:K29"/>
    <mergeCell ref="B30:E30"/>
    <mergeCell ref="B32:F32"/>
    <mergeCell ref="J32:K32"/>
    <mergeCell ref="B34:F34"/>
    <mergeCell ref="J34:K34"/>
    <mergeCell ref="J26:K26"/>
    <mergeCell ref="A1:O1"/>
    <mergeCell ref="A2:O2"/>
    <mergeCell ref="A3:O3"/>
    <mergeCell ref="J5:K5"/>
    <mergeCell ref="J7:K7"/>
    <mergeCell ref="J11:K11"/>
    <mergeCell ref="J13:K13"/>
    <mergeCell ref="J16:K16"/>
    <mergeCell ref="J18:K18"/>
    <mergeCell ref="J22:K22"/>
    <mergeCell ref="J24:K24"/>
  </mergeCells>
  <conditionalFormatting sqref="M37:P37">
    <cfRule type="cellIs" dxfId="22" priority="1" stopIfTrue="1" operator="equal">
      <formula>"Do Not Use"</formula>
    </cfRule>
    <cfRule type="cellIs" dxfId="21" priority="2" stopIfTrue="1" operator="equal">
      <formula>"You May Use this Calculation"</formula>
    </cfRule>
  </conditionalFormatting>
  <pageMargins left="0.5" right="0.5" top="0.5" bottom="0.5" header="0.25" footer="0.25"/>
  <pageSetup scale="76" orientation="portrait" r:id="rId1"/>
  <headerFooter alignWithMargins="0">
    <oddFooter>&amp;L&amp;F</oddFooter>
  </headerFooter>
  <colBreaks count="1" manualBreakCount="1">
    <brk id="16"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9"/>
  <dimension ref="A1:K57"/>
  <sheetViews>
    <sheetView showGridLines="0" zoomScaleNormal="100" workbookViewId="0">
      <selection activeCell="C4" sqref="C4"/>
    </sheetView>
  </sheetViews>
  <sheetFormatPr defaultRowHeight="13.2"/>
  <cols>
    <col min="1" max="1" width="6" style="30" customWidth="1"/>
    <col min="2" max="5" width="8.77734375" style="2"/>
    <col min="6" max="6" width="17.21875" style="2" customWidth="1"/>
    <col min="7" max="7" width="2.77734375" style="30" customWidth="1"/>
    <col min="8" max="9" width="8.77734375" style="2"/>
    <col min="10" max="10" width="6.5546875" style="2" customWidth="1"/>
    <col min="11" max="11" width="10.21875" style="2" customWidth="1"/>
    <col min="12" max="256" width="8.77734375" style="2"/>
    <col min="257" max="257" width="6" style="2" customWidth="1"/>
    <col min="258" max="261" width="8.77734375" style="2"/>
    <col min="262" max="262" width="17.21875" style="2" customWidth="1"/>
    <col min="263" max="263" width="2.77734375" style="2" customWidth="1"/>
    <col min="264" max="265" width="8.77734375" style="2"/>
    <col min="266" max="266" width="6.5546875" style="2" customWidth="1"/>
    <col min="267" max="267" width="10.21875" style="2" customWidth="1"/>
    <col min="268" max="512" width="8.77734375" style="2"/>
    <col min="513" max="513" width="6" style="2" customWidth="1"/>
    <col min="514" max="517" width="8.77734375" style="2"/>
    <col min="518" max="518" width="17.21875" style="2" customWidth="1"/>
    <col min="519" max="519" width="2.77734375" style="2" customWidth="1"/>
    <col min="520" max="521" width="8.77734375" style="2"/>
    <col min="522" max="522" width="6.5546875" style="2" customWidth="1"/>
    <col min="523" max="523" width="10.21875" style="2" customWidth="1"/>
    <col min="524" max="768" width="8.77734375" style="2"/>
    <col min="769" max="769" width="6" style="2" customWidth="1"/>
    <col min="770" max="773" width="8.77734375" style="2"/>
    <col min="774" max="774" width="17.21875" style="2" customWidth="1"/>
    <col min="775" max="775" width="2.77734375" style="2" customWidth="1"/>
    <col min="776" max="777" width="8.77734375" style="2"/>
    <col min="778" max="778" width="6.5546875" style="2" customWidth="1"/>
    <col min="779" max="779" width="10.21875" style="2" customWidth="1"/>
    <col min="780" max="1024" width="8.77734375" style="2"/>
    <col min="1025" max="1025" width="6" style="2" customWidth="1"/>
    <col min="1026" max="1029" width="8.77734375" style="2"/>
    <col min="1030" max="1030" width="17.21875" style="2" customWidth="1"/>
    <col min="1031" max="1031" width="2.77734375" style="2" customWidth="1"/>
    <col min="1032" max="1033" width="8.77734375" style="2"/>
    <col min="1034" max="1034" width="6.5546875" style="2" customWidth="1"/>
    <col min="1035" max="1035" width="10.21875" style="2" customWidth="1"/>
    <col min="1036" max="1280" width="8.77734375" style="2"/>
    <col min="1281" max="1281" width="6" style="2" customWidth="1"/>
    <col min="1282" max="1285" width="8.77734375" style="2"/>
    <col min="1286" max="1286" width="17.21875" style="2" customWidth="1"/>
    <col min="1287" max="1287" width="2.77734375" style="2" customWidth="1"/>
    <col min="1288" max="1289" width="8.77734375" style="2"/>
    <col min="1290" max="1290" width="6.5546875" style="2" customWidth="1"/>
    <col min="1291" max="1291" width="10.21875" style="2" customWidth="1"/>
    <col min="1292" max="1536" width="8.77734375" style="2"/>
    <col min="1537" max="1537" width="6" style="2" customWidth="1"/>
    <col min="1538" max="1541" width="8.77734375" style="2"/>
    <col min="1542" max="1542" width="17.21875" style="2" customWidth="1"/>
    <col min="1543" max="1543" width="2.77734375" style="2" customWidth="1"/>
    <col min="1544" max="1545" width="8.77734375" style="2"/>
    <col min="1546" max="1546" width="6.5546875" style="2" customWidth="1"/>
    <col min="1547" max="1547" width="10.21875" style="2" customWidth="1"/>
    <col min="1548" max="1792" width="8.77734375" style="2"/>
    <col min="1793" max="1793" width="6" style="2" customWidth="1"/>
    <col min="1794" max="1797" width="8.77734375" style="2"/>
    <col min="1798" max="1798" width="17.21875" style="2" customWidth="1"/>
    <col min="1799" max="1799" width="2.77734375" style="2" customWidth="1"/>
    <col min="1800" max="1801" width="8.77734375" style="2"/>
    <col min="1802" max="1802" width="6.5546875" style="2" customWidth="1"/>
    <col min="1803" max="1803" width="10.21875" style="2" customWidth="1"/>
    <col min="1804" max="2048" width="8.77734375" style="2"/>
    <col min="2049" max="2049" width="6" style="2" customWidth="1"/>
    <col min="2050" max="2053" width="8.77734375" style="2"/>
    <col min="2054" max="2054" width="17.21875" style="2" customWidth="1"/>
    <col min="2055" max="2055" width="2.77734375" style="2" customWidth="1"/>
    <col min="2056" max="2057" width="8.77734375" style="2"/>
    <col min="2058" max="2058" width="6.5546875" style="2" customWidth="1"/>
    <col min="2059" max="2059" width="10.21875" style="2" customWidth="1"/>
    <col min="2060" max="2304" width="8.77734375" style="2"/>
    <col min="2305" max="2305" width="6" style="2" customWidth="1"/>
    <col min="2306" max="2309" width="8.77734375" style="2"/>
    <col min="2310" max="2310" width="17.21875" style="2" customWidth="1"/>
    <col min="2311" max="2311" width="2.77734375" style="2" customWidth="1"/>
    <col min="2312" max="2313" width="8.77734375" style="2"/>
    <col min="2314" max="2314" width="6.5546875" style="2" customWidth="1"/>
    <col min="2315" max="2315" width="10.21875" style="2" customWidth="1"/>
    <col min="2316" max="2560" width="8.77734375" style="2"/>
    <col min="2561" max="2561" width="6" style="2" customWidth="1"/>
    <col min="2562" max="2565" width="8.77734375" style="2"/>
    <col min="2566" max="2566" width="17.21875" style="2" customWidth="1"/>
    <col min="2567" max="2567" width="2.77734375" style="2" customWidth="1"/>
    <col min="2568" max="2569" width="8.77734375" style="2"/>
    <col min="2570" max="2570" width="6.5546875" style="2" customWidth="1"/>
    <col min="2571" max="2571" width="10.21875" style="2" customWidth="1"/>
    <col min="2572" max="2816" width="8.77734375" style="2"/>
    <col min="2817" max="2817" width="6" style="2" customWidth="1"/>
    <col min="2818" max="2821" width="8.77734375" style="2"/>
    <col min="2822" max="2822" width="17.21875" style="2" customWidth="1"/>
    <col min="2823" max="2823" width="2.77734375" style="2" customWidth="1"/>
    <col min="2824" max="2825" width="8.77734375" style="2"/>
    <col min="2826" max="2826" width="6.5546875" style="2" customWidth="1"/>
    <col min="2827" max="2827" width="10.21875" style="2" customWidth="1"/>
    <col min="2828" max="3072" width="8.77734375" style="2"/>
    <col min="3073" max="3073" width="6" style="2" customWidth="1"/>
    <col min="3074" max="3077" width="8.77734375" style="2"/>
    <col min="3078" max="3078" width="17.21875" style="2" customWidth="1"/>
    <col min="3079" max="3079" width="2.77734375" style="2" customWidth="1"/>
    <col min="3080" max="3081" width="8.77734375" style="2"/>
    <col min="3082" max="3082" width="6.5546875" style="2" customWidth="1"/>
    <col min="3083" max="3083" width="10.21875" style="2" customWidth="1"/>
    <col min="3084" max="3328" width="8.77734375" style="2"/>
    <col min="3329" max="3329" width="6" style="2" customWidth="1"/>
    <col min="3330" max="3333" width="8.77734375" style="2"/>
    <col min="3334" max="3334" width="17.21875" style="2" customWidth="1"/>
    <col min="3335" max="3335" width="2.77734375" style="2" customWidth="1"/>
    <col min="3336" max="3337" width="8.77734375" style="2"/>
    <col min="3338" max="3338" width="6.5546875" style="2" customWidth="1"/>
    <col min="3339" max="3339" width="10.21875" style="2" customWidth="1"/>
    <col min="3340" max="3584" width="8.77734375" style="2"/>
    <col min="3585" max="3585" width="6" style="2" customWidth="1"/>
    <col min="3586" max="3589" width="8.77734375" style="2"/>
    <col min="3590" max="3590" width="17.21875" style="2" customWidth="1"/>
    <col min="3591" max="3591" width="2.77734375" style="2" customWidth="1"/>
    <col min="3592" max="3593" width="8.77734375" style="2"/>
    <col min="3594" max="3594" width="6.5546875" style="2" customWidth="1"/>
    <col min="3595" max="3595" width="10.21875" style="2" customWidth="1"/>
    <col min="3596" max="3840" width="8.77734375" style="2"/>
    <col min="3841" max="3841" width="6" style="2" customWidth="1"/>
    <col min="3842" max="3845" width="8.77734375" style="2"/>
    <col min="3846" max="3846" width="17.21875" style="2" customWidth="1"/>
    <col min="3847" max="3847" width="2.77734375" style="2" customWidth="1"/>
    <col min="3848" max="3849" width="8.77734375" style="2"/>
    <col min="3850" max="3850" width="6.5546875" style="2" customWidth="1"/>
    <col min="3851" max="3851" width="10.21875" style="2" customWidth="1"/>
    <col min="3852" max="4096" width="8.77734375" style="2"/>
    <col min="4097" max="4097" width="6" style="2" customWidth="1"/>
    <col min="4098" max="4101" width="8.77734375" style="2"/>
    <col min="4102" max="4102" width="17.21875" style="2" customWidth="1"/>
    <col min="4103" max="4103" width="2.77734375" style="2" customWidth="1"/>
    <col min="4104" max="4105" width="8.77734375" style="2"/>
    <col min="4106" max="4106" width="6.5546875" style="2" customWidth="1"/>
    <col min="4107" max="4107" width="10.21875" style="2" customWidth="1"/>
    <col min="4108" max="4352" width="8.77734375" style="2"/>
    <col min="4353" max="4353" width="6" style="2" customWidth="1"/>
    <col min="4354" max="4357" width="8.77734375" style="2"/>
    <col min="4358" max="4358" width="17.21875" style="2" customWidth="1"/>
    <col min="4359" max="4359" width="2.77734375" style="2" customWidth="1"/>
    <col min="4360" max="4361" width="8.77734375" style="2"/>
    <col min="4362" max="4362" width="6.5546875" style="2" customWidth="1"/>
    <col min="4363" max="4363" width="10.21875" style="2" customWidth="1"/>
    <col min="4364" max="4608" width="8.77734375" style="2"/>
    <col min="4609" max="4609" width="6" style="2" customWidth="1"/>
    <col min="4610" max="4613" width="8.77734375" style="2"/>
    <col min="4614" max="4614" width="17.21875" style="2" customWidth="1"/>
    <col min="4615" max="4615" width="2.77734375" style="2" customWidth="1"/>
    <col min="4616" max="4617" width="8.77734375" style="2"/>
    <col min="4618" max="4618" width="6.5546875" style="2" customWidth="1"/>
    <col min="4619" max="4619" width="10.21875" style="2" customWidth="1"/>
    <col min="4620" max="4864" width="8.77734375" style="2"/>
    <col min="4865" max="4865" width="6" style="2" customWidth="1"/>
    <col min="4866" max="4869" width="8.77734375" style="2"/>
    <col min="4870" max="4870" width="17.21875" style="2" customWidth="1"/>
    <col min="4871" max="4871" width="2.77734375" style="2" customWidth="1"/>
    <col min="4872" max="4873" width="8.77734375" style="2"/>
    <col min="4874" max="4874" width="6.5546875" style="2" customWidth="1"/>
    <col min="4875" max="4875" width="10.21875" style="2" customWidth="1"/>
    <col min="4876" max="5120" width="8.77734375" style="2"/>
    <col min="5121" max="5121" width="6" style="2" customWidth="1"/>
    <col min="5122" max="5125" width="8.77734375" style="2"/>
    <col min="5126" max="5126" width="17.21875" style="2" customWidth="1"/>
    <col min="5127" max="5127" width="2.77734375" style="2" customWidth="1"/>
    <col min="5128" max="5129" width="8.77734375" style="2"/>
    <col min="5130" max="5130" width="6.5546875" style="2" customWidth="1"/>
    <col min="5131" max="5131" width="10.21875" style="2" customWidth="1"/>
    <col min="5132" max="5376" width="8.77734375" style="2"/>
    <col min="5377" max="5377" width="6" style="2" customWidth="1"/>
    <col min="5378" max="5381" width="8.77734375" style="2"/>
    <col min="5382" max="5382" width="17.21875" style="2" customWidth="1"/>
    <col min="5383" max="5383" width="2.77734375" style="2" customWidth="1"/>
    <col min="5384" max="5385" width="8.77734375" style="2"/>
    <col min="5386" max="5386" width="6.5546875" style="2" customWidth="1"/>
    <col min="5387" max="5387" width="10.21875" style="2" customWidth="1"/>
    <col min="5388" max="5632" width="8.77734375" style="2"/>
    <col min="5633" max="5633" width="6" style="2" customWidth="1"/>
    <col min="5634" max="5637" width="8.77734375" style="2"/>
    <col min="5638" max="5638" width="17.21875" style="2" customWidth="1"/>
    <col min="5639" max="5639" width="2.77734375" style="2" customWidth="1"/>
    <col min="5640" max="5641" width="8.77734375" style="2"/>
    <col min="5642" max="5642" width="6.5546875" style="2" customWidth="1"/>
    <col min="5643" max="5643" width="10.21875" style="2" customWidth="1"/>
    <col min="5644" max="5888" width="8.77734375" style="2"/>
    <col min="5889" max="5889" width="6" style="2" customWidth="1"/>
    <col min="5890" max="5893" width="8.77734375" style="2"/>
    <col min="5894" max="5894" width="17.21875" style="2" customWidth="1"/>
    <col min="5895" max="5895" width="2.77734375" style="2" customWidth="1"/>
    <col min="5896" max="5897" width="8.77734375" style="2"/>
    <col min="5898" max="5898" width="6.5546875" style="2" customWidth="1"/>
    <col min="5899" max="5899" width="10.21875" style="2" customWidth="1"/>
    <col min="5900" max="6144" width="8.77734375" style="2"/>
    <col min="6145" max="6145" width="6" style="2" customWidth="1"/>
    <col min="6146" max="6149" width="8.77734375" style="2"/>
    <col min="6150" max="6150" width="17.21875" style="2" customWidth="1"/>
    <col min="6151" max="6151" width="2.77734375" style="2" customWidth="1"/>
    <col min="6152" max="6153" width="8.77734375" style="2"/>
    <col min="6154" max="6154" width="6.5546875" style="2" customWidth="1"/>
    <col min="6155" max="6155" width="10.21875" style="2" customWidth="1"/>
    <col min="6156" max="6400" width="8.77734375" style="2"/>
    <col min="6401" max="6401" width="6" style="2" customWidth="1"/>
    <col min="6402" max="6405" width="8.77734375" style="2"/>
    <col min="6406" max="6406" width="17.21875" style="2" customWidth="1"/>
    <col min="6407" max="6407" width="2.77734375" style="2" customWidth="1"/>
    <col min="6408" max="6409" width="8.77734375" style="2"/>
    <col min="6410" max="6410" width="6.5546875" style="2" customWidth="1"/>
    <col min="6411" max="6411" width="10.21875" style="2" customWidth="1"/>
    <col min="6412" max="6656" width="8.77734375" style="2"/>
    <col min="6657" max="6657" width="6" style="2" customWidth="1"/>
    <col min="6658" max="6661" width="8.77734375" style="2"/>
    <col min="6662" max="6662" width="17.21875" style="2" customWidth="1"/>
    <col min="6663" max="6663" width="2.77734375" style="2" customWidth="1"/>
    <col min="6664" max="6665" width="8.77734375" style="2"/>
    <col min="6666" max="6666" width="6.5546875" style="2" customWidth="1"/>
    <col min="6667" max="6667" width="10.21875" style="2" customWidth="1"/>
    <col min="6668" max="6912" width="8.77734375" style="2"/>
    <col min="6913" max="6913" width="6" style="2" customWidth="1"/>
    <col min="6914" max="6917" width="8.77734375" style="2"/>
    <col min="6918" max="6918" width="17.21875" style="2" customWidth="1"/>
    <col min="6919" max="6919" width="2.77734375" style="2" customWidth="1"/>
    <col min="6920" max="6921" width="8.77734375" style="2"/>
    <col min="6922" max="6922" width="6.5546875" style="2" customWidth="1"/>
    <col min="6923" max="6923" width="10.21875" style="2" customWidth="1"/>
    <col min="6924" max="7168" width="8.77734375" style="2"/>
    <col min="7169" max="7169" width="6" style="2" customWidth="1"/>
    <col min="7170" max="7173" width="8.77734375" style="2"/>
    <col min="7174" max="7174" width="17.21875" style="2" customWidth="1"/>
    <col min="7175" max="7175" width="2.77734375" style="2" customWidth="1"/>
    <col min="7176" max="7177" width="8.77734375" style="2"/>
    <col min="7178" max="7178" width="6.5546875" style="2" customWidth="1"/>
    <col min="7179" max="7179" width="10.21875" style="2" customWidth="1"/>
    <col min="7180" max="7424" width="8.77734375" style="2"/>
    <col min="7425" max="7425" width="6" style="2" customWidth="1"/>
    <col min="7426" max="7429" width="8.77734375" style="2"/>
    <col min="7430" max="7430" width="17.21875" style="2" customWidth="1"/>
    <col min="7431" max="7431" width="2.77734375" style="2" customWidth="1"/>
    <col min="7432" max="7433" width="8.77734375" style="2"/>
    <col min="7434" max="7434" width="6.5546875" style="2" customWidth="1"/>
    <col min="7435" max="7435" width="10.21875" style="2" customWidth="1"/>
    <col min="7436" max="7680" width="8.77734375" style="2"/>
    <col min="7681" max="7681" width="6" style="2" customWidth="1"/>
    <col min="7682" max="7685" width="8.77734375" style="2"/>
    <col min="7686" max="7686" width="17.21875" style="2" customWidth="1"/>
    <col min="7687" max="7687" width="2.77734375" style="2" customWidth="1"/>
    <col min="7688" max="7689" width="8.77734375" style="2"/>
    <col min="7690" max="7690" width="6.5546875" style="2" customWidth="1"/>
    <col min="7691" max="7691" width="10.21875" style="2" customWidth="1"/>
    <col min="7692" max="7936" width="8.77734375" style="2"/>
    <col min="7937" max="7937" width="6" style="2" customWidth="1"/>
    <col min="7938" max="7941" width="8.77734375" style="2"/>
    <col min="7942" max="7942" width="17.21875" style="2" customWidth="1"/>
    <col min="7943" max="7943" width="2.77734375" style="2" customWidth="1"/>
    <col min="7944" max="7945" width="8.77734375" style="2"/>
    <col min="7946" max="7946" width="6.5546875" style="2" customWidth="1"/>
    <col min="7947" max="7947" width="10.21875" style="2" customWidth="1"/>
    <col min="7948" max="8192" width="8.77734375" style="2"/>
    <col min="8193" max="8193" width="6" style="2" customWidth="1"/>
    <col min="8194" max="8197" width="8.77734375" style="2"/>
    <col min="8198" max="8198" width="17.21875" style="2" customWidth="1"/>
    <col min="8199" max="8199" width="2.77734375" style="2" customWidth="1"/>
    <col min="8200" max="8201" width="8.77734375" style="2"/>
    <col min="8202" max="8202" width="6.5546875" style="2" customWidth="1"/>
    <col min="8203" max="8203" width="10.21875" style="2" customWidth="1"/>
    <col min="8204" max="8448" width="8.77734375" style="2"/>
    <col min="8449" max="8449" width="6" style="2" customWidth="1"/>
    <col min="8450" max="8453" width="8.77734375" style="2"/>
    <col min="8454" max="8454" width="17.21875" style="2" customWidth="1"/>
    <col min="8455" max="8455" width="2.77734375" style="2" customWidth="1"/>
    <col min="8456" max="8457" width="8.77734375" style="2"/>
    <col min="8458" max="8458" width="6.5546875" style="2" customWidth="1"/>
    <col min="8459" max="8459" width="10.21875" style="2" customWidth="1"/>
    <col min="8460" max="8704" width="8.77734375" style="2"/>
    <col min="8705" max="8705" width="6" style="2" customWidth="1"/>
    <col min="8706" max="8709" width="8.77734375" style="2"/>
    <col min="8710" max="8710" width="17.21875" style="2" customWidth="1"/>
    <col min="8711" max="8711" width="2.77734375" style="2" customWidth="1"/>
    <col min="8712" max="8713" width="8.77734375" style="2"/>
    <col min="8714" max="8714" width="6.5546875" style="2" customWidth="1"/>
    <col min="8715" max="8715" width="10.21875" style="2" customWidth="1"/>
    <col min="8716" max="8960" width="8.77734375" style="2"/>
    <col min="8961" max="8961" width="6" style="2" customWidth="1"/>
    <col min="8962" max="8965" width="8.77734375" style="2"/>
    <col min="8966" max="8966" width="17.21875" style="2" customWidth="1"/>
    <col min="8967" max="8967" width="2.77734375" style="2" customWidth="1"/>
    <col min="8968" max="8969" width="8.77734375" style="2"/>
    <col min="8970" max="8970" width="6.5546875" style="2" customWidth="1"/>
    <col min="8971" max="8971" width="10.21875" style="2" customWidth="1"/>
    <col min="8972" max="9216" width="8.77734375" style="2"/>
    <col min="9217" max="9217" width="6" style="2" customWidth="1"/>
    <col min="9218" max="9221" width="8.77734375" style="2"/>
    <col min="9222" max="9222" width="17.21875" style="2" customWidth="1"/>
    <col min="9223" max="9223" width="2.77734375" style="2" customWidth="1"/>
    <col min="9224" max="9225" width="8.77734375" style="2"/>
    <col min="9226" max="9226" width="6.5546875" style="2" customWidth="1"/>
    <col min="9227" max="9227" width="10.21875" style="2" customWidth="1"/>
    <col min="9228" max="9472" width="8.77734375" style="2"/>
    <col min="9473" max="9473" width="6" style="2" customWidth="1"/>
    <col min="9474" max="9477" width="8.77734375" style="2"/>
    <col min="9478" max="9478" width="17.21875" style="2" customWidth="1"/>
    <col min="9479" max="9479" width="2.77734375" style="2" customWidth="1"/>
    <col min="9480" max="9481" width="8.77734375" style="2"/>
    <col min="9482" max="9482" width="6.5546875" style="2" customWidth="1"/>
    <col min="9483" max="9483" width="10.21875" style="2" customWidth="1"/>
    <col min="9484" max="9728" width="8.77734375" style="2"/>
    <col min="9729" max="9729" width="6" style="2" customWidth="1"/>
    <col min="9730" max="9733" width="8.77734375" style="2"/>
    <col min="9734" max="9734" width="17.21875" style="2" customWidth="1"/>
    <col min="9735" max="9735" width="2.77734375" style="2" customWidth="1"/>
    <col min="9736" max="9737" width="8.77734375" style="2"/>
    <col min="9738" max="9738" width="6.5546875" style="2" customWidth="1"/>
    <col min="9739" max="9739" width="10.21875" style="2" customWidth="1"/>
    <col min="9740" max="9984" width="8.77734375" style="2"/>
    <col min="9985" max="9985" width="6" style="2" customWidth="1"/>
    <col min="9986" max="9989" width="8.77734375" style="2"/>
    <col min="9990" max="9990" width="17.21875" style="2" customWidth="1"/>
    <col min="9991" max="9991" width="2.77734375" style="2" customWidth="1"/>
    <col min="9992" max="9993" width="8.77734375" style="2"/>
    <col min="9994" max="9994" width="6.5546875" style="2" customWidth="1"/>
    <col min="9995" max="9995" width="10.21875" style="2" customWidth="1"/>
    <col min="9996" max="10240" width="8.77734375" style="2"/>
    <col min="10241" max="10241" width="6" style="2" customWidth="1"/>
    <col min="10242" max="10245" width="8.77734375" style="2"/>
    <col min="10246" max="10246" width="17.21875" style="2" customWidth="1"/>
    <col min="10247" max="10247" width="2.77734375" style="2" customWidth="1"/>
    <col min="10248" max="10249" width="8.77734375" style="2"/>
    <col min="10250" max="10250" width="6.5546875" style="2" customWidth="1"/>
    <col min="10251" max="10251" width="10.21875" style="2" customWidth="1"/>
    <col min="10252" max="10496" width="8.77734375" style="2"/>
    <col min="10497" max="10497" width="6" style="2" customWidth="1"/>
    <col min="10498" max="10501" width="8.77734375" style="2"/>
    <col min="10502" max="10502" width="17.21875" style="2" customWidth="1"/>
    <col min="10503" max="10503" width="2.77734375" style="2" customWidth="1"/>
    <col min="10504" max="10505" width="8.77734375" style="2"/>
    <col min="10506" max="10506" width="6.5546875" style="2" customWidth="1"/>
    <col min="10507" max="10507" width="10.21875" style="2" customWidth="1"/>
    <col min="10508" max="10752" width="8.77734375" style="2"/>
    <col min="10753" max="10753" width="6" style="2" customWidth="1"/>
    <col min="10754" max="10757" width="8.77734375" style="2"/>
    <col min="10758" max="10758" width="17.21875" style="2" customWidth="1"/>
    <col min="10759" max="10759" width="2.77734375" style="2" customWidth="1"/>
    <col min="10760" max="10761" width="8.77734375" style="2"/>
    <col min="10762" max="10762" width="6.5546875" style="2" customWidth="1"/>
    <col min="10763" max="10763" width="10.21875" style="2" customWidth="1"/>
    <col min="10764" max="11008" width="8.77734375" style="2"/>
    <col min="11009" max="11009" width="6" style="2" customWidth="1"/>
    <col min="11010" max="11013" width="8.77734375" style="2"/>
    <col min="11014" max="11014" width="17.21875" style="2" customWidth="1"/>
    <col min="11015" max="11015" width="2.77734375" style="2" customWidth="1"/>
    <col min="11016" max="11017" width="8.77734375" style="2"/>
    <col min="11018" max="11018" width="6.5546875" style="2" customWidth="1"/>
    <col min="11019" max="11019" width="10.21875" style="2" customWidth="1"/>
    <col min="11020" max="11264" width="8.77734375" style="2"/>
    <col min="11265" max="11265" width="6" style="2" customWidth="1"/>
    <col min="11266" max="11269" width="8.77734375" style="2"/>
    <col min="11270" max="11270" width="17.21875" style="2" customWidth="1"/>
    <col min="11271" max="11271" width="2.77734375" style="2" customWidth="1"/>
    <col min="11272" max="11273" width="8.77734375" style="2"/>
    <col min="11274" max="11274" width="6.5546875" style="2" customWidth="1"/>
    <col min="11275" max="11275" width="10.21875" style="2" customWidth="1"/>
    <col min="11276" max="11520" width="8.77734375" style="2"/>
    <col min="11521" max="11521" width="6" style="2" customWidth="1"/>
    <col min="11522" max="11525" width="8.77734375" style="2"/>
    <col min="11526" max="11526" width="17.21875" style="2" customWidth="1"/>
    <col min="11527" max="11527" width="2.77734375" style="2" customWidth="1"/>
    <col min="11528" max="11529" width="8.77734375" style="2"/>
    <col min="11530" max="11530" width="6.5546875" style="2" customWidth="1"/>
    <col min="11531" max="11531" width="10.21875" style="2" customWidth="1"/>
    <col min="11532" max="11776" width="8.77734375" style="2"/>
    <col min="11777" max="11777" width="6" style="2" customWidth="1"/>
    <col min="11778" max="11781" width="8.77734375" style="2"/>
    <col min="11782" max="11782" width="17.21875" style="2" customWidth="1"/>
    <col min="11783" max="11783" width="2.77734375" style="2" customWidth="1"/>
    <col min="11784" max="11785" width="8.77734375" style="2"/>
    <col min="11786" max="11786" width="6.5546875" style="2" customWidth="1"/>
    <col min="11787" max="11787" width="10.21875" style="2" customWidth="1"/>
    <col min="11788" max="12032" width="8.77734375" style="2"/>
    <col min="12033" max="12033" width="6" style="2" customWidth="1"/>
    <col min="12034" max="12037" width="8.77734375" style="2"/>
    <col min="12038" max="12038" width="17.21875" style="2" customWidth="1"/>
    <col min="12039" max="12039" width="2.77734375" style="2" customWidth="1"/>
    <col min="12040" max="12041" width="8.77734375" style="2"/>
    <col min="12042" max="12042" width="6.5546875" style="2" customWidth="1"/>
    <col min="12043" max="12043" width="10.21875" style="2" customWidth="1"/>
    <col min="12044" max="12288" width="8.77734375" style="2"/>
    <col min="12289" max="12289" width="6" style="2" customWidth="1"/>
    <col min="12290" max="12293" width="8.77734375" style="2"/>
    <col min="12294" max="12294" width="17.21875" style="2" customWidth="1"/>
    <col min="12295" max="12295" width="2.77734375" style="2" customWidth="1"/>
    <col min="12296" max="12297" width="8.77734375" style="2"/>
    <col min="12298" max="12298" width="6.5546875" style="2" customWidth="1"/>
    <col min="12299" max="12299" width="10.21875" style="2" customWidth="1"/>
    <col min="12300" max="12544" width="8.77734375" style="2"/>
    <col min="12545" max="12545" width="6" style="2" customWidth="1"/>
    <col min="12546" max="12549" width="8.77734375" style="2"/>
    <col min="12550" max="12550" width="17.21875" style="2" customWidth="1"/>
    <col min="12551" max="12551" width="2.77734375" style="2" customWidth="1"/>
    <col min="12552" max="12553" width="8.77734375" style="2"/>
    <col min="12554" max="12554" width="6.5546875" style="2" customWidth="1"/>
    <col min="12555" max="12555" width="10.21875" style="2" customWidth="1"/>
    <col min="12556" max="12800" width="8.77734375" style="2"/>
    <col min="12801" max="12801" width="6" style="2" customWidth="1"/>
    <col min="12802" max="12805" width="8.77734375" style="2"/>
    <col min="12806" max="12806" width="17.21875" style="2" customWidth="1"/>
    <col min="12807" max="12807" width="2.77734375" style="2" customWidth="1"/>
    <col min="12808" max="12809" width="8.77734375" style="2"/>
    <col min="12810" max="12810" width="6.5546875" style="2" customWidth="1"/>
    <col min="12811" max="12811" width="10.21875" style="2" customWidth="1"/>
    <col min="12812" max="13056" width="8.77734375" style="2"/>
    <col min="13057" max="13057" width="6" style="2" customWidth="1"/>
    <col min="13058" max="13061" width="8.77734375" style="2"/>
    <col min="13062" max="13062" width="17.21875" style="2" customWidth="1"/>
    <col min="13063" max="13063" width="2.77734375" style="2" customWidth="1"/>
    <col min="13064" max="13065" width="8.77734375" style="2"/>
    <col min="13066" max="13066" width="6.5546875" style="2" customWidth="1"/>
    <col min="13067" max="13067" width="10.21875" style="2" customWidth="1"/>
    <col min="13068" max="13312" width="8.77734375" style="2"/>
    <col min="13313" max="13313" width="6" style="2" customWidth="1"/>
    <col min="13314" max="13317" width="8.77734375" style="2"/>
    <col min="13318" max="13318" width="17.21875" style="2" customWidth="1"/>
    <col min="13319" max="13319" width="2.77734375" style="2" customWidth="1"/>
    <col min="13320" max="13321" width="8.77734375" style="2"/>
    <col min="13322" max="13322" width="6.5546875" style="2" customWidth="1"/>
    <col min="13323" max="13323" width="10.21875" style="2" customWidth="1"/>
    <col min="13324" max="13568" width="8.77734375" style="2"/>
    <col min="13569" max="13569" width="6" style="2" customWidth="1"/>
    <col min="13570" max="13573" width="8.77734375" style="2"/>
    <col min="13574" max="13574" width="17.21875" style="2" customWidth="1"/>
    <col min="13575" max="13575" width="2.77734375" style="2" customWidth="1"/>
    <col min="13576" max="13577" width="8.77734375" style="2"/>
    <col min="13578" max="13578" width="6.5546875" style="2" customWidth="1"/>
    <col min="13579" max="13579" width="10.21875" style="2" customWidth="1"/>
    <col min="13580" max="13824" width="8.77734375" style="2"/>
    <col min="13825" max="13825" width="6" style="2" customWidth="1"/>
    <col min="13826" max="13829" width="8.77734375" style="2"/>
    <col min="13830" max="13830" width="17.21875" style="2" customWidth="1"/>
    <col min="13831" max="13831" width="2.77734375" style="2" customWidth="1"/>
    <col min="13832" max="13833" width="8.77734375" style="2"/>
    <col min="13834" max="13834" width="6.5546875" style="2" customWidth="1"/>
    <col min="13835" max="13835" width="10.21875" style="2" customWidth="1"/>
    <col min="13836" max="14080" width="8.77734375" style="2"/>
    <col min="14081" max="14081" width="6" style="2" customWidth="1"/>
    <col min="14082" max="14085" width="8.77734375" style="2"/>
    <col min="14086" max="14086" width="17.21875" style="2" customWidth="1"/>
    <col min="14087" max="14087" width="2.77734375" style="2" customWidth="1"/>
    <col min="14088" max="14089" width="8.77734375" style="2"/>
    <col min="14090" max="14090" width="6.5546875" style="2" customWidth="1"/>
    <col min="14091" max="14091" width="10.21875" style="2" customWidth="1"/>
    <col min="14092" max="14336" width="8.77734375" style="2"/>
    <col min="14337" max="14337" width="6" style="2" customWidth="1"/>
    <col min="14338" max="14341" width="8.77734375" style="2"/>
    <col min="14342" max="14342" width="17.21875" style="2" customWidth="1"/>
    <col min="14343" max="14343" width="2.77734375" style="2" customWidth="1"/>
    <col min="14344" max="14345" width="8.77734375" style="2"/>
    <col min="14346" max="14346" width="6.5546875" style="2" customWidth="1"/>
    <col min="14347" max="14347" width="10.21875" style="2" customWidth="1"/>
    <col min="14348" max="14592" width="8.77734375" style="2"/>
    <col min="14593" max="14593" width="6" style="2" customWidth="1"/>
    <col min="14594" max="14597" width="8.77734375" style="2"/>
    <col min="14598" max="14598" width="17.21875" style="2" customWidth="1"/>
    <col min="14599" max="14599" width="2.77734375" style="2" customWidth="1"/>
    <col min="14600" max="14601" width="8.77734375" style="2"/>
    <col min="14602" max="14602" width="6.5546875" style="2" customWidth="1"/>
    <col min="14603" max="14603" width="10.21875" style="2" customWidth="1"/>
    <col min="14604" max="14848" width="8.77734375" style="2"/>
    <col min="14849" max="14849" width="6" style="2" customWidth="1"/>
    <col min="14850" max="14853" width="8.77734375" style="2"/>
    <col min="14854" max="14854" width="17.21875" style="2" customWidth="1"/>
    <col min="14855" max="14855" width="2.77734375" style="2" customWidth="1"/>
    <col min="14856" max="14857" width="8.77734375" style="2"/>
    <col min="14858" max="14858" width="6.5546875" style="2" customWidth="1"/>
    <col min="14859" max="14859" width="10.21875" style="2" customWidth="1"/>
    <col min="14860" max="15104" width="8.77734375" style="2"/>
    <col min="15105" max="15105" width="6" style="2" customWidth="1"/>
    <col min="15106" max="15109" width="8.77734375" style="2"/>
    <col min="15110" max="15110" width="17.21875" style="2" customWidth="1"/>
    <col min="15111" max="15111" width="2.77734375" style="2" customWidth="1"/>
    <col min="15112" max="15113" width="8.77734375" style="2"/>
    <col min="15114" max="15114" width="6.5546875" style="2" customWidth="1"/>
    <col min="15115" max="15115" width="10.21875" style="2" customWidth="1"/>
    <col min="15116" max="15360" width="8.77734375" style="2"/>
    <col min="15361" max="15361" width="6" style="2" customWidth="1"/>
    <col min="15362" max="15365" width="8.77734375" style="2"/>
    <col min="15366" max="15366" width="17.21875" style="2" customWidth="1"/>
    <col min="15367" max="15367" width="2.77734375" style="2" customWidth="1"/>
    <col min="15368" max="15369" width="8.77734375" style="2"/>
    <col min="15370" max="15370" width="6.5546875" style="2" customWidth="1"/>
    <col min="15371" max="15371" width="10.21875" style="2" customWidth="1"/>
    <col min="15372" max="15616" width="8.77734375" style="2"/>
    <col min="15617" max="15617" width="6" style="2" customWidth="1"/>
    <col min="15618" max="15621" width="8.77734375" style="2"/>
    <col min="15622" max="15622" width="17.21875" style="2" customWidth="1"/>
    <col min="15623" max="15623" width="2.77734375" style="2" customWidth="1"/>
    <col min="15624" max="15625" width="8.77734375" style="2"/>
    <col min="15626" max="15626" width="6.5546875" style="2" customWidth="1"/>
    <col min="15627" max="15627" width="10.21875" style="2" customWidth="1"/>
    <col min="15628" max="15872" width="8.77734375" style="2"/>
    <col min="15873" max="15873" width="6" style="2" customWidth="1"/>
    <col min="15874" max="15877" width="8.77734375" style="2"/>
    <col min="15878" max="15878" width="17.21875" style="2" customWidth="1"/>
    <col min="15879" max="15879" width="2.77734375" style="2" customWidth="1"/>
    <col min="15880" max="15881" width="8.77734375" style="2"/>
    <col min="15882" max="15882" width="6.5546875" style="2" customWidth="1"/>
    <col min="15883" max="15883" width="10.21875" style="2" customWidth="1"/>
    <col min="15884" max="16128" width="8.77734375" style="2"/>
    <col min="16129" max="16129" width="6" style="2" customWidth="1"/>
    <col min="16130" max="16133" width="8.77734375" style="2"/>
    <col min="16134" max="16134" width="17.21875" style="2" customWidth="1"/>
    <col min="16135" max="16135" width="2.77734375" style="2" customWidth="1"/>
    <col min="16136" max="16137" width="8.77734375" style="2"/>
    <col min="16138" max="16138" width="6.5546875" style="2" customWidth="1"/>
    <col min="16139" max="16139" width="10.21875" style="2" customWidth="1"/>
    <col min="16140" max="16384" width="8.77734375" style="2"/>
  </cols>
  <sheetData>
    <row r="1" spans="1:11" ht="15.6">
      <c r="I1" s="31"/>
      <c r="K1" s="31" t="s">
        <v>49</v>
      </c>
    </row>
    <row r="3" spans="1:11" ht="15.6">
      <c r="A3" s="1220" t="s">
        <v>50</v>
      </c>
      <c r="B3" s="1220"/>
      <c r="C3" s="1220"/>
      <c r="D3" s="1220"/>
      <c r="E3" s="1220"/>
      <c r="F3" s="1220"/>
      <c r="G3" s="1220"/>
      <c r="H3" s="1220"/>
      <c r="I3" s="1220"/>
      <c r="J3" s="1227"/>
      <c r="K3" s="1227"/>
    </row>
    <row r="5" spans="1:11" ht="15.6">
      <c r="A5" s="1220" t="s">
        <v>51</v>
      </c>
      <c r="B5" s="1220"/>
      <c r="C5" s="1220"/>
      <c r="D5" s="1220"/>
      <c r="E5" s="1220"/>
      <c r="F5" s="1220"/>
      <c r="G5" s="1220"/>
      <c r="H5" s="1220"/>
      <c r="I5" s="1220"/>
      <c r="J5" s="1229"/>
      <c r="K5" s="1227"/>
    </row>
    <row r="6" spans="1:11">
      <c r="K6" s="2" t="s">
        <v>52</v>
      </c>
    </row>
    <row r="7" spans="1:11">
      <c r="K7" s="2" t="s">
        <v>53</v>
      </c>
    </row>
    <row r="8" spans="1:11" ht="15.6">
      <c r="A8" s="48" t="s">
        <v>54</v>
      </c>
    </row>
    <row r="9" spans="1:11" ht="8.25" customHeight="1">
      <c r="A9" s="48"/>
    </row>
    <row r="10" spans="1:11" ht="15">
      <c r="A10" s="45" t="s">
        <v>55</v>
      </c>
      <c r="B10" s="46" t="s">
        <v>56</v>
      </c>
      <c r="C10" s="46"/>
      <c r="D10" s="46"/>
      <c r="E10" s="46"/>
      <c r="F10" s="46"/>
      <c r="G10" s="45" t="s">
        <v>29</v>
      </c>
      <c r="H10" s="1228">
        <f>IF('Input (5)'!C4+'Input (5)'!C7=0,0,SUM('Input (5)'!C4+'Input (5)'!C7))</f>
        <v>77</v>
      </c>
      <c r="I10" s="1228"/>
      <c r="J10" s="46"/>
      <c r="K10" s="53">
        <f>IF(H10=0,0,(H10/($H$10+$H$13)))</f>
        <v>0.62096774193548387</v>
      </c>
    </row>
    <row r="11" spans="1:11" ht="7.5" customHeight="1">
      <c r="H11" s="54"/>
      <c r="I11" s="54"/>
    </row>
    <row r="12" spans="1:11" s="46" customFormat="1" ht="15">
      <c r="A12" s="45" t="s">
        <v>57</v>
      </c>
      <c r="B12" s="46" t="s">
        <v>58</v>
      </c>
      <c r="G12" s="45"/>
      <c r="H12" s="55"/>
      <c r="I12" s="55"/>
    </row>
    <row r="13" spans="1:11" ht="15">
      <c r="B13" s="28" t="s">
        <v>59</v>
      </c>
      <c r="G13" s="30" t="s">
        <v>29</v>
      </c>
      <c r="H13" s="1228">
        <f>IF('Input (5)'!C8=0,0,SUM('Input (5)'!C8))</f>
        <v>47</v>
      </c>
      <c r="I13" s="1228"/>
      <c r="K13" s="53">
        <f>IF(H13=0,0,(H13/($H$10+$H$13)))</f>
        <v>0.37903225806451613</v>
      </c>
    </row>
    <row r="14" spans="1:11" ht="6.75" customHeight="1">
      <c r="H14" s="54"/>
      <c r="I14" s="54"/>
    </row>
    <row r="15" spans="1:11" s="46" customFormat="1" ht="15">
      <c r="A15" s="45" t="s">
        <v>60</v>
      </c>
      <c r="B15" s="46" t="s">
        <v>61</v>
      </c>
      <c r="G15" s="45"/>
      <c r="H15" s="55"/>
      <c r="I15" s="55"/>
    </row>
    <row r="16" spans="1:11" s="46" customFormat="1" ht="15">
      <c r="A16" s="45"/>
      <c r="B16" s="46" t="s">
        <v>62</v>
      </c>
      <c r="G16" s="45" t="s">
        <v>29</v>
      </c>
      <c r="H16" s="1230">
        <f>IF('Input (5)'!C22=0,0,SUM('Input (5)'!C22))</f>
        <v>0</v>
      </c>
      <c r="I16" s="1230"/>
    </row>
    <row r="17" spans="1:9" ht="6.75" customHeight="1">
      <c r="H17" s="54"/>
      <c r="I17" s="54"/>
    </row>
    <row r="18" spans="1:9" s="46" customFormat="1" ht="15">
      <c r="A18" s="45" t="s">
        <v>63</v>
      </c>
      <c r="B18" s="46" t="s">
        <v>64</v>
      </c>
      <c r="G18" s="45" t="s">
        <v>29</v>
      </c>
      <c r="H18" s="1228">
        <f>H10+H13-H16</f>
        <v>124</v>
      </c>
      <c r="I18" s="1228"/>
    </row>
    <row r="19" spans="1:9" ht="6.75" customHeight="1">
      <c r="H19" s="43"/>
      <c r="I19" s="43"/>
    </row>
    <row r="20" spans="1:9" s="46" customFormat="1" ht="15">
      <c r="A20" s="45" t="s">
        <v>65</v>
      </c>
      <c r="B20" s="46" t="s">
        <v>66</v>
      </c>
      <c r="G20" s="45" t="s">
        <v>29</v>
      </c>
      <c r="H20" s="1228">
        <f>H18*0.06</f>
        <v>7.4399999999999995</v>
      </c>
      <c r="I20" s="1228"/>
    </row>
    <row r="21" spans="1:9" ht="6.75" customHeight="1">
      <c r="H21" s="43"/>
      <c r="I21" s="43"/>
    </row>
    <row r="22" spans="1:9" s="46" customFormat="1" ht="15">
      <c r="A22" s="45" t="s">
        <v>67</v>
      </c>
      <c r="B22" s="46" t="s">
        <v>68</v>
      </c>
      <c r="G22" s="45" t="s">
        <v>29</v>
      </c>
      <c r="H22" s="1228">
        <f>H16+H20</f>
        <v>7.4399999999999995</v>
      </c>
      <c r="I22" s="1228"/>
    </row>
    <row r="23" spans="1:9" s="46" customFormat="1" ht="15">
      <c r="A23" s="45"/>
      <c r="B23" s="46" t="s">
        <v>69</v>
      </c>
      <c r="G23" s="45"/>
      <c r="H23" s="55"/>
      <c r="I23" s="55"/>
    </row>
    <row r="24" spans="1:9" s="46" customFormat="1" ht="15">
      <c r="A24" s="45"/>
      <c r="G24" s="45"/>
      <c r="H24" s="55"/>
      <c r="I24" s="55"/>
    </row>
    <row r="25" spans="1:9" s="46" customFormat="1" ht="15">
      <c r="A25" s="45" t="s">
        <v>70</v>
      </c>
      <c r="B25" s="56">
        <f>K10</f>
        <v>0.62096774193548387</v>
      </c>
      <c r="C25" s="44" t="s">
        <v>71</v>
      </c>
      <c r="D25" s="57">
        <f>H22</f>
        <v>7.4399999999999995</v>
      </c>
      <c r="E25" s="46" t="s">
        <v>72</v>
      </c>
      <c r="G25" s="45" t="s">
        <v>29</v>
      </c>
      <c r="H25" s="1228">
        <f>ROUND(SUM(B25*D25),2)</f>
        <v>4.62</v>
      </c>
      <c r="I25" s="1228"/>
    </row>
    <row r="26" spans="1:9" s="46" customFormat="1" ht="15">
      <c r="A26" s="45" t="s">
        <v>73</v>
      </c>
      <c r="B26" s="56">
        <f>K13</f>
        <v>0.37903225806451613</v>
      </c>
      <c r="C26" s="44" t="s">
        <v>71</v>
      </c>
      <c r="D26" s="57">
        <f>H22</f>
        <v>7.4399999999999995</v>
      </c>
      <c r="E26" s="46" t="s">
        <v>74</v>
      </c>
      <c r="G26" s="45" t="s">
        <v>29</v>
      </c>
      <c r="H26" s="1231">
        <f>ROUND(SUM(H22-H25),2)</f>
        <v>2.82</v>
      </c>
      <c r="I26" s="1231"/>
    </row>
    <row r="27" spans="1:9" s="46" customFormat="1" ht="15">
      <c r="A27" s="45"/>
      <c r="G27" s="45"/>
      <c r="H27" s="55"/>
      <c r="I27" s="55"/>
    </row>
    <row r="28" spans="1:9" ht="15.6">
      <c r="A28" s="48" t="s">
        <v>75</v>
      </c>
      <c r="H28" s="54"/>
      <c r="I28" s="54"/>
    </row>
    <row r="29" spans="1:9" ht="6.75" customHeight="1">
      <c r="H29" s="54"/>
      <c r="I29" s="54"/>
    </row>
    <row r="30" spans="1:9" s="46" customFormat="1" ht="15">
      <c r="A30" s="45" t="s">
        <v>76</v>
      </c>
      <c r="B30" s="46" t="s">
        <v>77</v>
      </c>
      <c r="G30" s="45"/>
      <c r="H30" s="55"/>
      <c r="I30" s="55"/>
    </row>
    <row r="31" spans="1:9" s="46" customFormat="1" ht="15">
      <c r="A31" s="45"/>
      <c r="B31" s="46" t="s">
        <v>78</v>
      </c>
      <c r="G31" s="45" t="s">
        <v>29</v>
      </c>
      <c r="H31" s="1228">
        <f>IF('Input (5)'!$C$10=0,0,'Input (5)'!C10)</f>
        <v>140</v>
      </c>
      <c r="I31" s="1228"/>
    </row>
    <row r="32" spans="1:9" s="46" customFormat="1" ht="15">
      <c r="A32" s="45"/>
      <c r="B32" s="28" t="s">
        <v>79</v>
      </c>
      <c r="G32" s="45"/>
      <c r="H32" s="55"/>
      <c r="I32" s="55"/>
    </row>
    <row r="33" spans="1:9" s="46" customFormat="1" ht="15">
      <c r="A33" s="45"/>
      <c r="B33" s="28" t="s">
        <v>80</v>
      </c>
      <c r="G33" s="45"/>
      <c r="H33" s="55"/>
      <c r="I33" s="55"/>
    </row>
    <row r="34" spans="1:9" ht="6.75" customHeight="1">
      <c r="H34" s="54"/>
      <c r="I34" s="54"/>
    </row>
    <row r="35" spans="1:9" s="46" customFormat="1" ht="15">
      <c r="A35" s="45" t="s">
        <v>81</v>
      </c>
      <c r="B35" s="46" t="s">
        <v>82</v>
      </c>
      <c r="G35" s="45"/>
      <c r="H35" s="55"/>
      <c r="I35" s="55"/>
    </row>
    <row r="36" spans="1:9" s="46" customFormat="1" ht="15">
      <c r="A36" s="45"/>
      <c r="B36" s="46" t="s">
        <v>83</v>
      </c>
      <c r="G36" s="45"/>
      <c r="H36" s="55"/>
      <c r="I36" s="55"/>
    </row>
    <row r="37" spans="1:9" s="46" customFormat="1" ht="15">
      <c r="A37" s="45"/>
      <c r="B37" s="28" t="s">
        <v>84</v>
      </c>
      <c r="G37" s="45" t="s">
        <v>29</v>
      </c>
      <c r="H37" s="1228">
        <f>IF('Input (5)'!C23=0,0,SUM('Input (5)'!C23))</f>
        <v>0</v>
      </c>
      <c r="I37" s="1228"/>
    </row>
    <row r="38" spans="1:9" ht="6.75" customHeight="1">
      <c r="H38" s="43"/>
      <c r="I38" s="43"/>
    </row>
    <row r="39" spans="1:9" s="46" customFormat="1" ht="15">
      <c r="A39" s="45" t="s">
        <v>85</v>
      </c>
      <c r="B39" s="46" t="s">
        <v>86</v>
      </c>
      <c r="G39" s="45" t="s">
        <v>29</v>
      </c>
      <c r="H39" s="1228">
        <f>IF('Input (5)'!$C$10=0,0,SUM(H31-H37))</f>
        <v>140</v>
      </c>
      <c r="I39" s="1228"/>
    </row>
    <row r="40" spans="1:9" ht="6.75" customHeight="1">
      <c r="H40" s="43"/>
      <c r="I40" s="43"/>
    </row>
    <row r="41" spans="1:9" s="46" customFormat="1" ht="15">
      <c r="A41" s="45" t="s">
        <v>87</v>
      </c>
      <c r="B41" s="46" t="s">
        <v>88</v>
      </c>
      <c r="G41" s="45" t="s">
        <v>29</v>
      </c>
      <c r="H41" s="1228">
        <f>IF('Input (5)'!$C$10=0,0,H39*0.055)</f>
        <v>7.7</v>
      </c>
      <c r="I41" s="1228"/>
    </row>
    <row r="42" spans="1:9" ht="6.75" customHeight="1">
      <c r="H42" s="43"/>
      <c r="I42" s="43"/>
    </row>
    <row r="43" spans="1:9" s="46" customFormat="1" ht="15">
      <c r="A43" s="45" t="s">
        <v>89</v>
      </c>
      <c r="B43" s="46" t="s">
        <v>90</v>
      </c>
      <c r="G43" s="45" t="s">
        <v>29</v>
      </c>
      <c r="H43" s="1228">
        <f>ROUND(IF('Input (5)'!$C$10=0,0,SUM(H37+H41)),2)</f>
        <v>7.7</v>
      </c>
      <c r="I43" s="1228"/>
    </row>
    <row r="44" spans="1:9" s="46" customFormat="1" ht="15">
      <c r="A44" s="45"/>
      <c r="B44" s="46" t="s">
        <v>91</v>
      </c>
      <c r="G44" s="45"/>
    </row>
    <row r="46" spans="1:9" ht="15.6">
      <c r="A46" s="48" t="s">
        <v>92</v>
      </c>
    </row>
    <row r="47" spans="1:9" ht="6.75" customHeight="1"/>
    <row r="48" spans="1:9" s="46" customFormat="1" ht="15">
      <c r="A48" s="45" t="s">
        <v>93</v>
      </c>
      <c r="B48" s="46" t="s">
        <v>94</v>
      </c>
      <c r="G48" s="45"/>
    </row>
    <row r="49" spans="1:9" s="46" customFormat="1" ht="15">
      <c r="A49" s="45"/>
      <c r="B49" s="46" t="s">
        <v>95</v>
      </c>
      <c r="G49" s="45"/>
    </row>
    <row r="50" spans="1:9" s="46" customFormat="1" ht="15">
      <c r="A50" s="45"/>
      <c r="B50" s="46" t="s">
        <v>96</v>
      </c>
      <c r="G50" s="45"/>
    </row>
    <row r="51" spans="1:9" s="46" customFormat="1" ht="15">
      <c r="A51" s="45"/>
      <c r="B51" s="46" t="s">
        <v>97</v>
      </c>
      <c r="G51" s="45"/>
    </row>
    <row r="52" spans="1:9" s="46" customFormat="1" ht="15">
      <c r="A52" s="45"/>
      <c r="B52" s="46" t="s">
        <v>98</v>
      </c>
      <c r="G52" s="45"/>
    </row>
    <row r="53" spans="1:9" s="46" customFormat="1" ht="15">
      <c r="A53" s="45"/>
      <c r="B53" s="46" t="s">
        <v>99</v>
      </c>
      <c r="G53" s="45"/>
    </row>
    <row r="54" spans="1:9" ht="6.75" customHeight="1"/>
    <row r="55" spans="1:9" s="46" customFormat="1" ht="15">
      <c r="A55" s="45"/>
      <c r="B55" s="46" t="s">
        <v>100</v>
      </c>
      <c r="G55" s="45" t="s">
        <v>29</v>
      </c>
      <c r="H55" s="1230">
        <f>IF('Input (5)'!$E$18+'Input (5)'!$E$19=0,0,SUM(('Input (5)'!E18*'Input (5)'!E19)/16))</f>
        <v>0</v>
      </c>
      <c r="I55" s="1230"/>
    </row>
    <row r="56" spans="1:9" s="46" customFormat="1" ht="15">
      <c r="A56" s="45"/>
      <c r="B56" s="46" t="s">
        <v>101</v>
      </c>
      <c r="G56" s="45"/>
    </row>
    <row r="57" spans="1:9" s="46" customFormat="1" ht="15">
      <c r="A57" s="45"/>
      <c r="B57" s="46" t="s">
        <v>102</v>
      </c>
      <c r="G57" s="45"/>
    </row>
  </sheetData>
  <sheetProtection password="CDD6" sheet="1" objects="1" scenarios="1"/>
  <mergeCells count="16">
    <mergeCell ref="H39:I39"/>
    <mergeCell ref="H41:I41"/>
    <mergeCell ref="H43:I43"/>
    <mergeCell ref="H55:I55"/>
    <mergeCell ref="H20:I20"/>
    <mergeCell ref="H22:I22"/>
    <mergeCell ref="H25:I25"/>
    <mergeCell ref="H26:I26"/>
    <mergeCell ref="H31:I31"/>
    <mergeCell ref="H37:I37"/>
    <mergeCell ref="H18:I18"/>
    <mergeCell ref="A3:K3"/>
    <mergeCell ref="A5:K5"/>
    <mergeCell ref="H10:I10"/>
    <mergeCell ref="H13:I13"/>
    <mergeCell ref="H16:I16"/>
  </mergeCells>
  <pageMargins left="0.5" right="0.5" top="0.63" bottom="1" header="0.33" footer="0.5"/>
  <pageSetup scale="93" orientation="portrait" r:id="rId1"/>
  <headerFooter alignWithMargins="0">
    <oddFooter>&amp;L&amp;F</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0"/>
  <dimension ref="A1:AB12"/>
  <sheetViews>
    <sheetView workbookViewId="0">
      <selection activeCell="C4" sqref="C4"/>
    </sheetView>
  </sheetViews>
  <sheetFormatPr defaultRowHeight="13.2"/>
  <cols>
    <col min="1" max="1" width="4.5546875" style="2" customWidth="1"/>
    <col min="2" max="3" width="6.77734375" style="2" customWidth="1"/>
    <col min="4" max="4" width="3.21875" style="2" customWidth="1"/>
    <col min="5" max="5" width="4.21875" style="2" customWidth="1"/>
    <col min="6" max="6" width="5.44140625" style="2" customWidth="1"/>
    <col min="7" max="7" width="7.77734375" style="2" customWidth="1"/>
    <col min="8" max="8" width="5.21875" style="2" customWidth="1"/>
    <col min="9" max="9" width="7" style="2" customWidth="1"/>
    <col min="10" max="10" width="5.21875" style="2" customWidth="1"/>
    <col min="11" max="11" width="7" style="2" customWidth="1"/>
    <col min="12" max="12" width="4.21875" style="2" customWidth="1"/>
    <col min="13" max="13" width="6.77734375" style="2" customWidth="1"/>
    <col min="14" max="14" width="5.44140625" style="2" customWidth="1"/>
    <col min="15" max="15" width="7" style="2" customWidth="1"/>
    <col min="16" max="16" width="5.21875" style="2" customWidth="1"/>
    <col min="17" max="17" width="4.77734375" style="2" customWidth="1"/>
    <col min="18" max="18" width="5.77734375" style="2" customWidth="1"/>
    <col min="19" max="19" width="7.44140625" style="2" customWidth="1"/>
    <col min="20" max="20" width="4" style="2" customWidth="1"/>
    <col min="21" max="21" width="6.44140625" style="2" customWidth="1"/>
    <col min="22" max="22" width="5.77734375" style="2" customWidth="1"/>
    <col min="23" max="23" width="6.77734375" style="2" customWidth="1"/>
    <col min="24" max="24" width="4.21875" style="2" customWidth="1"/>
    <col min="25" max="25" width="7.21875" style="2" customWidth="1"/>
    <col min="26" max="256" width="8.77734375" style="2"/>
    <col min="257" max="257" width="4.5546875" style="2" customWidth="1"/>
    <col min="258" max="259" width="6.77734375" style="2" customWidth="1"/>
    <col min="260" max="260" width="3.21875" style="2" customWidth="1"/>
    <col min="261" max="261" width="4.21875" style="2" customWidth="1"/>
    <col min="262" max="262" width="5.44140625" style="2" customWidth="1"/>
    <col min="263" max="263" width="7.77734375" style="2" customWidth="1"/>
    <col min="264" max="264" width="5.21875" style="2" customWidth="1"/>
    <col min="265" max="265" width="7" style="2" customWidth="1"/>
    <col min="266" max="266" width="5.21875" style="2" customWidth="1"/>
    <col min="267" max="267" width="7" style="2" customWidth="1"/>
    <col min="268" max="268" width="4.21875" style="2" customWidth="1"/>
    <col min="269" max="269" width="6.77734375" style="2" customWidth="1"/>
    <col min="270" max="270" width="5.44140625" style="2" customWidth="1"/>
    <col min="271" max="271" width="7" style="2" customWidth="1"/>
    <col min="272" max="272" width="5.21875" style="2" customWidth="1"/>
    <col min="273" max="273" width="4.77734375" style="2" customWidth="1"/>
    <col min="274" max="274" width="5.77734375" style="2" customWidth="1"/>
    <col min="275" max="275" width="7.44140625" style="2" customWidth="1"/>
    <col min="276" max="276" width="4" style="2" customWidth="1"/>
    <col min="277" max="277" width="6.44140625" style="2" customWidth="1"/>
    <col min="278" max="278" width="5.77734375" style="2" customWidth="1"/>
    <col min="279" max="279" width="6.77734375" style="2" customWidth="1"/>
    <col min="280" max="280" width="4.21875" style="2" customWidth="1"/>
    <col min="281" max="281" width="7.21875" style="2" customWidth="1"/>
    <col min="282" max="512" width="8.77734375" style="2"/>
    <col min="513" max="513" width="4.5546875" style="2" customWidth="1"/>
    <col min="514" max="515" width="6.77734375" style="2" customWidth="1"/>
    <col min="516" max="516" width="3.21875" style="2" customWidth="1"/>
    <col min="517" max="517" width="4.21875" style="2" customWidth="1"/>
    <col min="518" max="518" width="5.44140625" style="2" customWidth="1"/>
    <col min="519" max="519" width="7.77734375" style="2" customWidth="1"/>
    <col min="520" max="520" width="5.21875" style="2" customWidth="1"/>
    <col min="521" max="521" width="7" style="2" customWidth="1"/>
    <col min="522" max="522" width="5.21875" style="2" customWidth="1"/>
    <col min="523" max="523" width="7" style="2" customWidth="1"/>
    <col min="524" max="524" width="4.21875" style="2" customWidth="1"/>
    <col min="525" max="525" width="6.77734375" style="2" customWidth="1"/>
    <col min="526" max="526" width="5.44140625" style="2" customWidth="1"/>
    <col min="527" max="527" width="7" style="2" customWidth="1"/>
    <col min="528" max="528" width="5.21875" style="2" customWidth="1"/>
    <col min="529" max="529" width="4.77734375" style="2" customWidth="1"/>
    <col min="530" max="530" width="5.77734375" style="2" customWidth="1"/>
    <col min="531" max="531" width="7.44140625" style="2" customWidth="1"/>
    <col min="532" max="532" width="4" style="2" customWidth="1"/>
    <col min="533" max="533" width="6.44140625" style="2" customWidth="1"/>
    <col min="534" max="534" width="5.77734375" style="2" customWidth="1"/>
    <col min="535" max="535" width="6.77734375" style="2" customWidth="1"/>
    <col min="536" max="536" width="4.21875" style="2" customWidth="1"/>
    <col min="537" max="537" width="7.21875" style="2" customWidth="1"/>
    <col min="538" max="768" width="8.77734375" style="2"/>
    <col min="769" max="769" width="4.5546875" style="2" customWidth="1"/>
    <col min="770" max="771" width="6.77734375" style="2" customWidth="1"/>
    <col min="772" max="772" width="3.21875" style="2" customWidth="1"/>
    <col min="773" max="773" width="4.21875" style="2" customWidth="1"/>
    <col min="774" max="774" width="5.44140625" style="2" customWidth="1"/>
    <col min="775" max="775" width="7.77734375" style="2" customWidth="1"/>
    <col min="776" max="776" width="5.21875" style="2" customWidth="1"/>
    <col min="777" max="777" width="7" style="2" customWidth="1"/>
    <col min="778" max="778" width="5.21875" style="2" customWidth="1"/>
    <col min="779" max="779" width="7" style="2" customWidth="1"/>
    <col min="780" max="780" width="4.21875" style="2" customWidth="1"/>
    <col min="781" max="781" width="6.77734375" style="2" customWidth="1"/>
    <col min="782" max="782" width="5.44140625" style="2" customWidth="1"/>
    <col min="783" max="783" width="7" style="2" customWidth="1"/>
    <col min="784" max="784" width="5.21875" style="2" customWidth="1"/>
    <col min="785" max="785" width="4.77734375" style="2" customWidth="1"/>
    <col min="786" max="786" width="5.77734375" style="2" customWidth="1"/>
    <col min="787" max="787" width="7.44140625" style="2" customWidth="1"/>
    <col min="788" max="788" width="4" style="2" customWidth="1"/>
    <col min="789" max="789" width="6.44140625" style="2" customWidth="1"/>
    <col min="790" max="790" width="5.77734375" style="2" customWidth="1"/>
    <col min="791" max="791" width="6.77734375" style="2" customWidth="1"/>
    <col min="792" max="792" width="4.21875" style="2" customWidth="1"/>
    <col min="793" max="793" width="7.21875" style="2" customWidth="1"/>
    <col min="794" max="1024" width="8.77734375" style="2"/>
    <col min="1025" max="1025" width="4.5546875" style="2" customWidth="1"/>
    <col min="1026" max="1027" width="6.77734375" style="2" customWidth="1"/>
    <col min="1028" max="1028" width="3.21875" style="2" customWidth="1"/>
    <col min="1029" max="1029" width="4.21875" style="2" customWidth="1"/>
    <col min="1030" max="1030" width="5.44140625" style="2" customWidth="1"/>
    <col min="1031" max="1031" width="7.77734375" style="2" customWidth="1"/>
    <col min="1032" max="1032" width="5.21875" style="2" customWidth="1"/>
    <col min="1033" max="1033" width="7" style="2" customWidth="1"/>
    <col min="1034" max="1034" width="5.21875" style="2" customWidth="1"/>
    <col min="1035" max="1035" width="7" style="2" customWidth="1"/>
    <col min="1036" max="1036" width="4.21875" style="2" customWidth="1"/>
    <col min="1037" max="1037" width="6.77734375" style="2" customWidth="1"/>
    <col min="1038" max="1038" width="5.44140625" style="2" customWidth="1"/>
    <col min="1039" max="1039" width="7" style="2" customWidth="1"/>
    <col min="1040" max="1040" width="5.21875" style="2" customWidth="1"/>
    <col min="1041" max="1041" width="4.77734375" style="2" customWidth="1"/>
    <col min="1042" max="1042" width="5.77734375" style="2" customWidth="1"/>
    <col min="1043" max="1043" width="7.44140625" style="2" customWidth="1"/>
    <col min="1044" max="1044" width="4" style="2" customWidth="1"/>
    <col min="1045" max="1045" width="6.44140625" style="2" customWidth="1"/>
    <col min="1046" max="1046" width="5.77734375" style="2" customWidth="1"/>
    <col min="1047" max="1047" width="6.77734375" style="2" customWidth="1"/>
    <col min="1048" max="1048" width="4.21875" style="2" customWidth="1"/>
    <col min="1049" max="1049" width="7.21875" style="2" customWidth="1"/>
    <col min="1050" max="1280" width="8.77734375" style="2"/>
    <col min="1281" max="1281" width="4.5546875" style="2" customWidth="1"/>
    <col min="1282" max="1283" width="6.77734375" style="2" customWidth="1"/>
    <col min="1284" max="1284" width="3.21875" style="2" customWidth="1"/>
    <col min="1285" max="1285" width="4.21875" style="2" customWidth="1"/>
    <col min="1286" max="1286" width="5.44140625" style="2" customWidth="1"/>
    <col min="1287" max="1287" width="7.77734375" style="2" customWidth="1"/>
    <col min="1288" max="1288" width="5.21875" style="2" customWidth="1"/>
    <col min="1289" max="1289" width="7" style="2" customWidth="1"/>
    <col min="1290" max="1290" width="5.21875" style="2" customWidth="1"/>
    <col min="1291" max="1291" width="7" style="2" customWidth="1"/>
    <col min="1292" max="1292" width="4.21875" style="2" customWidth="1"/>
    <col min="1293" max="1293" width="6.77734375" style="2" customWidth="1"/>
    <col min="1294" max="1294" width="5.44140625" style="2" customWidth="1"/>
    <col min="1295" max="1295" width="7" style="2" customWidth="1"/>
    <col min="1296" max="1296" width="5.21875" style="2" customWidth="1"/>
    <col min="1297" max="1297" width="4.77734375" style="2" customWidth="1"/>
    <col min="1298" max="1298" width="5.77734375" style="2" customWidth="1"/>
    <col min="1299" max="1299" width="7.44140625" style="2" customWidth="1"/>
    <col min="1300" max="1300" width="4" style="2" customWidth="1"/>
    <col min="1301" max="1301" width="6.44140625" style="2" customWidth="1"/>
    <col min="1302" max="1302" width="5.77734375" style="2" customWidth="1"/>
    <col min="1303" max="1303" width="6.77734375" style="2" customWidth="1"/>
    <col min="1304" max="1304" width="4.21875" style="2" customWidth="1"/>
    <col min="1305" max="1305" width="7.21875" style="2" customWidth="1"/>
    <col min="1306" max="1536" width="8.77734375" style="2"/>
    <col min="1537" max="1537" width="4.5546875" style="2" customWidth="1"/>
    <col min="1538" max="1539" width="6.77734375" style="2" customWidth="1"/>
    <col min="1540" max="1540" width="3.21875" style="2" customWidth="1"/>
    <col min="1541" max="1541" width="4.21875" style="2" customWidth="1"/>
    <col min="1542" max="1542" width="5.44140625" style="2" customWidth="1"/>
    <col min="1543" max="1543" width="7.77734375" style="2" customWidth="1"/>
    <col min="1544" max="1544" width="5.21875" style="2" customWidth="1"/>
    <col min="1545" max="1545" width="7" style="2" customWidth="1"/>
    <col min="1546" max="1546" width="5.21875" style="2" customWidth="1"/>
    <col min="1547" max="1547" width="7" style="2" customWidth="1"/>
    <col min="1548" max="1548" width="4.21875" style="2" customWidth="1"/>
    <col min="1549" max="1549" width="6.77734375" style="2" customWidth="1"/>
    <col min="1550" max="1550" width="5.44140625" style="2" customWidth="1"/>
    <col min="1551" max="1551" width="7" style="2" customWidth="1"/>
    <col min="1552" max="1552" width="5.21875" style="2" customWidth="1"/>
    <col min="1553" max="1553" width="4.77734375" style="2" customWidth="1"/>
    <col min="1554" max="1554" width="5.77734375" style="2" customWidth="1"/>
    <col min="1555" max="1555" width="7.44140625" style="2" customWidth="1"/>
    <col min="1556" max="1556" width="4" style="2" customWidth="1"/>
    <col min="1557" max="1557" width="6.44140625" style="2" customWidth="1"/>
    <col min="1558" max="1558" width="5.77734375" style="2" customWidth="1"/>
    <col min="1559" max="1559" width="6.77734375" style="2" customWidth="1"/>
    <col min="1560" max="1560" width="4.21875" style="2" customWidth="1"/>
    <col min="1561" max="1561" width="7.21875" style="2" customWidth="1"/>
    <col min="1562" max="1792" width="8.77734375" style="2"/>
    <col min="1793" max="1793" width="4.5546875" style="2" customWidth="1"/>
    <col min="1794" max="1795" width="6.77734375" style="2" customWidth="1"/>
    <col min="1796" max="1796" width="3.21875" style="2" customWidth="1"/>
    <col min="1797" max="1797" width="4.21875" style="2" customWidth="1"/>
    <col min="1798" max="1798" width="5.44140625" style="2" customWidth="1"/>
    <col min="1799" max="1799" width="7.77734375" style="2" customWidth="1"/>
    <col min="1800" max="1800" width="5.21875" style="2" customWidth="1"/>
    <col min="1801" max="1801" width="7" style="2" customWidth="1"/>
    <col min="1802" max="1802" width="5.21875" style="2" customWidth="1"/>
    <col min="1803" max="1803" width="7" style="2" customWidth="1"/>
    <col min="1804" max="1804" width="4.21875" style="2" customWidth="1"/>
    <col min="1805" max="1805" width="6.77734375" style="2" customWidth="1"/>
    <col min="1806" max="1806" width="5.44140625" style="2" customWidth="1"/>
    <col min="1807" max="1807" width="7" style="2" customWidth="1"/>
    <col min="1808" max="1808" width="5.21875" style="2" customWidth="1"/>
    <col min="1809" max="1809" width="4.77734375" style="2" customWidth="1"/>
    <col min="1810" max="1810" width="5.77734375" style="2" customWidth="1"/>
    <col min="1811" max="1811" width="7.44140625" style="2" customWidth="1"/>
    <col min="1812" max="1812" width="4" style="2" customWidth="1"/>
    <col min="1813" max="1813" width="6.44140625" style="2" customWidth="1"/>
    <col min="1814" max="1814" width="5.77734375" style="2" customWidth="1"/>
    <col min="1815" max="1815" width="6.77734375" style="2" customWidth="1"/>
    <col min="1816" max="1816" width="4.21875" style="2" customWidth="1"/>
    <col min="1817" max="1817" width="7.21875" style="2" customWidth="1"/>
    <col min="1818" max="2048" width="8.77734375" style="2"/>
    <col min="2049" max="2049" width="4.5546875" style="2" customWidth="1"/>
    <col min="2050" max="2051" width="6.77734375" style="2" customWidth="1"/>
    <col min="2052" max="2052" width="3.21875" style="2" customWidth="1"/>
    <col min="2053" max="2053" width="4.21875" style="2" customWidth="1"/>
    <col min="2054" max="2054" width="5.44140625" style="2" customWidth="1"/>
    <col min="2055" max="2055" width="7.77734375" style="2" customWidth="1"/>
    <col min="2056" max="2056" width="5.21875" style="2" customWidth="1"/>
    <col min="2057" max="2057" width="7" style="2" customWidth="1"/>
    <col min="2058" max="2058" width="5.21875" style="2" customWidth="1"/>
    <col min="2059" max="2059" width="7" style="2" customWidth="1"/>
    <col min="2060" max="2060" width="4.21875" style="2" customWidth="1"/>
    <col min="2061" max="2061" width="6.77734375" style="2" customWidth="1"/>
    <col min="2062" max="2062" width="5.44140625" style="2" customWidth="1"/>
    <col min="2063" max="2063" width="7" style="2" customWidth="1"/>
    <col min="2064" max="2064" width="5.21875" style="2" customWidth="1"/>
    <col min="2065" max="2065" width="4.77734375" style="2" customWidth="1"/>
    <col min="2066" max="2066" width="5.77734375" style="2" customWidth="1"/>
    <col min="2067" max="2067" width="7.44140625" style="2" customWidth="1"/>
    <col min="2068" max="2068" width="4" style="2" customWidth="1"/>
    <col min="2069" max="2069" width="6.44140625" style="2" customWidth="1"/>
    <col min="2070" max="2070" width="5.77734375" style="2" customWidth="1"/>
    <col min="2071" max="2071" width="6.77734375" style="2" customWidth="1"/>
    <col min="2072" max="2072" width="4.21875" style="2" customWidth="1"/>
    <col min="2073" max="2073" width="7.21875" style="2" customWidth="1"/>
    <col min="2074" max="2304" width="8.77734375" style="2"/>
    <col min="2305" max="2305" width="4.5546875" style="2" customWidth="1"/>
    <col min="2306" max="2307" width="6.77734375" style="2" customWidth="1"/>
    <col min="2308" max="2308" width="3.21875" style="2" customWidth="1"/>
    <col min="2309" max="2309" width="4.21875" style="2" customWidth="1"/>
    <col min="2310" max="2310" width="5.44140625" style="2" customWidth="1"/>
    <col min="2311" max="2311" width="7.77734375" style="2" customWidth="1"/>
    <col min="2312" max="2312" width="5.21875" style="2" customWidth="1"/>
    <col min="2313" max="2313" width="7" style="2" customWidth="1"/>
    <col min="2314" max="2314" width="5.21875" style="2" customWidth="1"/>
    <col min="2315" max="2315" width="7" style="2" customWidth="1"/>
    <col min="2316" max="2316" width="4.21875" style="2" customWidth="1"/>
    <col min="2317" max="2317" width="6.77734375" style="2" customWidth="1"/>
    <col min="2318" max="2318" width="5.44140625" style="2" customWidth="1"/>
    <col min="2319" max="2319" width="7" style="2" customWidth="1"/>
    <col min="2320" max="2320" width="5.21875" style="2" customWidth="1"/>
    <col min="2321" max="2321" width="4.77734375" style="2" customWidth="1"/>
    <col min="2322" max="2322" width="5.77734375" style="2" customWidth="1"/>
    <col min="2323" max="2323" width="7.44140625" style="2" customWidth="1"/>
    <col min="2324" max="2324" width="4" style="2" customWidth="1"/>
    <col min="2325" max="2325" width="6.44140625" style="2" customWidth="1"/>
    <col min="2326" max="2326" width="5.77734375" style="2" customWidth="1"/>
    <col min="2327" max="2327" width="6.77734375" style="2" customWidth="1"/>
    <col min="2328" max="2328" width="4.21875" style="2" customWidth="1"/>
    <col min="2329" max="2329" width="7.21875" style="2" customWidth="1"/>
    <col min="2330" max="2560" width="8.77734375" style="2"/>
    <col min="2561" max="2561" width="4.5546875" style="2" customWidth="1"/>
    <col min="2562" max="2563" width="6.77734375" style="2" customWidth="1"/>
    <col min="2564" max="2564" width="3.21875" style="2" customWidth="1"/>
    <col min="2565" max="2565" width="4.21875" style="2" customWidth="1"/>
    <col min="2566" max="2566" width="5.44140625" style="2" customWidth="1"/>
    <col min="2567" max="2567" width="7.77734375" style="2" customWidth="1"/>
    <col min="2568" max="2568" width="5.21875" style="2" customWidth="1"/>
    <col min="2569" max="2569" width="7" style="2" customWidth="1"/>
    <col min="2570" max="2570" width="5.21875" style="2" customWidth="1"/>
    <col min="2571" max="2571" width="7" style="2" customWidth="1"/>
    <col min="2572" max="2572" width="4.21875" style="2" customWidth="1"/>
    <col min="2573" max="2573" width="6.77734375" style="2" customWidth="1"/>
    <col min="2574" max="2574" width="5.44140625" style="2" customWidth="1"/>
    <col min="2575" max="2575" width="7" style="2" customWidth="1"/>
    <col min="2576" max="2576" width="5.21875" style="2" customWidth="1"/>
    <col min="2577" max="2577" width="4.77734375" style="2" customWidth="1"/>
    <col min="2578" max="2578" width="5.77734375" style="2" customWidth="1"/>
    <col min="2579" max="2579" width="7.44140625" style="2" customWidth="1"/>
    <col min="2580" max="2580" width="4" style="2" customWidth="1"/>
    <col min="2581" max="2581" width="6.44140625" style="2" customWidth="1"/>
    <col min="2582" max="2582" width="5.77734375" style="2" customWidth="1"/>
    <col min="2583" max="2583" width="6.77734375" style="2" customWidth="1"/>
    <col min="2584" max="2584" width="4.21875" style="2" customWidth="1"/>
    <col min="2585" max="2585" width="7.21875" style="2" customWidth="1"/>
    <col min="2586" max="2816" width="8.77734375" style="2"/>
    <col min="2817" max="2817" width="4.5546875" style="2" customWidth="1"/>
    <col min="2818" max="2819" width="6.77734375" style="2" customWidth="1"/>
    <col min="2820" max="2820" width="3.21875" style="2" customWidth="1"/>
    <col min="2821" max="2821" width="4.21875" style="2" customWidth="1"/>
    <col min="2822" max="2822" width="5.44140625" style="2" customWidth="1"/>
    <col min="2823" max="2823" width="7.77734375" style="2" customWidth="1"/>
    <col min="2824" max="2824" width="5.21875" style="2" customWidth="1"/>
    <col min="2825" max="2825" width="7" style="2" customWidth="1"/>
    <col min="2826" max="2826" width="5.21875" style="2" customWidth="1"/>
    <col min="2827" max="2827" width="7" style="2" customWidth="1"/>
    <col min="2828" max="2828" width="4.21875" style="2" customWidth="1"/>
    <col min="2829" max="2829" width="6.77734375" style="2" customWidth="1"/>
    <col min="2830" max="2830" width="5.44140625" style="2" customWidth="1"/>
    <col min="2831" max="2831" width="7" style="2" customWidth="1"/>
    <col min="2832" max="2832" width="5.21875" style="2" customWidth="1"/>
    <col min="2833" max="2833" width="4.77734375" style="2" customWidth="1"/>
    <col min="2834" max="2834" width="5.77734375" style="2" customWidth="1"/>
    <col min="2835" max="2835" width="7.44140625" style="2" customWidth="1"/>
    <col min="2836" max="2836" width="4" style="2" customWidth="1"/>
    <col min="2837" max="2837" width="6.44140625" style="2" customWidth="1"/>
    <col min="2838" max="2838" width="5.77734375" style="2" customWidth="1"/>
    <col min="2839" max="2839" width="6.77734375" style="2" customWidth="1"/>
    <col min="2840" max="2840" width="4.21875" style="2" customWidth="1"/>
    <col min="2841" max="2841" width="7.21875" style="2" customWidth="1"/>
    <col min="2842" max="3072" width="8.77734375" style="2"/>
    <col min="3073" max="3073" width="4.5546875" style="2" customWidth="1"/>
    <col min="3074" max="3075" width="6.77734375" style="2" customWidth="1"/>
    <col min="3076" max="3076" width="3.21875" style="2" customWidth="1"/>
    <col min="3077" max="3077" width="4.21875" style="2" customWidth="1"/>
    <col min="3078" max="3078" width="5.44140625" style="2" customWidth="1"/>
    <col min="3079" max="3079" width="7.77734375" style="2" customWidth="1"/>
    <col min="3080" max="3080" width="5.21875" style="2" customWidth="1"/>
    <col min="3081" max="3081" width="7" style="2" customWidth="1"/>
    <col min="3082" max="3082" width="5.21875" style="2" customWidth="1"/>
    <col min="3083" max="3083" width="7" style="2" customWidth="1"/>
    <col min="3084" max="3084" width="4.21875" style="2" customWidth="1"/>
    <col min="3085" max="3085" width="6.77734375" style="2" customWidth="1"/>
    <col min="3086" max="3086" width="5.44140625" style="2" customWidth="1"/>
    <col min="3087" max="3087" width="7" style="2" customWidth="1"/>
    <col min="3088" max="3088" width="5.21875" style="2" customWidth="1"/>
    <col min="3089" max="3089" width="4.77734375" style="2" customWidth="1"/>
    <col min="3090" max="3090" width="5.77734375" style="2" customWidth="1"/>
    <col min="3091" max="3091" width="7.44140625" style="2" customWidth="1"/>
    <col min="3092" max="3092" width="4" style="2" customWidth="1"/>
    <col min="3093" max="3093" width="6.44140625" style="2" customWidth="1"/>
    <col min="3094" max="3094" width="5.77734375" style="2" customWidth="1"/>
    <col min="3095" max="3095" width="6.77734375" style="2" customWidth="1"/>
    <col min="3096" max="3096" width="4.21875" style="2" customWidth="1"/>
    <col min="3097" max="3097" width="7.21875" style="2" customWidth="1"/>
    <col min="3098" max="3328" width="8.77734375" style="2"/>
    <col min="3329" max="3329" width="4.5546875" style="2" customWidth="1"/>
    <col min="3330" max="3331" width="6.77734375" style="2" customWidth="1"/>
    <col min="3332" max="3332" width="3.21875" style="2" customWidth="1"/>
    <col min="3333" max="3333" width="4.21875" style="2" customWidth="1"/>
    <col min="3334" max="3334" width="5.44140625" style="2" customWidth="1"/>
    <col min="3335" max="3335" width="7.77734375" style="2" customWidth="1"/>
    <col min="3336" max="3336" width="5.21875" style="2" customWidth="1"/>
    <col min="3337" max="3337" width="7" style="2" customWidth="1"/>
    <col min="3338" max="3338" width="5.21875" style="2" customWidth="1"/>
    <col min="3339" max="3339" width="7" style="2" customWidth="1"/>
    <col min="3340" max="3340" width="4.21875" style="2" customWidth="1"/>
    <col min="3341" max="3341" width="6.77734375" style="2" customWidth="1"/>
    <col min="3342" max="3342" width="5.44140625" style="2" customWidth="1"/>
    <col min="3343" max="3343" width="7" style="2" customWidth="1"/>
    <col min="3344" max="3344" width="5.21875" style="2" customWidth="1"/>
    <col min="3345" max="3345" width="4.77734375" style="2" customWidth="1"/>
    <col min="3346" max="3346" width="5.77734375" style="2" customWidth="1"/>
    <col min="3347" max="3347" width="7.44140625" style="2" customWidth="1"/>
    <col min="3348" max="3348" width="4" style="2" customWidth="1"/>
    <col min="3349" max="3349" width="6.44140625" style="2" customWidth="1"/>
    <col min="3350" max="3350" width="5.77734375" style="2" customWidth="1"/>
    <col min="3351" max="3351" width="6.77734375" style="2" customWidth="1"/>
    <col min="3352" max="3352" width="4.21875" style="2" customWidth="1"/>
    <col min="3353" max="3353" width="7.21875" style="2" customWidth="1"/>
    <col min="3354" max="3584" width="8.77734375" style="2"/>
    <col min="3585" max="3585" width="4.5546875" style="2" customWidth="1"/>
    <col min="3586" max="3587" width="6.77734375" style="2" customWidth="1"/>
    <col min="3588" max="3588" width="3.21875" style="2" customWidth="1"/>
    <col min="3589" max="3589" width="4.21875" style="2" customWidth="1"/>
    <col min="3590" max="3590" width="5.44140625" style="2" customWidth="1"/>
    <col min="3591" max="3591" width="7.77734375" style="2" customWidth="1"/>
    <col min="3592" max="3592" width="5.21875" style="2" customWidth="1"/>
    <col min="3593" max="3593" width="7" style="2" customWidth="1"/>
    <col min="3594" max="3594" width="5.21875" style="2" customWidth="1"/>
    <col min="3595" max="3595" width="7" style="2" customWidth="1"/>
    <col min="3596" max="3596" width="4.21875" style="2" customWidth="1"/>
    <col min="3597" max="3597" width="6.77734375" style="2" customWidth="1"/>
    <col min="3598" max="3598" width="5.44140625" style="2" customWidth="1"/>
    <col min="3599" max="3599" width="7" style="2" customWidth="1"/>
    <col min="3600" max="3600" width="5.21875" style="2" customWidth="1"/>
    <col min="3601" max="3601" width="4.77734375" style="2" customWidth="1"/>
    <col min="3602" max="3602" width="5.77734375" style="2" customWidth="1"/>
    <col min="3603" max="3603" width="7.44140625" style="2" customWidth="1"/>
    <col min="3604" max="3604" width="4" style="2" customWidth="1"/>
    <col min="3605" max="3605" width="6.44140625" style="2" customWidth="1"/>
    <col min="3606" max="3606" width="5.77734375" style="2" customWidth="1"/>
    <col min="3607" max="3607" width="6.77734375" style="2" customWidth="1"/>
    <col min="3608" max="3608" width="4.21875" style="2" customWidth="1"/>
    <col min="3609" max="3609" width="7.21875" style="2" customWidth="1"/>
    <col min="3610" max="3840" width="8.77734375" style="2"/>
    <col min="3841" max="3841" width="4.5546875" style="2" customWidth="1"/>
    <col min="3842" max="3843" width="6.77734375" style="2" customWidth="1"/>
    <col min="3844" max="3844" width="3.21875" style="2" customWidth="1"/>
    <col min="3845" max="3845" width="4.21875" style="2" customWidth="1"/>
    <col min="3846" max="3846" width="5.44140625" style="2" customWidth="1"/>
    <col min="3847" max="3847" width="7.77734375" style="2" customWidth="1"/>
    <col min="3848" max="3848" width="5.21875" style="2" customWidth="1"/>
    <col min="3849" max="3849" width="7" style="2" customWidth="1"/>
    <col min="3850" max="3850" width="5.21875" style="2" customWidth="1"/>
    <col min="3851" max="3851" width="7" style="2" customWidth="1"/>
    <col min="3852" max="3852" width="4.21875" style="2" customWidth="1"/>
    <col min="3853" max="3853" width="6.77734375" style="2" customWidth="1"/>
    <col min="3854" max="3854" width="5.44140625" style="2" customWidth="1"/>
    <col min="3855" max="3855" width="7" style="2" customWidth="1"/>
    <col min="3856" max="3856" width="5.21875" style="2" customWidth="1"/>
    <col min="3857" max="3857" width="4.77734375" style="2" customWidth="1"/>
    <col min="3858" max="3858" width="5.77734375" style="2" customWidth="1"/>
    <col min="3859" max="3859" width="7.44140625" style="2" customWidth="1"/>
    <col min="3860" max="3860" width="4" style="2" customWidth="1"/>
    <col min="3861" max="3861" width="6.44140625" style="2" customWidth="1"/>
    <col min="3862" max="3862" width="5.77734375" style="2" customWidth="1"/>
    <col min="3863" max="3863" width="6.77734375" style="2" customWidth="1"/>
    <col min="3864" max="3864" width="4.21875" style="2" customWidth="1"/>
    <col min="3865" max="3865" width="7.21875" style="2" customWidth="1"/>
    <col min="3866" max="4096" width="8.77734375" style="2"/>
    <col min="4097" max="4097" width="4.5546875" style="2" customWidth="1"/>
    <col min="4098" max="4099" width="6.77734375" style="2" customWidth="1"/>
    <col min="4100" max="4100" width="3.21875" style="2" customWidth="1"/>
    <col min="4101" max="4101" width="4.21875" style="2" customWidth="1"/>
    <col min="4102" max="4102" width="5.44140625" style="2" customWidth="1"/>
    <col min="4103" max="4103" width="7.77734375" style="2" customWidth="1"/>
    <col min="4104" max="4104" width="5.21875" style="2" customWidth="1"/>
    <col min="4105" max="4105" width="7" style="2" customWidth="1"/>
    <col min="4106" max="4106" width="5.21875" style="2" customWidth="1"/>
    <col min="4107" max="4107" width="7" style="2" customWidth="1"/>
    <col min="4108" max="4108" width="4.21875" style="2" customWidth="1"/>
    <col min="4109" max="4109" width="6.77734375" style="2" customWidth="1"/>
    <col min="4110" max="4110" width="5.44140625" style="2" customWidth="1"/>
    <col min="4111" max="4111" width="7" style="2" customWidth="1"/>
    <col min="4112" max="4112" width="5.21875" style="2" customWidth="1"/>
    <col min="4113" max="4113" width="4.77734375" style="2" customWidth="1"/>
    <col min="4114" max="4114" width="5.77734375" style="2" customWidth="1"/>
    <col min="4115" max="4115" width="7.44140625" style="2" customWidth="1"/>
    <col min="4116" max="4116" width="4" style="2" customWidth="1"/>
    <col min="4117" max="4117" width="6.44140625" style="2" customWidth="1"/>
    <col min="4118" max="4118" width="5.77734375" style="2" customWidth="1"/>
    <col min="4119" max="4119" width="6.77734375" style="2" customWidth="1"/>
    <col min="4120" max="4120" width="4.21875" style="2" customWidth="1"/>
    <col min="4121" max="4121" width="7.21875" style="2" customWidth="1"/>
    <col min="4122" max="4352" width="8.77734375" style="2"/>
    <col min="4353" max="4353" width="4.5546875" style="2" customWidth="1"/>
    <col min="4354" max="4355" width="6.77734375" style="2" customWidth="1"/>
    <col min="4356" max="4356" width="3.21875" style="2" customWidth="1"/>
    <col min="4357" max="4357" width="4.21875" style="2" customWidth="1"/>
    <col min="4358" max="4358" width="5.44140625" style="2" customWidth="1"/>
    <col min="4359" max="4359" width="7.77734375" style="2" customWidth="1"/>
    <col min="4360" max="4360" width="5.21875" style="2" customWidth="1"/>
    <col min="4361" max="4361" width="7" style="2" customWidth="1"/>
    <col min="4362" max="4362" width="5.21875" style="2" customWidth="1"/>
    <col min="4363" max="4363" width="7" style="2" customWidth="1"/>
    <col min="4364" max="4364" width="4.21875" style="2" customWidth="1"/>
    <col min="4365" max="4365" width="6.77734375" style="2" customWidth="1"/>
    <col min="4366" max="4366" width="5.44140625" style="2" customWidth="1"/>
    <col min="4367" max="4367" width="7" style="2" customWidth="1"/>
    <col min="4368" max="4368" width="5.21875" style="2" customWidth="1"/>
    <col min="4369" max="4369" width="4.77734375" style="2" customWidth="1"/>
    <col min="4370" max="4370" width="5.77734375" style="2" customWidth="1"/>
    <col min="4371" max="4371" width="7.44140625" style="2" customWidth="1"/>
    <col min="4372" max="4372" width="4" style="2" customWidth="1"/>
    <col min="4373" max="4373" width="6.44140625" style="2" customWidth="1"/>
    <col min="4374" max="4374" width="5.77734375" style="2" customWidth="1"/>
    <col min="4375" max="4375" width="6.77734375" style="2" customWidth="1"/>
    <col min="4376" max="4376" width="4.21875" style="2" customWidth="1"/>
    <col min="4377" max="4377" width="7.21875" style="2" customWidth="1"/>
    <col min="4378" max="4608" width="8.77734375" style="2"/>
    <col min="4609" max="4609" width="4.5546875" style="2" customWidth="1"/>
    <col min="4610" max="4611" width="6.77734375" style="2" customWidth="1"/>
    <col min="4612" max="4612" width="3.21875" style="2" customWidth="1"/>
    <col min="4613" max="4613" width="4.21875" style="2" customWidth="1"/>
    <col min="4614" max="4614" width="5.44140625" style="2" customWidth="1"/>
    <col min="4615" max="4615" width="7.77734375" style="2" customWidth="1"/>
    <col min="4616" max="4616" width="5.21875" style="2" customWidth="1"/>
    <col min="4617" max="4617" width="7" style="2" customWidth="1"/>
    <col min="4618" max="4618" width="5.21875" style="2" customWidth="1"/>
    <col min="4619" max="4619" width="7" style="2" customWidth="1"/>
    <col min="4620" max="4620" width="4.21875" style="2" customWidth="1"/>
    <col min="4621" max="4621" width="6.77734375" style="2" customWidth="1"/>
    <col min="4622" max="4622" width="5.44140625" style="2" customWidth="1"/>
    <col min="4623" max="4623" width="7" style="2" customWidth="1"/>
    <col min="4624" max="4624" width="5.21875" style="2" customWidth="1"/>
    <col min="4625" max="4625" width="4.77734375" style="2" customWidth="1"/>
    <col min="4626" max="4626" width="5.77734375" style="2" customWidth="1"/>
    <col min="4627" max="4627" width="7.44140625" style="2" customWidth="1"/>
    <col min="4628" max="4628" width="4" style="2" customWidth="1"/>
    <col min="4629" max="4629" width="6.44140625" style="2" customWidth="1"/>
    <col min="4630" max="4630" width="5.77734375" style="2" customWidth="1"/>
    <col min="4631" max="4631" width="6.77734375" style="2" customWidth="1"/>
    <col min="4632" max="4632" width="4.21875" style="2" customWidth="1"/>
    <col min="4633" max="4633" width="7.21875" style="2" customWidth="1"/>
    <col min="4634" max="4864" width="8.77734375" style="2"/>
    <col min="4865" max="4865" width="4.5546875" style="2" customWidth="1"/>
    <col min="4866" max="4867" width="6.77734375" style="2" customWidth="1"/>
    <col min="4868" max="4868" width="3.21875" style="2" customWidth="1"/>
    <col min="4869" max="4869" width="4.21875" style="2" customWidth="1"/>
    <col min="4870" max="4870" width="5.44140625" style="2" customWidth="1"/>
    <col min="4871" max="4871" width="7.77734375" style="2" customWidth="1"/>
    <col min="4872" max="4872" width="5.21875" style="2" customWidth="1"/>
    <col min="4873" max="4873" width="7" style="2" customWidth="1"/>
    <col min="4874" max="4874" width="5.21875" style="2" customWidth="1"/>
    <col min="4875" max="4875" width="7" style="2" customWidth="1"/>
    <col min="4876" max="4876" width="4.21875" style="2" customWidth="1"/>
    <col min="4877" max="4877" width="6.77734375" style="2" customWidth="1"/>
    <col min="4878" max="4878" width="5.44140625" style="2" customWidth="1"/>
    <col min="4879" max="4879" width="7" style="2" customWidth="1"/>
    <col min="4880" max="4880" width="5.21875" style="2" customWidth="1"/>
    <col min="4881" max="4881" width="4.77734375" style="2" customWidth="1"/>
    <col min="4882" max="4882" width="5.77734375" style="2" customWidth="1"/>
    <col min="4883" max="4883" width="7.44140625" style="2" customWidth="1"/>
    <col min="4884" max="4884" width="4" style="2" customWidth="1"/>
    <col min="4885" max="4885" width="6.44140625" style="2" customWidth="1"/>
    <col min="4886" max="4886" width="5.77734375" style="2" customWidth="1"/>
    <col min="4887" max="4887" width="6.77734375" style="2" customWidth="1"/>
    <col min="4888" max="4888" width="4.21875" style="2" customWidth="1"/>
    <col min="4889" max="4889" width="7.21875" style="2" customWidth="1"/>
    <col min="4890" max="5120" width="8.77734375" style="2"/>
    <col min="5121" max="5121" width="4.5546875" style="2" customWidth="1"/>
    <col min="5122" max="5123" width="6.77734375" style="2" customWidth="1"/>
    <col min="5124" max="5124" width="3.21875" style="2" customWidth="1"/>
    <col min="5125" max="5125" width="4.21875" style="2" customWidth="1"/>
    <col min="5126" max="5126" width="5.44140625" style="2" customWidth="1"/>
    <col min="5127" max="5127" width="7.77734375" style="2" customWidth="1"/>
    <col min="5128" max="5128" width="5.21875" style="2" customWidth="1"/>
    <col min="5129" max="5129" width="7" style="2" customWidth="1"/>
    <col min="5130" max="5130" width="5.21875" style="2" customWidth="1"/>
    <col min="5131" max="5131" width="7" style="2" customWidth="1"/>
    <col min="5132" max="5132" width="4.21875" style="2" customWidth="1"/>
    <col min="5133" max="5133" width="6.77734375" style="2" customWidth="1"/>
    <col min="5134" max="5134" width="5.44140625" style="2" customWidth="1"/>
    <col min="5135" max="5135" width="7" style="2" customWidth="1"/>
    <col min="5136" max="5136" width="5.21875" style="2" customWidth="1"/>
    <col min="5137" max="5137" width="4.77734375" style="2" customWidth="1"/>
    <col min="5138" max="5138" width="5.77734375" style="2" customWidth="1"/>
    <col min="5139" max="5139" width="7.44140625" style="2" customWidth="1"/>
    <col min="5140" max="5140" width="4" style="2" customWidth="1"/>
    <col min="5141" max="5141" width="6.44140625" style="2" customWidth="1"/>
    <col min="5142" max="5142" width="5.77734375" style="2" customWidth="1"/>
    <col min="5143" max="5143" width="6.77734375" style="2" customWidth="1"/>
    <col min="5144" max="5144" width="4.21875" style="2" customWidth="1"/>
    <col min="5145" max="5145" width="7.21875" style="2" customWidth="1"/>
    <col min="5146" max="5376" width="8.77734375" style="2"/>
    <col min="5377" max="5377" width="4.5546875" style="2" customWidth="1"/>
    <col min="5378" max="5379" width="6.77734375" style="2" customWidth="1"/>
    <col min="5380" max="5380" width="3.21875" style="2" customWidth="1"/>
    <col min="5381" max="5381" width="4.21875" style="2" customWidth="1"/>
    <col min="5382" max="5382" width="5.44140625" style="2" customWidth="1"/>
    <col min="5383" max="5383" width="7.77734375" style="2" customWidth="1"/>
    <col min="5384" max="5384" width="5.21875" style="2" customWidth="1"/>
    <col min="5385" max="5385" width="7" style="2" customWidth="1"/>
    <col min="5386" max="5386" width="5.21875" style="2" customWidth="1"/>
    <col min="5387" max="5387" width="7" style="2" customWidth="1"/>
    <col min="5388" max="5388" width="4.21875" style="2" customWidth="1"/>
    <col min="5389" max="5389" width="6.77734375" style="2" customWidth="1"/>
    <col min="5390" max="5390" width="5.44140625" style="2" customWidth="1"/>
    <col min="5391" max="5391" width="7" style="2" customWidth="1"/>
    <col min="5392" max="5392" width="5.21875" style="2" customWidth="1"/>
    <col min="5393" max="5393" width="4.77734375" style="2" customWidth="1"/>
    <col min="5394" max="5394" width="5.77734375" style="2" customWidth="1"/>
    <col min="5395" max="5395" width="7.44140625" style="2" customWidth="1"/>
    <col min="5396" max="5396" width="4" style="2" customWidth="1"/>
    <col min="5397" max="5397" width="6.44140625" style="2" customWidth="1"/>
    <col min="5398" max="5398" width="5.77734375" style="2" customWidth="1"/>
    <col min="5399" max="5399" width="6.77734375" style="2" customWidth="1"/>
    <col min="5400" max="5400" width="4.21875" style="2" customWidth="1"/>
    <col min="5401" max="5401" width="7.21875" style="2" customWidth="1"/>
    <col min="5402" max="5632" width="8.77734375" style="2"/>
    <col min="5633" max="5633" width="4.5546875" style="2" customWidth="1"/>
    <col min="5634" max="5635" width="6.77734375" style="2" customWidth="1"/>
    <col min="5636" max="5636" width="3.21875" style="2" customWidth="1"/>
    <col min="5637" max="5637" width="4.21875" style="2" customWidth="1"/>
    <col min="5638" max="5638" width="5.44140625" style="2" customWidth="1"/>
    <col min="5639" max="5639" width="7.77734375" style="2" customWidth="1"/>
    <col min="5640" max="5640" width="5.21875" style="2" customWidth="1"/>
    <col min="5641" max="5641" width="7" style="2" customWidth="1"/>
    <col min="5642" max="5642" width="5.21875" style="2" customWidth="1"/>
    <col min="5643" max="5643" width="7" style="2" customWidth="1"/>
    <col min="5644" max="5644" width="4.21875" style="2" customWidth="1"/>
    <col min="5645" max="5645" width="6.77734375" style="2" customWidth="1"/>
    <col min="5646" max="5646" width="5.44140625" style="2" customWidth="1"/>
    <col min="5647" max="5647" width="7" style="2" customWidth="1"/>
    <col min="5648" max="5648" width="5.21875" style="2" customWidth="1"/>
    <col min="5649" max="5649" width="4.77734375" style="2" customWidth="1"/>
    <col min="5650" max="5650" width="5.77734375" style="2" customWidth="1"/>
    <col min="5651" max="5651" width="7.44140625" style="2" customWidth="1"/>
    <col min="5652" max="5652" width="4" style="2" customWidth="1"/>
    <col min="5653" max="5653" width="6.44140625" style="2" customWidth="1"/>
    <col min="5654" max="5654" width="5.77734375" style="2" customWidth="1"/>
    <col min="5655" max="5655" width="6.77734375" style="2" customWidth="1"/>
    <col min="5656" max="5656" width="4.21875" style="2" customWidth="1"/>
    <col min="5657" max="5657" width="7.21875" style="2" customWidth="1"/>
    <col min="5658" max="5888" width="8.77734375" style="2"/>
    <col min="5889" max="5889" width="4.5546875" style="2" customWidth="1"/>
    <col min="5890" max="5891" width="6.77734375" style="2" customWidth="1"/>
    <col min="5892" max="5892" width="3.21875" style="2" customWidth="1"/>
    <col min="5893" max="5893" width="4.21875" style="2" customWidth="1"/>
    <col min="5894" max="5894" width="5.44140625" style="2" customWidth="1"/>
    <col min="5895" max="5895" width="7.77734375" style="2" customWidth="1"/>
    <col min="5896" max="5896" width="5.21875" style="2" customWidth="1"/>
    <col min="5897" max="5897" width="7" style="2" customWidth="1"/>
    <col min="5898" max="5898" width="5.21875" style="2" customWidth="1"/>
    <col min="5899" max="5899" width="7" style="2" customWidth="1"/>
    <col min="5900" max="5900" width="4.21875" style="2" customWidth="1"/>
    <col min="5901" max="5901" width="6.77734375" style="2" customWidth="1"/>
    <col min="5902" max="5902" width="5.44140625" style="2" customWidth="1"/>
    <col min="5903" max="5903" width="7" style="2" customWidth="1"/>
    <col min="5904" max="5904" width="5.21875" style="2" customWidth="1"/>
    <col min="5905" max="5905" width="4.77734375" style="2" customWidth="1"/>
    <col min="5906" max="5906" width="5.77734375" style="2" customWidth="1"/>
    <col min="5907" max="5907" width="7.44140625" style="2" customWidth="1"/>
    <col min="5908" max="5908" width="4" style="2" customWidth="1"/>
    <col min="5909" max="5909" width="6.44140625" style="2" customWidth="1"/>
    <col min="5910" max="5910" width="5.77734375" style="2" customWidth="1"/>
    <col min="5911" max="5911" width="6.77734375" style="2" customWidth="1"/>
    <col min="5912" max="5912" width="4.21875" style="2" customWidth="1"/>
    <col min="5913" max="5913" width="7.21875" style="2" customWidth="1"/>
    <col min="5914" max="6144" width="8.77734375" style="2"/>
    <col min="6145" max="6145" width="4.5546875" style="2" customWidth="1"/>
    <col min="6146" max="6147" width="6.77734375" style="2" customWidth="1"/>
    <col min="6148" max="6148" width="3.21875" style="2" customWidth="1"/>
    <col min="6149" max="6149" width="4.21875" style="2" customWidth="1"/>
    <col min="6150" max="6150" width="5.44140625" style="2" customWidth="1"/>
    <col min="6151" max="6151" width="7.77734375" style="2" customWidth="1"/>
    <col min="6152" max="6152" width="5.21875" style="2" customWidth="1"/>
    <col min="6153" max="6153" width="7" style="2" customWidth="1"/>
    <col min="6154" max="6154" width="5.21875" style="2" customWidth="1"/>
    <col min="6155" max="6155" width="7" style="2" customWidth="1"/>
    <col min="6156" max="6156" width="4.21875" style="2" customWidth="1"/>
    <col min="6157" max="6157" width="6.77734375" style="2" customWidth="1"/>
    <col min="6158" max="6158" width="5.44140625" style="2" customWidth="1"/>
    <col min="6159" max="6159" width="7" style="2" customWidth="1"/>
    <col min="6160" max="6160" width="5.21875" style="2" customWidth="1"/>
    <col min="6161" max="6161" width="4.77734375" style="2" customWidth="1"/>
    <col min="6162" max="6162" width="5.77734375" style="2" customWidth="1"/>
    <col min="6163" max="6163" width="7.44140625" style="2" customWidth="1"/>
    <col min="6164" max="6164" width="4" style="2" customWidth="1"/>
    <col min="6165" max="6165" width="6.44140625" style="2" customWidth="1"/>
    <col min="6166" max="6166" width="5.77734375" style="2" customWidth="1"/>
    <col min="6167" max="6167" width="6.77734375" style="2" customWidth="1"/>
    <col min="6168" max="6168" width="4.21875" style="2" customWidth="1"/>
    <col min="6169" max="6169" width="7.21875" style="2" customWidth="1"/>
    <col min="6170" max="6400" width="8.77734375" style="2"/>
    <col min="6401" max="6401" width="4.5546875" style="2" customWidth="1"/>
    <col min="6402" max="6403" width="6.77734375" style="2" customWidth="1"/>
    <col min="6404" max="6404" width="3.21875" style="2" customWidth="1"/>
    <col min="6405" max="6405" width="4.21875" style="2" customWidth="1"/>
    <col min="6406" max="6406" width="5.44140625" style="2" customWidth="1"/>
    <col min="6407" max="6407" width="7.77734375" style="2" customWidth="1"/>
    <col min="6408" max="6408" width="5.21875" style="2" customWidth="1"/>
    <col min="6409" max="6409" width="7" style="2" customWidth="1"/>
    <col min="6410" max="6410" width="5.21875" style="2" customWidth="1"/>
    <col min="6411" max="6411" width="7" style="2" customWidth="1"/>
    <col min="6412" max="6412" width="4.21875" style="2" customWidth="1"/>
    <col min="6413" max="6413" width="6.77734375" style="2" customWidth="1"/>
    <col min="6414" max="6414" width="5.44140625" style="2" customWidth="1"/>
    <col min="6415" max="6415" width="7" style="2" customWidth="1"/>
    <col min="6416" max="6416" width="5.21875" style="2" customWidth="1"/>
    <col min="6417" max="6417" width="4.77734375" style="2" customWidth="1"/>
    <col min="6418" max="6418" width="5.77734375" style="2" customWidth="1"/>
    <col min="6419" max="6419" width="7.44140625" style="2" customWidth="1"/>
    <col min="6420" max="6420" width="4" style="2" customWidth="1"/>
    <col min="6421" max="6421" width="6.44140625" style="2" customWidth="1"/>
    <col min="6422" max="6422" width="5.77734375" style="2" customWidth="1"/>
    <col min="6423" max="6423" width="6.77734375" style="2" customWidth="1"/>
    <col min="6424" max="6424" width="4.21875" style="2" customWidth="1"/>
    <col min="6425" max="6425" width="7.21875" style="2" customWidth="1"/>
    <col min="6426" max="6656" width="8.77734375" style="2"/>
    <col min="6657" max="6657" width="4.5546875" style="2" customWidth="1"/>
    <col min="6658" max="6659" width="6.77734375" style="2" customWidth="1"/>
    <col min="6660" max="6660" width="3.21875" style="2" customWidth="1"/>
    <col min="6661" max="6661" width="4.21875" style="2" customWidth="1"/>
    <col min="6662" max="6662" width="5.44140625" style="2" customWidth="1"/>
    <col min="6663" max="6663" width="7.77734375" style="2" customWidth="1"/>
    <col min="6664" max="6664" width="5.21875" style="2" customWidth="1"/>
    <col min="6665" max="6665" width="7" style="2" customWidth="1"/>
    <col min="6666" max="6666" width="5.21875" style="2" customWidth="1"/>
    <col min="6667" max="6667" width="7" style="2" customWidth="1"/>
    <col min="6668" max="6668" width="4.21875" style="2" customWidth="1"/>
    <col min="6669" max="6669" width="6.77734375" style="2" customWidth="1"/>
    <col min="6670" max="6670" width="5.44140625" style="2" customWidth="1"/>
    <col min="6671" max="6671" width="7" style="2" customWidth="1"/>
    <col min="6672" max="6672" width="5.21875" style="2" customWidth="1"/>
    <col min="6673" max="6673" width="4.77734375" style="2" customWidth="1"/>
    <col min="6674" max="6674" width="5.77734375" style="2" customWidth="1"/>
    <col min="6675" max="6675" width="7.44140625" style="2" customWidth="1"/>
    <col min="6676" max="6676" width="4" style="2" customWidth="1"/>
    <col min="6677" max="6677" width="6.44140625" style="2" customWidth="1"/>
    <col min="6678" max="6678" width="5.77734375" style="2" customWidth="1"/>
    <col min="6679" max="6679" width="6.77734375" style="2" customWidth="1"/>
    <col min="6680" max="6680" width="4.21875" style="2" customWidth="1"/>
    <col min="6681" max="6681" width="7.21875" style="2" customWidth="1"/>
    <col min="6682" max="6912" width="8.77734375" style="2"/>
    <col min="6913" max="6913" width="4.5546875" style="2" customWidth="1"/>
    <col min="6914" max="6915" width="6.77734375" style="2" customWidth="1"/>
    <col min="6916" max="6916" width="3.21875" style="2" customWidth="1"/>
    <col min="6917" max="6917" width="4.21875" style="2" customWidth="1"/>
    <col min="6918" max="6918" width="5.44140625" style="2" customWidth="1"/>
    <col min="6919" max="6919" width="7.77734375" style="2" customWidth="1"/>
    <col min="6920" max="6920" width="5.21875" style="2" customWidth="1"/>
    <col min="6921" max="6921" width="7" style="2" customWidth="1"/>
    <col min="6922" max="6922" width="5.21875" style="2" customWidth="1"/>
    <col min="6923" max="6923" width="7" style="2" customWidth="1"/>
    <col min="6924" max="6924" width="4.21875" style="2" customWidth="1"/>
    <col min="6925" max="6925" width="6.77734375" style="2" customWidth="1"/>
    <col min="6926" max="6926" width="5.44140625" style="2" customWidth="1"/>
    <col min="6927" max="6927" width="7" style="2" customWidth="1"/>
    <col min="6928" max="6928" width="5.21875" style="2" customWidth="1"/>
    <col min="6929" max="6929" width="4.77734375" style="2" customWidth="1"/>
    <col min="6930" max="6930" width="5.77734375" style="2" customWidth="1"/>
    <col min="6931" max="6931" width="7.44140625" style="2" customWidth="1"/>
    <col min="6932" max="6932" width="4" style="2" customWidth="1"/>
    <col min="6933" max="6933" width="6.44140625" style="2" customWidth="1"/>
    <col min="6934" max="6934" width="5.77734375" style="2" customWidth="1"/>
    <col min="6935" max="6935" width="6.77734375" style="2" customWidth="1"/>
    <col min="6936" max="6936" width="4.21875" style="2" customWidth="1"/>
    <col min="6937" max="6937" width="7.21875" style="2" customWidth="1"/>
    <col min="6938" max="7168" width="8.77734375" style="2"/>
    <col min="7169" max="7169" width="4.5546875" style="2" customWidth="1"/>
    <col min="7170" max="7171" width="6.77734375" style="2" customWidth="1"/>
    <col min="7172" max="7172" width="3.21875" style="2" customWidth="1"/>
    <col min="7173" max="7173" width="4.21875" style="2" customWidth="1"/>
    <col min="7174" max="7174" width="5.44140625" style="2" customWidth="1"/>
    <col min="7175" max="7175" width="7.77734375" style="2" customWidth="1"/>
    <col min="7176" max="7176" width="5.21875" style="2" customWidth="1"/>
    <col min="7177" max="7177" width="7" style="2" customWidth="1"/>
    <col min="7178" max="7178" width="5.21875" style="2" customWidth="1"/>
    <col min="7179" max="7179" width="7" style="2" customWidth="1"/>
    <col min="7180" max="7180" width="4.21875" style="2" customWidth="1"/>
    <col min="7181" max="7181" width="6.77734375" style="2" customWidth="1"/>
    <col min="7182" max="7182" width="5.44140625" style="2" customWidth="1"/>
    <col min="7183" max="7183" width="7" style="2" customWidth="1"/>
    <col min="7184" max="7184" width="5.21875" style="2" customWidth="1"/>
    <col min="7185" max="7185" width="4.77734375" style="2" customWidth="1"/>
    <col min="7186" max="7186" width="5.77734375" style="2" customWidth="1"/>
    <col min="7187" max="7187" width="7.44140625" style="2" customWidth="1"/>
    <col min="7188" max="7188" width="4" style="2" customWidth="1"/>
    <col min="7189" max="7189" width="6.44140625" style="2" customWidth="1"/>
    <col min="7190" max="7190" width="5.77734375" style="2" customWidth="1"/>
    <col min="7191" max="7191" width="6.77734375" style="2" customWidth="1"/>
    <col min="7192" max="7192" width="4.21875" style="2" customWidth="1"/>
    <col min="7193" max="7193" width="7.21875" style="2" customWidth="1"/>
    <col min="7194" max="7424" width="8.77734375" style="2"/>
    <col min="7425" max="7425" width="4.5546875" style="2" customWidth="1"/>
    <col min="7426" max="7427" width="6.77734375" style="2" customWidth="1"/>
    <col min="7428" max="7428" width="3.21875" style="2" customWidth="1"/>
    <col min="7429" max="7429" width="4.21875" style="2" customWidth="1"/>
    <col min="7430" max="7430" width="5.44140625" style="2" customWidth="1"/>
    <col min="7431" max="7431" width="7.77734375" style="2" customWidth="1"/>
    <col min="7432" max="7432" width="5.21875" style="2" customWidth="1"/>
    <col min="7433" max="7433" width="7" style="2" customWidth="1"/>
    <col min="7434" max="7434" width="5.21875" style="2" customWidth="1"/>
    <col min="7435" max="7435" width="7" style="2" customWidth="1"/>
    <col min="7436" max="7436" width="4.21875" style="2" customWidth="1"/>
    <col min="7437" max="7437" width="6.77734375" style="2" customWidth="1"/>
    <col min="7438" max="7438" width="5.44140625" style="2" customWidth="1"/>
    <col min="7439" max="7439" width="7" style="2" customWidth="1"/>
    <col min="7440" max="7440" width="5.21875" style="2" customWidth="1"/>
    <col min="7441" max="7441" width="4.77734375" style="2" customWidth="1"/>
    <col min="7442" max="7442" width="5.77734375" style="2" customWidth="1"/>
    <col min="7443" max="7443" width="7.44140625" style="2" customWidth="1"/>
    <col min="7444" max="7444" width="4" style="2" customWidth="1"/>
    <col min="7445" max="7445" width="6.44140625" style="2" customWidth="1"/>
    <col min="7446" max="7446" width="5.77734375" style="2" customWidth="1"/>
    <col min="7447" max="7447" width="6.77734375" style="2" customWidth="1"/>
    <col min="7448" max="7448" width="4.21875" style="2" customWidth="1"/>
    <col min="7449" max="7449" width="7.21875" style="2" customWidth="1"/>
    <col min="7450" max="7680" width="8.77734375" style="2"/>
    <col min="7681" max="7681" width="4.5546875" style="2" customWidth="1"/>
    <col min="7682" max="7683" width="6.77734375" style="2" customWidth="1"/>
    <col min="7684" max="7684" width="3.21875" style="2" customWidth="1"/>
    <col min="7685" max="7685" width="4.21875" style="2" customWidth="1"/>
    <col min="7686" max="7686" width="5.44140625" style="2" customWidth="1"/>
    <col min="7687" max="7687" width="7.77734375" style="2" customWidth="1"/>
    <col min="7688" max="7688" width="5.21875" style="2" customWidth="1"/>
    <col min="7689" max="7689" width="7" style="2" customWidth="1"/>
    <col min="7690" max="7690" width="5.21875" style="2" customWidth="1"/>
    <col min="7691" max="7691" width="7" style="2" customWidth="1"/>
    <col min="7692" max="7692" width="4.21875" style="2" customWidth="1"/>
    <col min="7693" max="7693" width="6.77734375" style="2" customWidth="1"/>
    <col min="7694" max="7694" width="5.44140625" style="2" customWidth="1"/>
    <col min="7695" max="7695" width="7" style="2" customWidth="1"/>
    <col min="7696" max="7696" width="5.21875" style="2" customWidth="1"/>
    <col min="7697" max="7697" width="4.77734375" style="2" customWidth="1"/>
    <col min="7698" max="7698" width="5.77734375" style="2" customWidth="1"/>
    <col min="7699" max="7699" width="7.44140625" style="2" customWidth="1"/>
    <col min="7700" max="7700" width="4" style="2" customWidth="1"/>
    <col min="7701" max="7701" width="6.44140625" style="2" customWidth="1"/>
    <col min="7702" max="7702" width="5.77734375" style="2" customWidth="1"/>
    <col min="7703" max="7703" width="6.77734375" style="2" customWidth="1"/>
    <col min="7704" max="7704" width="4.21875" style="2" customWidth="1"/>
    <col min="7705" max="7705" width="7.21875" style="2" customWidth="1"/>
    <col min="7706" max="7936" width="8.77734375" style="2"/>
    <col min="7937" max="7937" width="4.5546875" style="2" customWidth="1"/>
    <col min="7938" max="7939" width="6.77734375" style="2" customWidth="1"/>
    <col min="7940" max="7940" width="3.21875" style="2" customWidth="1"/>
    <col min="7941" max="7941" width="4.21875" style="2" customWidth="1"/>
    <col min="7942" max="7942" width="5.44140625" style="2" customWidth="1"/>
    <col min="7943" max="7943" width="7.77734375" style="2" customWidth="1"/>
    <col min="7944" max="7944" width="5.21875" style="2" customWidth="1"/>
    <col min="7945" max="7945" width="7" style="2" customWidth="1"/>
    <col min="7946" max="7946" width="5.21875" style="2" customWidth="1"/>
    <col min="7947" max="7947" width="7" style="2" customWidth="1"/>
    <col min="7948" max="7948" width="4.21875" style="2" customWidth="1"/>
    <col min="7949" max="7949" width="6.77734375" style="2" customWidth="1"/>
    <col min="7950" max="7950" width="5.44140625" style="2" customWidth="1"/>
    <col min="7951" max="7951" width="7" style="2" customWidth="1"/>
    <col min="7952" max="7952" width="5.21875" style="2" customWidth="1"/>
    <col min="7953" max="7953" width="4.77734375" style="2" customWidth="1"/>
    <col min="7954" max="7954" width="5.77734375" style="2" customWidth="1"/>
    <col min="7955" max="7955" width="7.44140625" style="2" customWidth="1"/>
    <col min="7956" max="7956" width="4" style="2" customWidth="1"/>
    <col min="7957" max="7957" width="6.44140625" style="2" customWidth="1"/>
    <col min="7958" max="7958" width="5.77734375" style="2" customWidth="1"/>
    <col min="7959" max="7959" width="6.77734375" style="2" customWidth="1"/>
    <col min="7960" max="7960" width="4.21875" style="2" customWidth="1"/>
    <col min="7961" max="7961" width="7.21875" style="2" customWidth="1"/>
    <col min="7962" max="8192" width="8.77734375" style="2"/>
    <col min="8193" max="8193" width="4.5546875" style="2" customWidth="1"/>
    <col min="8194" max="8195" width="6.77734375" style="2" customWidth="1"/>
    <col min="8196" max="8196" width="3.21875" style="2" customWidth="1"/>
    <col min="8197" max="8197" width="4.21875" style="2" customWidth="1"/>
    <col min="8198" max="8198" width="5.44140625" style="2" customWidth="1"/>
    <col min="8199" max="8199" width="7.77734375" style="2" customWidth="1"/>
    <col min="8200" max="8200" width="5.21875" style="2" customWidth="1"/>
    <col min="8201" max="8201" width="7" style="2" customWidth="1"/>
    <col min="8202" max="8202" width="5.21875" style="2" customWidth="1"/>
    <col min="8203" max="8203" width="7" style="2" customWidth="1"/>
    <col min="8204" max="8204" width="4.21875" style="2" customWidth="1"/>
    <col min="8205" max="8205" width="6.77734375" style="2" customWidth="1"/>
    <col min="8206" max="8206" width="5.44140625" style="2" customWidth="1"/>
    <col min="8207" max="8207" width="7" style="2" customWidth="1"/>
    <col min="8208" max="8208" width="5.21875" style="2" customWidth="1"/>
    <col min="8209" max="8209" width="4.77734375" style="2" customWidth="1"/>
    <col min="8210" max="8210" width="5.77734375" style="2" customWidth="1"/>
    <col min="8211" max="8211" width="7.44140625" style="2" customWidth="1"/>
    <col min="8212" max="8212" width="4" style="2" customWidth="1"/>
    <col min="8213" max="8213" width="6.44140625" style="2" customWidth="1"/>
    <col min="8214" max="8214" width="5.77734375" style="2" customWidth="1"/>
    <col min="8215" max="8215" width="6.77734375" style="2" customWidth="1"/>
    <col min="8216" max="8216" width="4.21875" style="2" customWidth="1"/>
    <col min="8217" max="8217" width="7.21875" style="2" customWidth="1"/>
    <col min="8218" max="8448" width="8.77734375" style="2"/>
    <col min="8449" max="8449" width="4.5546875" style="2" customWidth="1"/>
    <col min="8450" max="8451" width="6.77734375" style="2" customWidth="1"/>
    <col min="8452" max="8452" width="3.21875" style="2" customWidth="1"/>
    <col min="8453" max="8453" width="4.21875" style="2" customWidth="1"/>
    <col min="8454" max="8454" width="5.44140625" style="2" customWidth="1"/>
    <col min="8455" max="8455" width="7.77734375" style="2" customWidth="1"/>
    <col min="8456" max="8456" width="5.21875" style="2" customWidth="1"/>
    <col min="8457" max="8457" width="7" style="2" customWidth="1"/>
    <col min="8458" max="8458" width="5.21875" style="2" customWidth="1"/>
    <col min="8459" max="8459" width="7" style="2" customWidth="1"/>
    <col min="8460" max="8460" width="4.21875" style="2" customWidth="1"/>
    <col min="8461" max="8461" width="6.77734375" style="2" customWidth="1"/>
    <col min="8462" max="8462" width="5.44140625" style="2" customWidth="1"/>
    <col min="8463" max="8463" width="7" style="2" customWidth="1"/>
    <col min="8464" max="8464" width="5.21875" style="2" customWidth="1"/>
    <col min="8465" max="8465" width="4.77734375" style="2" customWidth="1"/>
    <col min="8466" max="8466" width="5.77734375" style="2" customWidth="1"/>
    <col min="8467" max="8467" width="7.44140625" style="2" customWidth="1"/>
    <col min="8468" max="8468" width="4" style="2" customWidth="1"/>
    <col min="8469" max="8469" width="6.44140625" style="2" customWidth="1"/>
    <col min="8470" max="8470" width="5.77734375" style="2" customWidth="1"/>
    <col min="8471" max="8471" width="6.77734375" style="2" customWidth="1"/>
    <col min="8472" max="8472" width="4.21875" style="2" customWidth="1"/>
    <col min="8473" max="8473" width="7.21875" style="2" customWidth="1"/>
    <col min="8474" max="8704" width="8.77734375" style="2"/>
    <col min="8705" max="8705" width="4.5546875" style="2" customWidth="1"/>
    <col min="8706" max="8707" width="6.77734375" style="2" customWidth="1"/>
    <col min="8708" max="8708" width="3.21875" style="2" customWidth="1"/>
    <col min="8709" max="8709" width="4.21875" style="2" customWidth="1"/>
    <col min="8710" max="8710" width="5.44140625" style="2" customWidth="1"/>
    <col min="8711" max="8711" width="7.77734375" style="2" customWidth="1"/>
    <col min="8712" max="8712" width="5.21875" style="2" customWidth="1"/>
    <col min="8713" max="8713" width="7" style="2" customWidth="1"/>
    <col min="8714" max="8714" width="5.21875" style="2" customWidth="1"/>
    <col min="8715" max="8715" width="7" style="2" customWidth="1"/>
    <col min="8716" max="8716" width="4.21875" style="2" customWidth="1"/>
    <col min="8717" max="8717" width="6.77734375" style="2" customWidth="1"/>
    <col min="8718" max="8718" width="5.44140625" style="2" customWidth="1"/>
    <col min="8719" max="8719" width="7" style="2" customWidth="1"/>
    <col min="8720" max="8720" width="5.21875" style="2" customWidth="1"/>
    <col min="8721" max="8721" width="4.77734375" style="2" customWidth="1"/>
    <col min="8722" max="8722" width="5.77734375" style="2" customWidth="1"/>
    <col min="8723" max="8723" width="7.44140625" style="2" customWidth="1"/>
    <col min="8724" max="8724" width="4" style="2" customWidth="1"/>
    <col min="8725" max="8725" width="6.44140625" style="2" customWidth="1"/>
    <col min="8726" max="8726" width="5.77734375" style="2" customWidth="1"/>
    <col min="8727" max="8727" width="6.77734375" style="2" customWidth="1"/>
    <col min="8728" max="8728" width="4.21875" style="2" customWidth="1"/>
    <col min="8729" max="8729" width="7.21875" style="2" customWidth="1"/>
    <col min="8730" max="8960" width="8.77734375" style="2"/>
    <col min="8961" max="8961" width="4.5546875" style="2" customWidth="1"/>
    <col min="8962" max="8963" width="6.77734375" style="2" customWidth="1"/>
    <col min="8964" max="8964" width="3.21875" style="2" customWidth="1"/>
    <col min="8965" max="8965" width="4.21875" style="2" customWidth="1"/>
    <col min="8966" max="8966" width="5.44140625" style="2" customWidth="1"/>
    <col min="8967" max="8967" width="7.77734375" style="2" customWidth="1"/>
    <col min="8968" max="8968" width="5.21875" style="2" customWidth="1"/>
    <col min="8969" max="8969" width="7" style="2" customWidth="1"/>
    <col min="8970" max="8970" width="5.21875" style="2" customWidth="1"/>
    <col min="8971" max="8971" width="7" style="2" customWidth="1"/>
    <col min="8972" max="8972" width="4.21875" style="2" customWidth="1"/>
    <col min="8973" max="8973" width="6.77734375" style="2" customWidth="1"/>
    <col min="8974" max="8974" width="5.44140625" style="2" customWidth="1"/>
    <col min="8975" max="8975" width="7" style="2" customWidth="1"/>
    <col min="8976" max="8976" width="5.21875" style="2" customWidth="1"/>
    <col min="8977" max="8977" width="4.77734375" style="2" customWidth="1"/>
    <col min="8978" max="8978" width="5.77734375" style="2" customWidth="1"/>
    <col min="8979" max="8979" width="7.44140625" style="2" customWidth="1"/>
    <col min="8980" max="8980" width="4" style="2" customWidth="1"/>
    <col min="8981" max="8981" width="6.44140625" style="2" customWidth="1"/>
    <col min="8982" max="8982" width="5.77734375" style="2" customWidth="1"/>
    <col min="8983" max="8983" width="6.77734375" style="2" customWidth="1"/>
    <col min="8984" max="8984" width="4.21875" style="2" customWidth="1"/>
    <col min="8985" max="8985" width="7.21875" style="2" customWidth="1"/>
    <col min="8986" max="9216" width="8.77734375" style="2"/>
    <col min="9217" max="9217" width="4.5546875" style="2" customWidth="1"/>
    <col min="9218" max="9219" width="6.77734375" style="2" customWidth="1"/>
    <col min="9220" max="9220" width="3.21875" style="2" customWidth="1"/>
    <col min="9221" max="9221" width="4.21875" style="2" customWidth="1"/>
    <col min="9222" max="9222" width="5.44140625" style="2" customWidth="1"/>
    <col min="9223" max="9223" width="7.77734375" style="2" customWidth="1"/>
    <col min="9224" max="9224" width="5.21875" style="2" customWidth="1"/>
    <col min="9225" max="9225" width="7" style="2" customWidth="1"/>
    <col min="9226" max="9226" width="5.21875" style="2" customWidth="1"/>
    <col min="9227" max="9227" width="7" style="2" customWidth="1"/>
    <col min="9228" max="9228" width="4.21875" style="2" customWidth="1"/>
    <col min="9229" max="9229" width="6.77734375" style="2" customWidth="1"/>
    <col min="9230" max="9230" width="5.44140625" style="2" customWidth="1"/>
    <col min="9231" max="9231" width="7" style="2" customWidth="1"/>
    <col min="9232" max="9232" width="5.21875" style="2" customWidth="1"/>
    <col min="9233" max="9233" width="4.77734375" style="2" customWidth="1"/>
    <col min="9234" max="9234" width="5.77734375" style="2" customWidth="1"/>
    <col min="9235" max="9235" width="7.44140625" style="2" customWidth="1"/>
    <col min="9236" max="9236" width="4" style="2" customWidth="1"/>
    <col min="9237" max="9237" width="6.44140625" style="2" customWidth="1"/>
    <col min="9238" max="9238" width="5.77734375" style="2" customWidth="1"/>
    <col min="9239" max="9239" width="6.77734375" style="2" customWidth="1"/>
    <col min="9240" max="9240" width="4.21875" style="2" customWidth="1"/>
    <col min="9241" max="9241" width="7.21875" style="2" customWidth="1"/>
    <col min="9242" max="9472" width="8.77734375" style="2"/>
    <col min="9473" max="9473" width="4.5546875" style="2" customWidth="1"/>
    <col min="9474" max="9475" width="6.77734375" style="2" customWidth="1"/>
    <col min="9476" max="9476" width="3.21875" style="2" customWidth="1"/>
    <col min="9477" max="9477" width="4.21875" style="2" customWidth="1"/>
    <col min="9478" max="9478" width="5.44140625" style="2" customWidth="1"/>
    <col min="9479" max="9479" width="7.77734375" style="2" customWidth="1"/>
    <col min="9480" max="9480" width="5.21875" style="2" customWidth="1"/>
    <col min="9481" max="9481" width="7" style="2" customWidth="1"/>
    <col min="9482" max="9482" width="5.21875" style="2" customWidth="1"/>
    <col min="9483" max="9483" width="7" style="2" customWidth="1"/>
    <col min="9484" max="9484" width="4.21875" style="2" customWidth="1"/>
    <col min="9485" max="9485" width="6.77734375" style="2" customWidth="1"/>
    <col min="9486" max="9486" width="5.44140625" style="2" customWidth="1"/>
    <col min="9487" max="9487" width="7" style="2" customWidth="1"/>
    <col min="9488" max="9488" width="5.21875" style="2" customWidth="1"/>
    <col min="9489" max="9489" width="4.77734375" style="2" customWidth="1"/>
    <col min="9490" max="9490" width="5.77734375" style="2" customWidth="1"/>
    <col min="9491" max="9491" width="7.44140625" style="2" customWidth="1"/>
    <col min="9492" max="9492" width="4" style="2" customWidth="1"/>
    <col min="9493" max="9493" width="6.44140625" style="2" customWidth="1"/>
    <col min="9494" max="9494" width="5.77734375" style="2" customWidth="1"/>
    <col min="9495" max="9495" width="6.77734375" style="2" customWidth="1"/>
    <col min="9496" max="9496" width="4.21875" style="2" customWidth="1"/>
    <col min="9497" max="9497" width="7.21875" style="2" customWidth="1"/>
    <col min="9498" max="9728" width="8.77734375" style="2"/>
    <col min="9729" max="9729" width="4.5546875" style="2" customWidth="1"/>
    <col min="9730" max="9731" width="6.77734375" style="2" customWidth="1"/>
    <col min="9732" max="9732" width="3.21875" style="2" customWidth="1"/>
    <col min="9733" max="9733" width="4.21875" style="2" customWidth="1"/>
    <col min="9734" max="9734" width="5.44140625" style="2" customWidth="1"/>
    <col min="9735" max="9735" width="7.77734375" style="2" customWidth="1"/>
    <col min="9736" max="9736" width="5.21875" style="2" customWidth="1"/>
    <col min="9737" max="9737" width="7" style="2" customWidth="1"/>
    <col min="9738" max="9738" width="5.21875" style="2" customWidth="1"/>
    <col min="9739" max="9739" width="7" style="2" customWidth="1"/>
    <col min="9740" max="9740" width="4.21875" style="2" customWidth="1"/>
    <col min="9741" max="9741" width="6.77734375" style="2" customWidth="1"/>
    <col min="9742" max="9742" width="5.44140625" style="2" customWidth="1"/>
    <col min="9743" max="9743" width="7" style="2" customWidth="1"/>
    <col min="9744" max="9744" width="5.21875" style="2" customWidth="1"/>
    <col min="9745" max="9745" width="4.77734375" style="2" customWidth="1"/>
    <col min="9746" max="9746" width="5.77734375" style="2" customWidth="1"/>
    <col min="9747" max="9747" width="7.44140625" style="2" customWidth="1"/>
    <col min="9748" max="9748" width="4" style="2" customWidth="1"/>
    <col min="9749" max="9749" width="6.44140625" style="2" customWidth="1"/>
    <col min="9750" max="9750" width="5.77734375" style="2" customWidth="1"/>
    <col min="9751" max="9751" width="6.77734375" style="2" customWidth="1"/>
    <col min="9752" max="9752" width="4.21875" style="2" customWidth="1"/>
    <col min="9753" max="9753" width="7.21875" style="2" customWidth="1"/>
    <col min="9754" max="9984" width="8.77734375" style="2"/>
    <col min="9985" max="9985" width="4.5546875" style="2" customWidth="1"/>
    <col min="9986" max="9987" width="6.77734375" style="2" customWidth="1"/>
    <col min="9988" max="9988" width="3.21875" style="2" customWidth="1"/>
    <col min="9989" max="9989" width="4.21875" style="2" customWidth="1"/>
    <col min="9990" max="9990" width="5.44140625" style="2" customWidth="1"/>
    <col min="9991" max="9991" width="7.77734375" style="2" customWidth="1"/>
    <col min="9992" max="9992" width="5.21875" style="2" customWidth="1"/>
    <col min="9993" max="9993" width="7" style="2" customWidth="1"/>
    <col min="9994" max="9994" width="5.21875" style="2" customWidth="1"/>
    <col min="9995" max="9995" width="7" style="2" customWidth="1"/>
    <col min="9996" max="9996" width="4.21875" style="2" customWidth="1"/>
    <col min="9997" max="9997" width="6.77734375" style="2" customWidth="1"/>
    <col min="9998" max="9998" width="5.44140625" style="2" customWidth="1"/>
    <col min="9999" max="9999" width="7" style="2" customWidth="1"/>
    <col min="10000" max="10000" width="5.21875" style="2" customWidth="1"/>
    <col min="10001" max="10001" width="4.77734375" style="2" customWidth="1"/>
    <col min="10002" max="10002" width="5.77734375" style="2" customWidth="1"/>
    <col min="10003" max="10003" width="7.44140625" style="2" customWidth="1"/>
    <col min="10004" max="10004" width="4" style="2" customWidth="1"/>
    <col min="10005" max="10005" width="6.44140625" style="2" customWidth="1"/>
    <col min="10006" max="10006" width="5.77734375" style="2" customWidth="1"/>
    <col min="10007" max="10007" width="6.77734375" style="2" customWidth="1"/>
    <col min="10008" max="10008" width="4.21875" style="2" customWidth="1"/>
    <col min="10009" max="10009" width="7.21875" style="2" customWidth="1"/>
    <col min="10010" max="10240" width="8.77734375" style="2"/>
    <col min="10241" max="10241" width="4.5546875" style="2" customWidth="1"/>
    <col min="10242" max="10243" width="6.77734375" style="2" customWidth="1"/>
    <col min="10244" max="10244" width="3.21875" style="2" customWidth="1"/>
    <col min="10245" max="10245" width="4.21875" style="2" customWidth="1"/>
    <col min="10246" max="10246" width="5.44140625" style="2" customWidth="1"/>
    <col min="10247" max="10247" width="7.77734375" style="2" customWidth="1"/>
    <col min="10248" max="10248" width="5.21875" style="2" customWidth="1"/>
    <col min="10249" max="10249" width="7" style="2" customWidth="1"/>
    <col min="10250" max="10250" width="5.21875" style="2" customWidth="1"/>
    <col min="10251" max="10251" width="7" style="2" customWidth="1"/>
    <col min="10252" max="10252" width="4.21875" style="2" customWidth="1"/>
    <col min="10253" max="10253" width="6.77734375" style="2" customWidth="1"/>
    <col min="10254" max="10254" width="5.44140625" style="2" customWidth="1"/>
    <col min="10255" max="10255" width="7" style="2" customWidth="1"/>
    <col min="10256" max="10256" width="5.21875" style="2" customWidth="1"/>
    <col min="10257" max="10257" width="4.77734375" style="2" customWidth="1"/>
    <col min="10258" max="10258" width="5.77734375" style="2" customWidth="1"/>
    <col min="10259" max="10259" width="7.44140625" style="2" customWidth="1"/>
    <col min="10260" max="10260" width="4" style="2" customWidth="1"/>
    <col min="10261" max="10261" width="6.44140625" style="2" customWidth="1"/>
    <col min="10262" max="10262" width="5.77734375" style="2" customWidth="1"/>
    <col min="10263" max="10263" width="6.77734375" style="2" customWidth="1"/>
    <col min="10264" max="10264" width="4.21875" style="2" customWidth="1"/>
    <col min="10265" max="10265" width="7.21875" style="2" customWidth="1"/>
    <col min="10266" max="10496" width="8.77734375" style="2"/>
    <col min="10497" max="10497" width="4.5546875" style="2" customWidth="1"/>
    <col min="10498" max="10499" width="6.77734375" style="2" customWidth="1"/>
    <col min="10500" max="10500" width="3.21875" style="2" customWidth="1"/>
    <col min="10501" max="10501" width="4.21875" style="2" customWidth="1"/>
    <col min="10502" max="10502" width="5.44140625" style="2" customWidth="1"/>
    <col min="10503" max="10503" width="7.77734375" style="2" customWidth="1"/>
    <col min="10504" max="10504" width="5.21875" style="2" customWidth="1"/>
    <col min="10505" max="10505" width="7" style="2" customWidth="1"/>
    <col min="10506" max="10506" width="5.21875" style="2" customWidth="1"/>
    <col min="10507" max="10507" width="7" style="2" customWidth="1"/>
    <col min="10508" max="10508" width="4.21875" style="2" customWidth="1"/>
    <col min="10509" max="10509" width="6.77734375" style="2" customWidth="1"/>
    <col min="10510" max="10510" width="5.44140625" style="2" customWidth="1"/>
    <col min="10511" max="10511" width="7" style="2" customWidth="1"/>
    <col min="10512" max="10512" width="5.21875" style="2" customWidth="1"/>
    <col min="10513" max="10513" width="4.77734375" style="2" customWidth="1"/>
    <col min="10514" max="10514" width="5.77734375" style="2" customWidth="1"/>
    <col min="10515" max="10515" width="7.44140625" style="2" customWidth="1"/>
    <col min="10516" max="10516" width="4" style="2" customWidth="1"/>
    <col min="10517" max="10517" width="6.44140625" style="2" customWidth="1"/>
    <col min="10518" max="10518" width="5.77734375" style="2" customWidth="1"/>
    <col min="10519" max="10519" width="6.77734375" style="2" customWidth="1"/>
    <col min="10520" max="10520" width="4.21875" style="2" customWidth="1"/>
    <col min="10521" max="10521" width="7.21875" style="2" customWidth="1"/>
    <col min="10522" max="10752" width="8.77734375" style="2"/>
    <col min="10753" max="10753" width="4.5546875" style="2" customWidth="1"/>
    <col min="10754" max="10755" width="6.77734375" style="2" customWidth="1"/>
    <col min="10756" max="10756" width="3.21875" style="2" customWidth="1"/>
    <col min="10757" max="10757" width="4.21875" style="2" customWidth="1"/>
    <col min="10758" max="10758" width="5.44140625" style="2" customWidth="1"/>
    <col min="10759" max="10759" width="7.77734375" style="2" customWidth="1"/>
    <col min="10760" max="10760" width="5.21875" style="2" customWidth="1"/>
    <col min="10761" max="10761" width="7" style="2" customWidth="1"/>
    <col min="10762" max="10762" width="5.21875" style="2" customWidth="1"/>
    <col min="10763" max="10763" width="7" style="2" customWidth="1"/>
    <col min="10764" max="10764" width="4.21875" style="2" customWidth="1"/>
    <col min="10765" max="10765" width="6.77734375" style="2" customWidth="1"/>
    <col min="10766" max="10766" width="5.44140625" style="2" customWidth="1"/>
    <col min="10767" max="10767" width="7" style="2" customWidth="1"/>
    <col min="10768" max="10768" width="5.21875" style="2" customWidth="1"/>
    <col min="10769" max="10769" width="4.77734375" style="2" customWidth="1"/>
    <col min="10770" max="10770" width="5.77734375" style="2" customWidth="1"/>
    <col min="10771" max="10771" width="7.44140625" style="2" customWidth="1"/>
    <col min="10772" max="10772" width="4" style="2" customWidth="1"/>
    <col min="10773" max="10773" width="6.44140625" style="2" customWidth="1"/>
    <col min="10774" max="10774" width="5.77734375" style="2" customWidth="1"/>
    <col min="10775" max="10775" width="6.77734375" style="2" customWidth="1"/>
    <col min="10776" max="10776" width="4.21875" style="2" customWidth="1"/>
    <col min="10777" max="10777" width="7.21875" style="2" customWidth="1"/>
    <col min="10778" max="11008" width="8.77734375" style="2"/>
    <col min="11009" max="11009" width="4.5546875" style="2" customWidth="1"/>
    <col min="11010" max="11011" width="6.77734375" style="2" customWidth="1"/>
    <col min="11012" max="11012" width="3.21875" style="2" customWidth="1"/>
    <col min="11013" max="11013" width="4.21875" style="2" customWidth="1"/>
    <col min="11014" max="11014" width="5.44140625" style="2" customWidth="1"/>
    <col min="11015" max="11015" width="7.77734375" style="2" customWidth="1"/>
    <col min="11016" max="11016" width="5.21875" style="2" customWidth="1"/>
    <col min="11017" max="11017" width="7" style="2" customWidth="1"/>
    <col min="11018" max="11018" width="5.21875" style="2" customWidth="1"/>
    <col min="11019" max="11019" width="7" style="2" customWidth="1"/>
    <col min="11020" max="11020" width="4.21875" style="2" customWidth="1"/>
    <col min="11021" max="11021" width="6.77734375" style="2" customWidth="1"/>
    <col min="11022" max="11022" width="5.44140625" style="2" customWidth="1"/>
    <col min="11023" max="11023" width="7" style="2" customWidth="1"/>
    <col min="11024" max="11024" width="5.21875" style="2" customWidth="1"/>
    <col min="11025" max="11025" width="4.77734375" style="2" customWidth="1"/>
    <col min="11026" max="11026" width="5.77734375" style="2" customWidth="1"/>
    <col min="11027" max="11027" width="7.44140625" style="2" customWidth="1"/>
    <col min="11028" max="11028" width="4" style="2" customWidth="1"/>
    <col min="11029" max="11029" width="6.44140625" style="2" customWidth="1"/>
    <col min="11030" max="11030" width="5.77734375" style="2" customWidth="1"/>
    <col min="11031" max="11031" width="6.77734375" style="2" customWidth="1"/>
    <col min="11032" max="11032" width="4.21875" style="2" customWidth="1"/>
    <col min="11033" max="11033" width="7.21875" style="2" customWidth="1"/>
    <col min="11034" max="11264" width="8.77734375" style="2"/>
    <col min="11265" max="11265" width="4.5546875" style="2" customWidth="1"/>
    <col min="11266" max="11267" width="6.77734375" style="2" customWidth="1"/>
    <col min="11268" max="11268" width="3.21875" style="2" customWidth="1"/>
    <col min="11269" max="11269" width="4.21875" style="2" customWidth="1"/>
    <col min="11270" max="11270" width="5.44140625" style="2" customWidth="1"/>
    <col min="11271" max="11271" width="7.77734375" style="2" customWidth="1"/>
    <col min="11272" max="11272" width="5.21875" style="2" customWidth="1"/>
    <col min="11273" max="11273" width="7" style="2" customWidth="1"/>
    <col min="11274" max="11274" width="5.21875" style="2" customWidth="1"/>
    <col min="11275" max="11275" width="7" style="2" customWidth="1"/>
    <col min="11276" max="11276" width="4.21875" style="2" customWidth="1"/>
    <col min="11277" max="11277" width="6.77734375" style="2" customWidth="1"/>
    <col min="11278" max="11278" width="5.44140625" style="2" customWidth="1"/>
    <col min="11279" max="11279" width="7" style="2" customWidth="1"/>
    <col min="11280" max="11280" width="5.21875" style="2" customWidth="1"/>
    <col min="11281" max="11281" width="4.77734375" style="2" customWidth="1"/>
    <col min="11282" max="11282" width="5.77734375" style="2" customWidth="1"/>
    <col min="11283" max="11283" width="7.44140625" style="2" customWidth="1"/>
    <col min="11284" max="11284" width="4" style="2" customWidth="1"/>
    <col min="11285" max="11285" width="6.44140625" style="2" customWidth="1"/>
    <col min="11286" max="11286" width="5.77734375" style="2" customWidth="1"/>
    <col min="11287" max="11287" width="6.77734375" style="2" customWidth="1"/>
    <col min="11288" max="11288" width="4.21875" style="2" customWidth="1"/>
    <col min="11289" max="11289" width="7.21875" style="2" customWidth="1"/>
    <col min="11290" max="11520" width="8.77734375" style="2"/>
    <col min="11521" max="11521" width="4.5546875" style="2" customWidth="1"/>
    <col min="11522" max="11523" width="6.77734375" style="2" customWidth="1"/>
    <col min="11524" max="11524" width="3.21875" style="2" customWidth="1"/>
    <col min="11525" max="11525" width="4.21875" style="2" customWidth="1"/>
    <col min="11526" max="11526" width="5.44140625" style="2" customWidth="1"/>
    <col min="11527" max="11527" width="7.77734375" style="2" customWidth="1"/>
    <col min="11528" max="11528" width="5.21875" style="2" customWidth="1"/>
    <col min="11529" max="11529" width="7" style="2" customWidth="1"/>
    <col min="11530" max="11530" width="5.21875" style="2" customWidth="1"/>
    <col min="11531" max="11531" width="7" style="2" customWidth="1"/>
    <col min="11532" max="11532" width="4.21875" style="2" customWidth="1"/>
    <col min="11533" max="11533" width="6.77734375" style="2" customWidth="1"/>
    <col min="11534" max="11534" width="5.44140625" style="2" customWidth="1"/>
    <col min="11535" max="11535" width="7" style="2" customWidth="1"/>
    <col min="11536" max="11536" width="5.21875" style="2" customWidth="1"/>
    <col min="11537" max="11537" width="4.77734375" style="2" customWidth="1"/>
    <col min="11538" max="11538" width="5.77734375" style="2" customWidth="1"/>
    <col min="11539" max="11539" width="7.44140625" style="2" customWidth="1"/>
    <col min="11540" max="11540" width="4" style="2" customWidth="1"/>
    <col min="11541" max="11541" width="6.44140625" style="2" customWidth="1"/>
    <col min="11542" max="11542" width="5.77734375" style="2" customWidth="1"/>
    <col min="11543" max="11543" width="6.77734375" style="2" customWidth="1"/>
    <col min="11544" max="11544" width="4.21875" style="2" customWidth="1"/>
    <col min="11545" max="11545" width="7.21875" style="2" customWidth="1"/>
    <col min="11546" max="11776" width="8.77734375" style="2"/>
    <col min="11777" max="11777" width="4.5546875" style="2" customWidth="1"/>
    <col min="11778" max="11779" width="6.77734375" style="2" customWidth="1"/>
    <col min="11780" max="11780" width="3.21875" style="2" customWidth="1"/>
    <col min="11781" max="11781" width="4.21875" style="2" customWidth="1"/>
    <col min="11782" max="11782" width="5.44140625" style="2" customWidth="1"/>
    <col min="11783" max="11783" width="7.77734375" style="2" customWidth="1"/>
    <col min="11784" max="11784" width="5.21875" style="2" customWidth="1"/>
    <col min="11785" max="11785" width="7" style="2" customWidth="1"/>
    <col min="11786" max="11786" width="5.21875" style="2" customWidth="1"/>
    <col min="11787" max="11787" width="7" style="2" customWidth="1"/>
    <col min="11788" max="11788" width="4.21875" style="2" customWidth="1"/>
    <col min="11789" max="11789" width="6.77734375" style="2" customWidth="1"/>
    <col min="11790" max="11790" width="5.44140625" style="2" customWidth="1"/>
    <col min="11791" max="11791" width="7" style="2" customWidth="1"/>
    <col min="11792" max="11792" width="5.21875" style="2" customWidth="1"/>
    <col min="11793" max="11793" width="4.77734375" style="2" customWidth="1"/>
    <col min="11794" max="11794" width="5.77734375" style="2" customWidth="1"/>
    <col min="11795" max="11795" width="7.44140625" style="2" customWidth="1"/>
    <col min="11796" max="11796" width="4" style="2" customWidth="1"/>
    <col min="11797" max="11797" width="6.44140625" style="2" customWidth="1"/>
    <col min="11798" max="11798" width="5.77734375" style="2" customWidth="1"/>
    <col min="11799" max="11799" width="6.77734375" style="2" customWidth="1"/>
    <col min="11800" max="11800" width="4.21875" style="2" customWidth="1"/>
    <col min="11801" max="11801" width="7.21875" style="2" customWidth="1"/>
    <col min="11802" max="12032" width="8.77734375" style="2"/>
    <col min="12033" max="12033" width="4.5546875" style="2" customWidth="1"/>
    <col min="12034" max="12035" width="6.77734375" style="2" customWidth="1"/>
    <col min="12036" max="12036" width="3.21875" style="2" customWidth="1"/>
    <col min="12037" max="12037" width="4.21875" style="2" customWidth="1"/>
    <col min="12038" max="12038" width="5.44140625" style="2" customWidth="1"/>
    <col min="12039" max="12039" width="7.77734375" style="2" customWidth="1"/>
    <col min="12040" max="12040" width="5.21875" style="2" customWidth="1"/>
    <col min="12041" max="12041" width="7" style="2" customWidth="1"/>
    <col min="12042" max="12042" width="5.21875" style="2" customWidth="1"/>
    <col min="12043" max="12043" width="7" style="2" customWidth="1"/>
    <col min="12044" max="12044" width="4.21875" style="2" customWidth="1"/>
    <col min="12045" max="12045" width="6.77734375" style="2" customWidth="1"/>
    <col min="12046" max="12046" width="5.44140625" style="2" customWidth="1"/>
    <col min="12047" max="12047" width="7" style="2" customWidth="1"/>
    <col min="12048" max="12048" width="5.21875" style="2" customWidth="1"/>
    <col min="12049" max="12049" width="4.77734375" style="2" customWidth="1"/>
    <col min="12050" max="12050" width="5.77734375" style="2" customWidth="1"/>
    <col min="12051" max="12051" width="7.44140625" style="2" customWidth="1"/>
    <col min="12052" max="12052" width="4" style="2" customWidth="1"/>
    <col min="12053" max="12053" width="6.44140625" style="2" customWidth="1"/>
    <col min="12054" max="12054" width="5.77734375" style="2" customWidth="1"/>
    <col min="12055" max="12055" width="6.77734375" style="2" customWidth="1"/>
    <col min="12056" max="12056" width="4.21875" style="2" customWidth="1"/>
    <col min="12057" max="12057" width="7.21875" style="2" customWidth="1"/>
    <col min="12058" max="12288" width="8.77734375" style="2"/>
    <col min="12289" max="12289" width="4.5546875" style="2" customWidth="1"/>
    <col min="12290" max="12291" width="6.77734375" style="2" customWidth="1"/>
    <col min="12292" max="12292" width="3.21875" style="2" customWidth="1"/>
    <col min="12293" max="12293" width="4.21875" style="2" customWidth="1"/>
    <col min="12294" max="12294" width="5.44140625" style="2" customWidth="1"/>
    <col min="12295" max="12295" width="7.77734375" style="2" customWidth="1"/>
    <col min="12296" max="12296" width="5.21875" style="2" customWidth="1"/>
    <col min="12297" max="12297" width="7" style="2" customWidth="1"/>
    <col min="12298" max="12298" width="5.21875" style="2" customWidth="1"/>
    <col min="12299" max="12299" width="7" style="2" customWidth="1"/>
    <col min="12300" max="12300" width="4.21875" style="2" customWidth="1"/>
    <col min="12301" max="12301" width="6.77734375" style="2" customWidth="1"/>
    <col min="12302" max="12302" width="5.44140625" style="2" customWidth="1"/>
    <col min="12303" max="12303" width="7" style="2" customWidth="1"/>
    <col min="12304" max="12304" width="5.21875" style="2" customWidth="1"/>
    <col min="12305" max="12305" width="4.77734375" style="2" customWidth="1"/>
    <col min="12306" max="12306" width="5.77734375" style="2" customWidth="1"/>
    <col min="12307" max="12307" width="7.44140625" style="2" customWidth="1"/>
    <col min="12308" max="12308" width="4" style="2" customWidth="1"/>
    <col min="12309" max="12309" width="6.44140625" style="2" customWidth="1"/>
    <col min="12310" max="12310" width="5.77734375" style="2" customWidth="1"/>
    <col min="12311" max="12311" width="6.77734375" style="2" customWidth="1"/>
    <col min="12312" max="12312" width="4.21875" style="2" customWidth="1"/>
    <col min="12313" max="12313" width="7.21875" style="2" customWidth="1"/>
    <col min="12314" max="12544" width="8.77734375" style="2"/>
    <col min="12545" max="12545" width="4.5546875" style="2" customWidth="1"/>
    <col min="12546" max="12547" width="6.77734375" style="2" customWidth="1"/>
    <col min="12548" max="12548" width="3.21875" style="2" customWidth="1"/>
    <col min="12549" max="12549" width="4.21875" style="2" customWidth="1"/>
    <col min="12550" max="12550" width="5.44140625" style="2" customWidth="1"/>
    <col min="12551" max="12551" width="7.77734375" style="2" customWidth="1"/>
    <col min="12552" max="12552" width="5.21875" style="2" customWidth="1"/>
    <col min="12553" max="12553" width="7" style="2" customWidth="1"/>
    <col min="12554" max="12554" width="5.21875" style="2" customWidth="1"/>
    <col min="12555" max="12555" width="7" style="2" customWidth="1"/>
    <col min="12556" max="12556" width="4.21875" style="2" customWidth="1"/>
    <col min="12557" max="12557" width="6.77734375" style="2" customWidth="1"/>
    <col min="12558" max="12558" width="5.44140625" style="2" customWidth="1"/>
    <col min="12559" max="12559" width="7" style="2" customWidth="1"/>
    <col min="12560" max="12560" width="5.21875" style="2" customWidth="1"/>
    <col min="12561" max="12561" width="4.77734375" style="2" customWidth="1"/>
    <col min="12562" max="12562" width="5.77734375" style="2" customWidth="1"/>
    <col min="12563" max="12563" width="7.44140625" style="2" customWidth="1"/>
    <col min="12564" max="12564" width="4" style="2" customWidth="1"/>
    <col min="12565" max="12565" width="6.44140625" style="2" customWidth="1"/>
    <col min="12566" max="12566" width="5.77734375" style="2" customWidth="1"/>
    <col min="12567" max="12567" width="6.77734375" style="2" customWidth="1"/>
    <col min="12568" max="12568" width="4.21875" style="2" customWidth="1"/>
    <col min="12569" max="12569" width="7.21875" style="2" customWidth="1"/>
    <col min="12570" max="12800" width="8.77734375" style="2"/>
    <col min="12801" max="12801" width="4.5546875" style="2" customWidth="1"/>
    <col min="12802" max="12803" width="6.77734375" style="2" customWidth="1"/>
    <col min="12804" max="12804" width="3.21875" style="2" customWidth="1"/>
    <col min="12805" max="12805" width="4.21875" style="2" customWidth="1"/>
    <col min="12806" max="12806" width="5.44140625" style="2" customWidth="1"/>
    <col min="12807" max="12807" width="7.77734375" style="2" customWidth="1"/>
    <col min="12808" max="12808" width="5.21875" style="2" customWidth="1"/>
    <col min="12809" max="12809" width="7" style="2" customWidth="1"/>
    <col min="12810" max="12810" width="5.21875" style="2" customWidth="1"/>
    <col min="12811" max="12811" width="7" style="2" customWidth="1"/>
    <col min="12812" max="12812" width="4.21875" style="2" customWidth="1"/>
    <col min="12813" max="12813" width="6.77734375" style="2" customWidth="1"/>
    <col min="12814" max="12814" width="5.44140625" style="2" customWidth="1"/>
    <col min="12815" max="12815" width="7" style="2" customWidth="1"/>
    <col min="12816" max="12816" width="5.21875" style="2" customWidth="1"/>
    <col min="12817" max="12817" width="4.77734375" style="2" customWidth="1"/>
    <col min="12818" max="12818" width="5.77734375" style="2" customWidth="1"/>
    <col min="12819" max="12819" width="7.44140625" style="2" customWidth="1"/>
    <col min="12820" max="12820" width="4" style="2" customWidth="1"/>
    <col min="12821" max="12821" width="6.44140625" style="2" customWidth="1"/>
    <col min="12822" max="12822" width="5.77734375" style="2" customWidth="1"/>
    <col min="12823" max="12823" width="6.77734375" style="2" customWidth="1"/>
    <col min="12824" max="12824" width="4.21875" style="2" customWidth="1"/>
    <col min="12825" max="12825" width="7.21875" style="2" customWidth="1"/>
    <col min="12826" max="13056" width="8.77734375" style="2"/>
    <col min="13057" max="13057" width="4.5546875" style="2" customWidth="1"/>
    <col min="13058" max="13059" width="6.77734375" style="2" customWidth="1"/>
    <col min="13060" max="13060" width="3.21875" style="2" customWidth="1"/>
    <col min="13061" max="13061" width="4.21875" style="2" customWidth="1"/>
    <col min="13062" max="13062" width="5.44140625" style="2" customWidth="1"/>
    <col min="13063" max="13063" width="7.77734375" style="2" customWidth="1"/>
    <col min="13064" max="13064" width="5.21875" style="2" customWidth="1"/>
    <col min="13065" max="13065" width="7" style="2" customWidth="1"/>
    <col min="13066" max="13066" width="5.21875" style="2" customWidth="1"/>
    <col min="13067" max="13067" width="7" style="2" customWidth="1"/>
    <col min="13068" max="13068" width="4.21875" style="2" customWidth="1"/>
    <col min="13069" max="13069" width="6.77734375" style="2" customWidth="1"/>
    <col min="13070" max="13070" width="5.44140625" style="2" customWidth="1"/>
    <col min="13071" max="13071" width="7" style="2" customWidth="1"/>
    <col min="13072" max="13072" width="5.21875" style="2" customWidth="1"/>
    <col min="13073" max="13073" width="4.77734375" style="2" customWidth="1"/>
    <col min="13074" max="13074" width="5.77734375" style="2" customWidth="1"/>
    <col min="13075" max="13075" width="7.44140625" style="2" customWidth="1"/>
    <col min="13076" max="13076" width="4" style="2" customWidth="1"/>
    <col min="13077" max="13077" width="6.44140625" style="2" customWidth="1"/>
    <col min="13078" max="13078" width="5.77734375" style="2" customWidth="1"/>
    <col min="13079" max="13079" width="6.77734375" style="2" customWidth="1"/>
    <col min="13080" max="13080" width="4.21875" style="2" customWidth="1"/>
    <col min="13081" max="13081" width="7.21875" style="2" customWidth="1"/>
    <col min="13082" max="13312" width="8.77734375" style="2"/>
    <col min="13313" max="13313" width="4.5546875" style="2" customWidth="1"/>
    <col min="13314" max="13315" width="6.77734375" style="2" customWidth="1"/>
    <col min="13316" max="13316" width="3.21875" style="2" customWidth="1"/>
    <col min="13317" max="13317" width="4.21875" style="2" customWidth="1"/>
    <col min="13318" max="13318" width="5.44140625" style="2" customWidth="1"/>
    <col min="13319" max="13319" width="7.77734375" style="2" customWidth="1"/>
    <col min="13320" max="13320" width="5.21875" style="2" customWidth="1"/>
    <col min="13321" max="13321" width="7" style="2" customWidth="1"/>
    <col min="13322" max="13322" width="5.21875" style="2" customWidth="1"/>
    <col min="13323" max="13323" width="7" style="2" customWidth="1"/>
    <col min="13324" max="13324" width="4.21875" style="2" customWidth="1"/>
    <col min="13325" max="13325" width="6.77734375" style="2" customWidth="1"/>
    <col min="13326" max="13326" width="5.44140625" style="2" customWidth="1"/>
    <col min="13327" max="13327" width="7" style="2" customWidth="1"/>
    <col min="13328" max="13328" width="5.21875" style="2" customWidth="1"/>
    <col min="13329" max="13329" width="4.77734375" style="2" customWidth="1"/>
    <col min="13330" max="13330" width="5.77734375" style="2" customWidth="1"/>
    <col min="13331" max="13331" width="7.44140625" style="2" customWidth="1"/>
    <col min="13332" max="13332" width="4" style="2" customWidth="1"/>
    <col min="13333" max="13333" width="6.44140625" style="2" customWidth="1"/>
    <col min="13334" max="13334" width="5.77734375" style="2" customWidth="1"/>
    <col min="13335" max="13335" width="6.77734375" style="2" customWidth="1"/>
    <col min="13336" max="13336" width="4.21875" style="2" customWidth="1"/>
    <col min="13337" max="13337" width="7.21875" style="2" customWidth="1"/>
    <col min="13338" max="13568" width="8.77734375" style="2"/>
    <col min="13569" max="13569" width="4.5546875" style="2" customWidth="1"/>
    <col min="13570" max="13571" width="6.77734375" style="2" customWidth="1"/>
    <col min="13572" max="13572" width="3.21875" style="2" customWidth="1"/>
    <col min="13573" max="13573" width="4.21875" style="2" customWidth="1"/>
    <col min="13574" max="13574" width="5.44140625" style="2" customWidth="1"/>
    <col min="13575" max="13575" width="7.77734375" style="2" customWidth="1"/>
    <col min="13576" max="13576" width="5.21875" style="2" customWidth="1"/>
    <col min="13577" max="13577" width="7" style="2" customWidth="1"/>
    <col min="13578" max="13578" width="5.21875" style="2" customWidth="1"/>
    <col min="13579" max="13579" width="7" style="2" customWidth="1"/>
    <col min="13580" max="13580" width="4.21875" style="2" customWidth="1"/>
    <col min="13581" max="13581" width="6.77734375" style="2" customWidth="1"/>
    <col min="13582" max="13582" width="5.44140625" style="2" customWidth="1"/>
    <col min="13583" max="13583" width="7" style="2" customWidth="1"/>
    <col min="13584" max="13584" width="5.21875" style="2" customWidth="1"/>
    <col min="13585" max="13585" width="4.77734375" style="2" customWidth="1"/>
    <col min="13586" max="13586" width="5.77734375" style="2" customWidth="1"/>
    <col min="13587" max="13587" width="7.44140625" style="2" customWidth="1"/>
    <col min="13588" max="13588" width="4" style="2" customWidth="1"/>
    <col min="13589" max="13589" width="6.44140625" style="2" customWidth="1"/>
    <col min="13590" max="13590" width="5.77734375" style="2" customWidth="1"/>
    <col min="13591" max="13591" width="6.77734375" style="2" customWidth="1"/>
    <col min="13592" max="13592" width="4.21875" style="2" customWidth="1"/>
    <col min="13593" max="13593" width="7.21875" style="2" customWidth="1"/>
    <col min="13594" max="13824" width="8.77734375" style="2"/>
    <col min="13825" max="13825" width="4.5546875" style="2" customWidth="1"/>
    <col min="13826" max="13827" width="6.77734375" style="2" customWidth="1"/>
    <col min="13828" max="13828" width="3.21875" style="2" customWidth="1"/>
    <col min="13829" max="13829" width="4.21875" style="2" customWidth="1"/>
    <col min="13830" max="13830" width="5.44140625" style="2" customWidth="1"/>
    <col min="13831" max="13831" width="7.77734375" style="2" customWidth="1"/>
    <col min="13832" max="13832" width="5.21875" style="2" customWidth="1"/>
    <col min="13833" max="13833" width="7" style="2" customWidth="1"/>
    <col min="13834" max="13834" width="5.21875" style="2" customWidth="1"/>
    <col min="13835" max="13835" width="7" style="2" customWidth="1"/>
    <col min="13836" max="13836" width="4.21875" style="2" customWidth="1"/>
    <col min="13837" max="13837" width="6.77734375" style="2" customWidth="1"/>
    <col min="13838" max="13838" width="5.44140625" style="2" customWidth="1"/>
    <col min="13839" max="13839" width="7" style="2" customWidth="1"/>
    <col min="13840" max="13840" width="5.21875" style="2" customWidth="1"/>
    <col min="13841" max="13841" width="4.77734375" style="2" customWidth="1"/>
    <col min="13842" max="13842" width="5.77734375" style="2" customWidth="1"/>
    <col min="13843" max="13843" width="7.44140625" style="2" customWidth="1"/>
    <col min="13844" max="13844" width="4" style="2" customWidth="1"/>
    <col min="13845" max="13845" width="6.44140625" style="2" customWidth="1"/>
    <col min="13846" max="13846" width="5.77734375" style="2" customWidth="1"/>
    <col min="13847" max="13847" width="6.77734375" style="2" customWidth="1"/>
    <col min="13848" max="13848" width="4.21875" style="2" customWidth="1"/>
    <col min="13849" max="13849" width="7.21875" style="2" customWidth="1"/>
    <col min="13850" max="14080" width="8.77734375" style="2"/>
    <col min="14081" max="14081" width="4.5546875" style="2" customWidth="1"/>
    <col min="14082" max="14083" width="6.77734375" style="2" customWidth="1"/>
    <col min="14084" max="14084" width="3.21875" style="2" customWidth="1"/>
    <col min="14085" max="14085" width="4.21875" style="2" customWidth="1"/>
    <col min="14086" max="14086" width="5.44140625" style="2" customWidth="1"/>
    <col min="14087" max="14087" width="7.77734375" style="2" customWidth="1"/>
    <col min="14088" max="14088" width="5.21875" style="2" customWidth="1"/>
    <col min="14089" max="14089" width="7" style="2" customWidth="1"/>
    <col min="14090" max="14090" width="5.21875" style="2" customWidth="1"/>
    <col min="14091" max="14091" width="7" style="2" customWidth="1"/>
    <col min="14092" max="14092" width="4.21875" style="2" customWidth="1"/>
    <col min="14093" max="14093" width="6.77734375" style="2" customWidth="1"/>
    <col min="14094" max="14094" width="5.44140625" style="2" customWidth="1"/>
    <col min="14095" max="14095" width="7" style="2" customWidth="1"/>
    <col min="14096" max="14096" width="5.21875" style="2" customWidth="1"/>
    <col min="14097" max="14097" width="4.77734375" style="2" customWidth="1"/>
    <col min="14098" max="14098" width="5.77734375" style="2" customWidth="1"/>
    <col min="14099" max="14099" width="7.44140625" style="2" customWidth="1"/>
    <col min="14100" max="14100" width="4" style="2" customWidth="1"/>
    <col min="14101" max="14101" width="6.44140625" style="2" customWidth="1"/>
    <col min="14102" max="14102" width="5.77734375" style="2" customWidth="1"/>
    <col min="14103" max="14103" width="6.77734375" style="2" customWidth="1"/>
    <col min="14104" max="14104" width="4.21875" style="2" customWidth="1"/>
    <col min="14105" max="14105" width="7.21875" style="2" customWidth="1"/>
    <col min="14106" max="14336" width="8.77734375" style="2"/>
    <col min="14337" max="14337" width="4.5546875" style="2" customWidth="1"/>
    <col min="14338" max="14339" width="6.77734375" style="2" customWidth="1"/>
    <col min="14340" max="14340" width="3.21875" style="2" customWidth="1"/>
    <col min="14341" max="14341" width="4.21875" style="2" customWidth="1"/>
    <col min="14342" max="14342" width="5.44140625" style="2" customWidth="1"/>
    <col min="14343" max="14343" width="7.77734375" style="2" customWidth="1"/>
    <col min="14344" max="14344" width="5.21875" style="2" customWidth="1"/>
    <col min="14345" max="14345" width="7" style="2" customWidth="1"/>
    <col min="14346" max="14346" width="5.21875" style="2" customWidth="1"/>
    <col min="14347" max="14347" width="7" style="2" customWidth="1"/>
    <col min="14348" max="14348" width="4.21875" style="2" customWidth="1"/>
    <col min="14349" max="14349" width="6.77734375" style="2" customWidth="1"/>
    <col min="14350" max="14350" width="5.44140625" style="2" customWidth="1"/>
    <col min="14351" max="14351" width="7" style="2" customWidth="1"/>
    <col min="14352" max="14352" width="5.21875" style="2" customWidth="1"/>
    <col min="14353" max="14353" width="4.77734375" style="2" customWidth="1"/>
    <col min="14354" max="14354" width="5.77734375" style="2" customWidth="1"/>
    <col min="14355" max="14355" width="7.44140625" style="2" customWidth="1"/>
    <col min="14356" max="14356" width="4" style="2" customWidth="1"/>
    <col min="14357" max="14357" width="6.44140625" style="2" customWidth="1"/>
    <col min="14358" max="14358" width="5.77734375" style="2" customWidth="1"/>
    <col min="14359" max="14359" width="6.77734375" style="2" customWidth="1"/>
    <col min="14360" max="14360" width="4.21875" style="2" customWidth="1"/>
    <col min="14361" max="14361" width="7.21875" style="2" customWidth="1"/>
    <col min="14362" max="14592" width="8.77734375" style="2"/>
    <col min="14593" max="14593" width="4.5546875" style="2" customWidth="1"/>
    <col min="14594" max="14595" width="6.77734375" style="2" customWidth="1"/>
    <col min="14596" max="14596" width="3.21875" style="2" customWidth="1"/>
    <col min="14597" max="14597" width="4.21875" style="2" customWidth="1"/>
    <col min="14598" max="14598" width="5.44140625" style="2" customWidth="1"/>
    <col min="14599" max="14599" width="7.77734375" style="2" customWidth="1"/>
    <col min="14600" max="14600" width="5.21875" style="2" customWidth="1"/>
    <col min="14601" max="14601" width="7" style="2" customWidth="1"/>
    <col min="14602" max="14602" width="5.21875" style="2" customWidth="1"/>
    <col min="14603" max="14603" width="7" style="2" customWidth="1"/>
    <col min="14604" max="14604" width="4.21875" style="2" customWidth="1"/>
    <col min="14605" max="14605" width="6.77734375" style="2" customWidth="1"/>
    <col min="14606" max="14606" width="5.44140625" style="2" customWidth="1"/>
    <col min="14607" max="14607" width="7" style="2" customWidth="1"/>
    <col min="14608" max="14608" width="5.21875" style="2" customWidth="1"/>
    <col min="14609" max="14609" width="4.77734375" style="2" customWidth="1"/>
    <col min="14610" max="14610" width="5.77734375" style="2" customWidth="1"/>
    <col min="14611" max="14611" width="7.44140625" style="2" customWidth="1"/>
    <col min="14612" max="14612" width="4" style="2" customWidth="1"/>
    <col min="14613" max="14613" width="6.44140625" style="2" customWidth="1"/>
    <col min="14614" max="14614" width="5.77734375" style="2" customWidth="1"/>
    <col min="14615" max="14615" width="6.77734375" style="2" customWidth="1"/>
    <col min="14616" max="14616" width="4.21875" style="2" customWidth="1"/>
    <col min="14617" max="14617" width="7.21875" style="2" customWidth="1"/>
    <col min="14618" max="14848" width="8.77734375" style="2"/>
    <col min="14849" max="14849" width="4.5546875" style="2" customWidth="1"/>
    <col min="14850" max="14851" width="6.77734375" style="2" customWidth="1"/>
    <col min="14852" max="14852" width="3.21875" style="2" customWidth="1"/>
    <col min="14853" max="14853" width="4.21875" style="2" customWidth="1"/>
    <col min="14854" max="14854" width="5.44140625" style="2" customWidth="1"/>
    <col min="14855" max="14855" width="7.77734375" style="2" customWidth="1"/>
    <col min="14856" max="14856" width="5.21875" style="2" customWidth="1"/>
    <col min="14857" max="14857" width="7" style="2" customWidth="1"/>
    <col min="14858" max="14858" width="5.21875" style="2" customWidth="1"/>
    <col min="14859" max="14859" width="7" style="2" customWidth="1"/>
    <col min="14860" max="14860" width="4.21875" style="2" customWidth="1"/>
    <col min="14861" max="14861" width="6.77734375" style="2" customWidth="1"/>
    <col min="14862" max="14862" width="5.44140625" style="2" customWidth="1"/>
    <col min="14863" max="14863" width="7" style="2" customWidth="1"/>
    <col min="14864" max="14864" width="5.21875" style="2" customWidth="1"/>
    <col min="14865" max="14865" width="4.77734375" style="2" customWidth="1"/>
    <col min="14866" max="14866" width="5.77734375" style="2" customWidth="1"/>
    <col min="14867" max="14867" width="7.44140625" style="2" customWidth="1"/>
    <col min="14868" max="14868" width="4" style="2" customWidth="1"/>
    <col min="14869" max="14869" width="6.44140625" style="2" customWidth="1"/>
    <col min="14870" max="14870" width="5.77734375" style="2" customWidth="1"/>
    <col min="14871" max="14871" width="6.77734375" style="2" customWidth="1"/>
    <col min="14872" max="14872" width="4.21875" style="2" customWidth="1"/>
    <col min="14873" max="14873" width="7.21875" style="2" customWidth="1"/>
    <col min="14874" max="15104" width="8.77734375" style="2"/>
    <col min="15105" max="15105" width="4.5546875" style="2" customWidth="1"/>
    <col min="15106" max="15107" width="6.77734375" style="2" customWidth="1"/>
    <col min="15108" max="15108" width="3.21875" style="2" customWidth="1"/>
    <col min="15109" max="15109" width="4.21875" style="2" customWidth="1"/>
    <col min="15110" max="15110" width="5.44140625" style="2" customWidth="1"/>
    <col min="15111" max="15111" width="7.77734375" style="2" customWidth="1"/>
    <col min="15112" max="15112" width="5.21875" style="2" customWidth="1"/>
    <col min="15113" max="15113" width="7" style="2" customWidth="1"/>
    <col min="15114" max="15114" width="5.21875" style="2" customWidth="1"/>
    <col min="15115" max="15115" width="7" style="2" customWidth="1"/>
    <col min="15116" max="15116" width="4.21875" style="2" customWidth="1"/>
    <col min="15117" max="15117" width="6.77734375" style="2" customWidth="1"/>
    <col min="15118" max="15118" width="5.44140625" style="2" customWidth="1"/>
    <col min="15119" max="15119" width="7" style="2" customWidth="1"/>
    <col min="15120" max="15120" width="5.21875" style="2" customWidth="1"/>
    <col min="15121" max="15121" width="4.77734375" style="2" customWidth="1"/>
    <col min="15122" max="15122" width="5.77734375" style="2" customWidth="1"/>
    <col min="15123" max="15123" width="7.44140625" style="2" customWidth="1"/>
    <col min="15124" max="15124" width="4" style="2" customWidth="1"/>
    <col min="15125" max="15125" width="6.44140625" style="2" customWidth="1"/>
    <col min="15126" max="15126" width="5.77734375" style="2" customWidth="1"/>
    <col min="15127" max="15127" width="6.77734375" style="2" customWidth="1"/>
    <col min="15128" max="15128" width="4.21875" style="2" customWidth="1"/>
    <col min="15129" max="15129" width="7.21875" style="2" customWidth="1"/>
    <col min="15130" max="15360" width="8.77734375" style="2"/>
    <col min="15361" max="15361" width="4.5546875" style="2" customWidth="1"/>
    <col min="15362" max="15363" width="6.77734375" style="2" customWidth="1"/>
    <col min="15364" max="15364" width="3.21875" style="2" customWidth="1"/>
    <col min="15365" max="15365" width="4.21875" style="2" customWidth="1"/>
    <col min="15366" max="15366" width="5.44140625" style="2" customWidth="1"/>
    <col min="15367" max="15367" width="7.77734375" style="2" customWidth="1"/>
    <col min="15368" max="15368" width="5.21875" style="2" customWidth="1"/>
    <col min="15369" max="15369" width="7" style="2" customWidth="1"/>
    <col min="15370" max="15370" width="5.21875" style="2" customWidth="1"/>
    <col min="15371" max="15371" width="7" style="2" customWidth="1"/>
    <col min="15372" max="15372" width="4.21875" style="2" customWidth="1"/>
    <col min="15373" max="15373" width="6.77734375" style="2" customWidth="1"/>
    <col min="15374" max="15374" width="5.44140625" style="2" customWidth="1"/>
    <col min="15375" max="15375" width="7" style="2" customWidth="1"/>
    <col min="15376" max="15376" width="5.21875" style="2" customWidth="1"/>
    <col min="15377" max="15377" width="4.77734375" style="2" customWidth="1"/>
    <col min="15378" max="15378" width="5.77734375" style="2" customWidth="1"/>
    <col min="15379" max="15379" width="7.44140625" style="2" customWidth="1"/>
    <col min="15380" max="15380" width="4" style="2" customWidth="1"/>
    <col min="15381" max="15381" width="6.44140625" style="2" customWidth="1"/>
    <col min="15382" max="15382" width="5.77734375" style="2" customWidth="1"/>
    <col min="15383" max="15383" width="6.77734375" style="2" customWidth="1"/>
    <col min="15384" max="15384" width="4.21875" style="2" customWidth="1"/>
    <col min="15385" max="15385" width="7.21875" style="2" customWidth="1"/>
    <col min="15386" max="15616" width="8.77734375" style="2"/>
    <col min="15617" max="15617" width="4.5546875" style="2" customWidth="1"/>
    <col min="15618" max="15619" width="6.77734375" style="2" customWidth="1"/>
    <col min="15620" max="15620" width="3.21875" style="2" customWidth="1"/>
    <col min="15621" max="15621" width="4.21875" style="2" customWidth="1"/>
    <col min="15622" max="15622" width="5.44140625" style="2" customWidth="1"/>
    <col min="15623" max="15623" width="7.77734375" style="2" customWidth="1"/>
    <col min="15624" max="15624" width="5.21875" style="2" customWidth="1"/>
    <col min="15625" max="15625" width="7" style="2" customWidth="1"/>
    <col min="15626" max="15626" width="5.21875" style="2" customWidth="1"/>
    <col min="15627" max="15627" width="7" style="2" customWidth="1"/>
    <col min="15628" max="15628" width="4.21875" style="2" customWidth="1"/>
    <col min="15629" max="15629" width="6.77734375" style="2" customWidth="1"/>
    <col min="15630" max="15630" width="5.44140625" style="2" customWidth="1"/>
    <col min="15631" max="15631" width="7" style="2" customWidth="1"/>
    <col min="15632" max="15632" width="5.21875" style="2" customWidth="1"/>
    <col min="15633" max="15633" width="4.77734375" style="2" customWidth="1"/>
    <col min="15634" max="15634" width="5.77734375" style="2" customWidth="1"/>
    <col min="15635" max="15635" width="7.44140625" style="2" customWidth="1"/>
    <col min="15636" max="15636" width="4" style="2" customWidth="1"/>
    <col min="15637" max="15637" width="6.44140625" style="2" customWidth="1"/>
    <col min="15638" max="15638" width="5.77734375" style="2" customWidth="1"/>
    <col min="15639" max="15639" width="6.77734375" style="2" customWidth="1"/>
    <col min="15640" max="15640" width="4.21875" style="2" customWidth="1"/>
    <col min="15641" max="15641" width="7.21875" style="2" customWidth="1"/>
    <col min="15642" max="15872" width="8.77734375" style="2"/>
    <col min="15873" max="15873" width="4.5546875" style="2" customWidth="1"/>
    <col min="15874" max="15875" width="6.77734375" style="2" customWidth="1"/>
    <col min="15876" max="15876" width="3.21875" style="2" customWidth="1"/>
    <col min="15877" max="15877" width="4.21875" style="2" customWidth="1"/>
    <col min="15878" max="15878" width="5.44140625" style="2" customWidth="1"/>
    <col min="15879" max="15879" width="7.77734375" style="2" customWidth="1"/>
    <col min="15880" max="15880" width="5.21875" style="2" customWidth="1"/>
    <col min="15881" max="15881" width="7" style="2" customWidth="1"/>
    <col min="15882" max="15882" width="5.21875" style="2" customWidth="1"/>
    <col min="15883" max="15883" width="7" style="2" customWidth="1"/>
    <col min="15884" max="15884" width="4.21875" style="2" customWidth="1"/>
    <col min="15885" max="15885" width="6.77734375" style="2" customWidth="1"/>
    <col min="15886" max="15886" width="5.44140625" style="2" customWidth="1"/>
    <col min="15887" max="15887" width="7" style="2" customWidth="1"/>
    <col min="15888" max="15888" width="5.21875" style="2" customWidth="1"/>
    <col min="15889" max="15889" width="4.77734375" style="2" customWidth="1"/>
    <col min="15890" max="15890" width="5.77734375" style="2" customWidth="1"/>
    <col min="15891" max="15891" width="7.44140625" style="2" customWidth="1"/>
    <col min="15892" max="15892" width="4" style="2" customWidth="1"/>
    <col min="15893" max="15893" width="6.44140625" style="2" customWidth="1"/>
    <col min="15894" max="15894" width="5.77734375" style="2" customWidth="1"/>
    <col min="15895" max="15895" width="6.77734375" style="2" customWidth="1"/>
    <col min="15896" max="15896" width="4.21875" style="2" customWidth="1"/>
    <col min="15897" max="15897" width="7.21875" style="2" customWidth="1"/>
    <col min="15898" max="16128" width="8.77734375" style="2"/>
    <col min="16129" max="16129" width="4.5546875" style="2" customWidth="1"/>
    <col min="16130" max="16131" width="6.77734375" style="2" customWidth="1"/>
    <col min="16132" max="16132" width="3.21875" style="2" customWidth="1"/>
    <col min="16133" max="16133" width="4.21875" style="2" customWidth="1"/>
    <col min="16134" max="16134" width="5.44140625" style="2" customWidth="1"/>
    <col min="16135" max="16135" width="7.77734375" style="2" customWidth="1"/>
    <col min="16136" max="16136" width="5.21875" style="2" customWidth="1"/>
    <col min="16137" max="16137" width="7" style="2" customWidth="1"/>
    <col min="16138" max="16138" width="5.21875" style="2" customWidth="1"/>
    <col min="16139" max="16139" width="7" style="2" customWidth="1"/>
    <col min="16140" max="16140" width="4.21875" style="2" customWidth="1"/>
    <col min="16141" max="16141" width="6.77734375" style="2" customWidth="1"/>
    <col min="16142" max="16142" width="5.44140625" style="2" customWidth="1"/>
    <col min="16143" max="16143" width="7" style="2" customWidth="1"/>
    <col min="16144" max="16144" width="5.21875" style="2" customWidth="1"/>
    <col min="16145" max="16145" width="4.77734375" style="2" customWidth="1"/>
    <col min="16146" max="16146" width="5.77734375" style="2" customWidth="1"/>
    <col min="16147" max="16147" width="7.44140625" style="2" customWidth="1"/>
    <col min="16148" max="16148" width="4" style="2" customWidth="1"/>
    <col min="16149" max="16149" width="6.44140625" style="2" customWidth="1"/>
    <col min="16150" max="16150" width="5.77734375" style="2" customWidth="1"/>
    <col min="16151" max="16151" width="6.77734375" style="2" customWidth="1"/>
    <col min="16152" max="16152" width="4.21875" style="2" customWidth="1"/>
    <col min="16153" max="16153" width="7.21875" style="2" customWidth="1"/>
    <col min="16154" max="16384" width="8.77734375" style="2"/>
  </cols>
  <sheetData>
    <row r="1" spans="1:28">
      <c r="A1" s="32" t="s">
        <v>103</v>
      </c>
      <c r="B1" s="32"/>
      <c r="C1" s="32"/>
      <c r="D1" s="32"/>
      <c r="E1" s="32" t="s">
        <v>104</v>
      </c>
      <c r="F1" s="32"/>
      <c r="G1" s="32"/>
      <c r="H1" s="32"/>
      <c r="I1" s="32" t="s">
        <v>105</v>
      </c>
      <c r="J1" s="32"/>
      <c r="K1" s="32"/>
      <c r="L1" s="32"/>
      <c r="M1" s="32" t="s">
        <v>106</v>
      </c>
      <c r="N1" s="32"/>
      <c r="O1" s="32"/>
      <c r="P1" s="32"/>
      <c r="Q1" s="32" t="s">
        <v>75</v>
      </c>
      <c r="R1" s="32"/>
      <c r="S1" s="32"/>
      <c r="T1" s="32"/>
      <c r="U1" s="32" t="s">
        <v>34</v>
      </c>
      <c r="V1" s="32"/>
      <c r="W1" s="32"/>
      <c r="X1" s="32"/>
      <c r="Y1" s="32" t="s">
        <v>107</v>
      </c>
      <c r="Z1" s="32"/>
      <c r="AA1" s="32"/>
      <c r="AB1" s="32"/>
    </row>
    <row r="2" spans="1:28">
      <c r="A2" s="58" t="s">
        <v>108</v>
      </c>
      <c r="B2" s="58" t="s">
        <v>109</v>
      </c>
      <c r="C2" s="58" t="s">
        <v>110</v>
      </c>
      <c r="D2" s="32"/>
      <c r="E2" s="58" t="s">
        <v>108</v>
      </c>
      <c r="F2" s="58" t="s">
        <v>109</v>
      </c>
      <c r="G2" s="58" t="s">
        <v>110</v>
      </c>
      <c r="H2" s="32"/>
      <c r="I2" s="58" t="s">
        <v>108</v>
      </c>
      <c r="J2" s="58" t="s">
        <v>109</v>
      </c>
      <c r="K2" s="58" t="s">
        <v>110</v>
      </c>
      <c r="L2" s="32"/>
      <c r="M2" s="58" t="s">
        <v>108</v>
      </c>
      <c r="N2" s="58" t="s">
        <v>109</v>
      </c>
      <c r="O2" s="58" t="s">
        <v>110</v>
      </c>
      <c r="P2" s="58"/>
      <c r="Q2" s="58" t="s">
        <v>108</v>
      </c>
      <c r="R2" s="58" t="s">
        <v>109</v>
      </c>
      <c r="S2" s="58" t="s">
        <v>110</v>
      </c>
      <c r="T2" s="32"/>
      <c r="U2" s="58" t="s">
        <v>108</v>
      </c>
      <c r="V2" s="58" t="s">
        <v>109</v>
      </c>
      <c r="W2" s="58" t="s">
        <v>110</v>
      </c>
      <c r="X2" s="32"/>
      <c r="Y2" s="58" t="s">
        <v>111</v>
      </c>
      <c r="Z2" s="58" t="s">
        <v>112</v>
      </c>
      <c r="AA2" s="58" t="s">
        <v>110</v>
      </c>
      <c r="AB2" s="32"/>
    </row>
    <row r="3" spans="1:28">
      <c r="A3" s="59">
        <v>0</v>
      </c>
      <c r="B3" s="59">
        <v>0</v>
      </c>
      <c r="C3" s="59">
        <v>0</v>
      </c>
      <c r="D3" s="32"/>
      <c r="E3" s="59">
        <v>0</v>
      </c>
      <c r="F3" s="59">
        <v>0</v>
      </c>
      <c r="G3" s="59">
        <v>0</v>
      </c>
      <c r="H3" s="32"/>
      <c r="I3" s="59">
        <v>0</v>
      </c>
      <c r="J3" s="59">
        <v>0</v>
      </c>
      <c r="K3" s="59">
        <v>0</v>
      </c>
      <c r="L3" s="32"/>
      <c r="M3" s="59">
        <v>0</v>
      </c>
      <c r="N3" s="59">
        <v>0</v>
      </c>
      <c r="O3" s="59">
        <v>0</v>
      </c>
      <c r="P3" s="58"/>
      <c r="Q3" s="59">
        <v>0</v>
      </c>
      <c r="R3" s="59">
        <v>0</v>
      </c>
      <c r="S3" s="59">
        <v>0</v>
      </c>
      <c r="T3" s="32"/>
      <c r="U3" s="59">
        <v>0</v>
      </c>
      <c r="V3" s="59">
        <v>0</v>
      </c>
      <c r="W3" s="59">
        <v>0</v>
      </c>
      <c r="X3" s="32"/>
      <c r="Y3" s="59">
        <v>8</v>
      </c>
      <c r="Z3" s="59">
        <v>16</v>
      </c>
      <c r="AA3" s="59">
        <v>0</v>
      </c>
      <c r="AB3" s="32"/>
    </row>
    <row r="4" spans="1:28">
      <c r="A4" s="32">
        <v>1</v>
      </c>
      <c r="B4" s="32">
        <v>0</v>
      </c>
      <c r="C4" s="32">
        <v>0</v>
      </c>
      <c r="D4" s="32"/>
      <c r="E4" s="32">
        <v>1</v>
      </c>
      <c r="F4" s="32">
        <v>12</v>
      </c>
      <c r="G4" s="32">
        <v>1</v>
      </c>
      <c r="H4" s="32"/>
      <c r="I4" s="32">
        <v>1</v>
      </c>
      <c r="J4" s="32">
        <v>12</v>
      </c>
      <c r="K4" s="32">
        <v>1</v>
      </c>
      <c r="L4" s="32"/>
      <c r="M4" s="32">
        <v>1</v>
      </c>
      <c r="N4" s="32">
        <v>12</v>
      </c>
      <c r="O4" s="32">
        <v>1</v>
      </c>
      <c r="P4" s="32"/>
      <c r="Q4" s="32">
        <v>1</v>
      </c>
      <c r="R4" s="32">
        <v>12</v>
      </c>
      <c r="S4" s="32">
        <v>0</v>
      </c>
      <c r="T4" s="32"/>
      <c r="U4" s="32">
        <v>1</v>
      </c>
      <c r="V4" s="32">
        <v>14.5</v>
      </c>
      <c r="W4" s="32">
        <v>0.25</v>
      </c>
      <c r="X4" s="32"/>
      <c r="Y4" s="32">
        <v>9</v>
      </c>
      <c r="Z4" s="32">
        <v>14</v>
      </c>
      <c r="AA4" s="32">
        <v>0</v>
      </c>
      <c r="AB4" s="32"/>
    </row>
    <row r="5" spans="1:28">
      <c r="A5" s="32">
        <v>8</v>
      </c>
      <c r="B5" s="32">
        <v>40</v>
      </c>
      <c r="C5" s="32">
        <v>0.5</v>
      </c>
      <c r="D5" s="32"/>
      <c r="E5" s="32">
        <v>16.600000000000001</v>
      </c>
      <c r="F5" s="32">
        <v>12</v>
      </c>
      <c r="G5" s="32">
        <v>1.4</v>
      </c>
      <c r="H5" s="32"/>
      <c r="I5" s="32">
        <v>16.600000000000001</v>
      </c>
      <c r="J5" s="32">
        <v>12</v>
      </c>
      <c r="K5" s="32">
        <v>1.4</v>
      </c>
      <c r="L5" s="32"/>
      <c r="M5" s="32">
        <v>17</v>
      </c>
      <c r="N5" s="32">
        <v>12</v>
      </c>
      <c r="O5" s="32">
        <v>1.4</v>
      </c>
      <c r="P5" s="32"/>
      <c r="Q5" s="32">
        <v>100</v>
      </c>
      <c r="R5" s="32">
        <v>12</v>
      </c>
      <c r="S5" s="32">
        <v>9</v>
      </c>
      <c r="T5" s="32"/>
      <c r="U5" s="32">
        <v>4</v>
      </c>
      <c r="V5" s="32">
        <v>14.5</v>
      </c>
      <c r="W5" s="32">
        <v>0.5</v>
      </c>
      <c r="X5" s="32"/>
      <c r="Y5" s="32">
        <v>12</v>
      </c>
      <c r="Z5" s="32">
        <v>0</v>
      </c>
      <c r="AA5" s="32">
        <v>8</v>
      </c>
      <c r="AB5" s="32"/>
    </row>
    <row r="6" spans="1:28">
      <c r="A6" s="32">
        <v>16</v>
      </c>
      <c r="B6" s="32">
        <v>40</v>
      </c>
      <c r="C6" s="32">
        <v>0.6</v>
      </c>
      <c r="D6" s="32"/>
      <c r="E6" s="32">
        <v>33.6</v>
      </c>
      <c r="F6" s="32">
        <v>13</v>
      </c>
      <c r="G6" s="32">
        <v>2.8</v>
      </c>
      <c r="H6" s="32"/>
      <c r="I6" s="32">
        <v>33.6</v>
      </c>
      <c r="J6" s="32">
        <v>13</v>
      </c>
      <c r="K6" s="32">
        <v>2.8</v>
      </c>
      <c r="L6" s="32"/>
      <c r="M6" s="32">
        <v>34</v>
      </c>
      <c r="N6" s="32">
        <v>13</v>
      </c>
      <c r="O6" s="32">
        <v>2.8</v>
      </c>
      <c r="P6" s="32"/>
      <c r="Q6" s="32">
        <v>200</v>
      </c>
      <c r="R6" s="32">
        <v>13.5</v>
      </c>
      <c r="S6" s="32">
        <v>17</v>
      </c>
      <c r="T6" s="32"/>
      <c r="U6" s="32">
        <v>8</v>
      </c>
      <c r="V6" s="32">
        <v>14.5</v>
      </c>
      <c r="W6" s="32">
        <v>0.75</v>
      </c>
      <c r="X6" s="32"/>
      <c r="Y6" s="32"/>
      <c r="Z6" s="32"/>
      <c r="AA6" s="32"/>
      <c r="AB6" s="32"/>
    </row>
    <row r="7" spans="1:28">
      <c r="A7" s="32">
        <v>21</v>
      </c>
      <c r="B7" s="32">
        <v>40</v>
      </c>
      <c r="C7" s="32">
        <v>0.75</v>
      </c>
      <c r="D7" s="32"/>
      <c r="E7" s="32">
        <v>51.7</v>
      </c>
      <c r="F7" s="32">
        <v>15</v>
      </c>
      <c r="G7" s="32">
        <v>4</v>
      </c>
      <c r="H7" s="32"/>
      <c r="I7" s="32">
        <v>51.7</v>
      </c>
      <c r="J7" s="32">
        <v>15</v>
      </c>
      <c r="K7" s="32">
        <v>4</v>
      </c>
      <c r="L7" s="32"/>
      <c r="M7" s="32">
        <v>52</v>
      </c>
      <c r="N7" s="32">
        <v>15</v>
      </c>
      <c r="O7" s="32">
        <v>4</v>
      </c>
      <c r="P7" s="32"/>
      <c r="Q7" s="32">
        <v>300</v>
      </c>
      <c r="R7" s="32">
        <v>14.5</v>
      </c>
      <c r="S7" s="32">
        <v>22</v>
      </c>
      <c r="T7" s="32"/>
      <c r="U7" s="32">
        <v>12</v>
      </c>
      <c r="V7" s="32">
        <v>14.5</v>
      </c>
      <c r="W7" s="32">
        <v>1</v>
      </c>
      <c r="X7" s="32"/>
      <c r="Y7" s="32"/>
      <c r="Z7" s="32"/>
      <c r="AA7" s="32"/>
      <c r="AB7" s="32"/>
    </row>
    <row r="8" spans="1:28">
      <c r="A8" s="32">
        <v>26</v>
      </c>
      <c r="B8" s="32">
        <v>40</v>
      </c>
      <c r="C8" s="32">
        <v>0.85</v>
      </c>
      <c r="D8" s="32"/>
      <c r="E8" s="32">
        <v>71.099999999999994</v>
      </c>
      <c r="F8" s="32">
        <v>16</v>
      </c>
      <c r="G8" s="32">
        <v>4.7</v>
      </c>
      <c r="H8" s="32"/>
      <c r="I8" s="32">
        <v>71.099999999999994</v>
      </c>
      <c r="J8" s="32">
        <v>16</v>
      </c>
      <c r="K8" s="32">
        <v>4.7</v>
      </c>
      <c r="L8" s="32"/>
      <c r="M8" s="32">
        <v>71</v>
      </c>
      <c r="N8" s="32">
        <v>16</v>
      </c>
      <c r="O8" s="32">
        <v>4.7</v>
      </c>
      <c r="P8" s="32"/>
      <c r="Q8" s="32">
        <v>400</v>
      </c>
      <c r="R8" s="32">
        <v>16</v>
      </c>
      <c r="S8" s="32">
        <v>28</v>
      </c>
      <c r="T8" s="32"/>
      <c r="U8" s="32">
        <v>14</v>
      </c>
      <c r="V8" s="32">
        <v>14.5</v>
      </c>
      <c r="W8" s="32">
        <v>1</v>
      </c>
      <c r="X8" s="32"/>
      <c r="Y8" s="32"/>
      <c r="Z8" s="32"/>
      <c r="AA8" s="32"/>
      <c r="AB8" s="32"/>
    </row>
    <row r="9" spans="1:28">
      <c r="A9" s="32">
        <v>31</v>
      </c>
      <c r="B9" s="32">
        <v>40</v>
      </c>
      <c r="C9" s="32">
        <v>1</v>
      </c>
      <c r="D9" s="32"/>
      <c r="E9" s="32">
        <v>110</v>
      </c>
      <c r="F9" s="32">
        <v>19</v>
      </c>
      <c r="G9" s="32">
        <v>6.8</v>
      </c>
      <c r="H9" s="32"/>
      <c r="I9" s="32">
        <v>110</v>
      </c>
      <c r="J9" s="32">
        <v>19</v>
      </c>
      <c r="K9" s="32">
        <v>6.8</v>
      </c>
      <c r="L9" s="32"/>
      <c r="M9" s="32">
        <v>110</v>
      </c>
      <c r="N9" s="32">
        <v>19</v>
      </c>
      <c r="O9" s="32">
        <v>6.8</v>
      </c>
      <c r="P9" s="32"/>
      <c r="Q9" s="32">
        <v>750</v>
      </c>
      <c r="R9" s="32">
        <v>18.5</v>
      </c>
      <c r="S9" s="32">
        <v>47</v>
      </c>
      <c r="T9" s="32"/>
      <c r="U9" s="32"/>
      <c r="V9" s="32"/>
      <c r="W9" s="32"/>
      <c r="X9" s="32"/>
      <c r="Y9" s="32"/>
      <c r="Z9" s="32"/>
      <c r="AA9" s="32"/>
      <c r="AB9" s="32"/>
    </row>
    <row r="10" spans="1:28">
      <c r="A10" s="32">
        <v>41</v>
      </c>
      <c r="B10" s="32">
        <v>40</v>
      </c>
      <c r="C10" s="32">
        <v>1</v>
      </c>
      <c r="D10" s="32"/>
      <c r="E10" s="32">
        <v>160</v>
      </c>
      <c r="F10" s="32">
        <v>20</v>
      </c>
      <c r="G10" s="32">
        <v>8.4</v>
      </c>
      <c r="H10" s="32"/>
      <c r="I10" s="32">
        <v>160</v>
      </c>
      <c r="J10" s="32">
        <v>20</v>
      </c>
      <c r="K10" s="32">
        <v>8.4</v>
      </c>
      <c r="L10" s="32"/>
      <c r="M10" s="32">
        <v>160</v>
      </c>
      <c r="N10" s="32">
        <v>20</v>
      </c>
      <c r="O10" s="32">
        <v>8.4</v>
      </c>
      <c r="P10" s="32"/>
      <c r="Q10" s="32"/>
      <c r="R10" s="32"/>
      <c r="S10" s="32"/>
      <c r="T10" s="32"/>
      <c r="U10" s="32"/>
      <c r="V10" s="32"/>
      <c r="W10" s="32"/>
      <c r="X10" s="32"/>
      <c r="Y10" s="32"/>
      <c r="Z10" s="32"/>
      <c r="AA10" s="32"/>
      <c r="AB10" s="32"/>
    </row>
    <row r="11" spans="1:28">
      <c r="A11" s="32"/>
      <c r="B11" s="32"/>
      <c r="C11" s="32"/>
      <c r="D11" s="32"/>
      <c r="E11" s="32">
        <v>300</v>
      </c>
      <c r="F11" s="32">
        <v>20</v>
      </c>
      <c r="G11" s="32">
        <v>15</v>
      </c>
      <c r="H11" s="32"/>
      <c r="I11" s="32">
        <v>300</v>
      </c>
      <c r="J11" s="32">
        <v>23</v>
      </c>
      <c r="K11" s="32">
        <v>15</v>
      </c>
      <c r="L11" s="32"/>
      <c r="M11" s="32">
        <v>300</v>
      </c>
      <c r="N11" s="32">
        <v>23</v>
      </c>
      <c r="O11" s="32">
        <v>15</v>
      </c>
      <c r="P11" s="32"/>
      <c r="Q11" s="32"/>
      <c r="R11" s="32"/>
      <c r="S11" s="32"/>
      <c r="T11" s="32"/>
      <c r="U11" s="32"/>
      <c r="V11" s="32"/>
      <c r="W11" s="32"/>
      <c r="X11" s="32"/>
      <c r="Y11" s="32"/>
      <c r="Z11" s="32"/>
      <c r="AA11" s="32"/>
      <c r="AB11" s="32"/>
    </row>
    <row r="12" spans="1:28">
      <c r="A12" s="32"/>
      <c r="B12" s="32"/>
      <c r="C12" s="32"/>
      <c r="D12" s="32"/>
      <c r="E12" s="32"/>
      <c r="F12" s="32"/>
      <c r="G12" s="32"/>
      <c r="H12" s="32"/>
      <c r="I12" s="32"/>
      <c r="J12" s="32"/>
      <c r="K12" s="32"/>
      <c r="L12" s="32"/>
      <c r="M12" s="32"/>
      <c r="N12" s="32"/>
      <c r="O12" s="32"/>
      <c r="P12" s="32"/>
      <c r="Q12" s="32"/>
      <c r="R12" s="32"/>
      <c r="S12" s="32"/>
      <c r="T12" s="32"/>
      <c r="U12" s="32"/>
      <c r="V12" s="32"/>
      <c r="W12" s="32"/>
      <c r="X12" s="32"/>
      <c r="Y12" s="32"/>
      <c r="Z12" s="32"/>
      <c r="AA12" s="32"/>
      <c r="AB12" s="32"/>
    </row>
  </sheetData>
  <sheetProtection password="CDD6" sheet="1" objects="1" scenarios="1"/>
  <pageMargins left="0.75" right="0.75" top="1" bottom="1" header="0.5" footer="0.5"/>
  <pageSetup orientation="portrait" r:id="rId1"/>
  <headerFooter alignWithMargins="0">
    <oddFooter>&amp;L&amp;F</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pageSetUpPr fitToPage="1"/>
  </sheetPr>
  <dimension ref="A1:AD193"/>
  <sheetViews>
    <sheetView topLeftCell="M141" workbookViewId="0">
      <selection activeCell="G22" sqref="G22:AA185"/>
    </sheetView>
  </sheetViews>
  <sheetFormatPr defaultColWidth="15.21875" defaultRowHeight="15" customHeight="1"/>
  <cols>
    <col min="1" max="1" width="21.77734375" style="201" customWidth="1"/>
    <col min="2" max="2" width="17.5546875" style="201" customWidth="1"/>
    <col min="3" max="3" width="28.5546875" style="201" customWidth="1"/>
    <col min="4" max="4" width="12.77734375" style="201" bestFit="1" customWidth="1"/>
    <col min="5" max="5" width="16.5546875" style="201" bestFit="1" customWidth="1"/>
    <col min="6" max="8" width="12.44140625" style="201" bestFit="1" customWidth="1"/>
    <col min="9" max="9" width="3.77734375" style="201" customWidth="1"/>
    <col min="10" max="10" width="19.21875" style="201" customWidth="1"/>
    <col min="11" max="11" width="15.21875" style="201"/>
    <col min="12" max="12" width="18.77734375" style="201" bestFit="1" customWidth="1"/>
    <col min="13" max="13" width="15.21875" style="201"/>
    <col min="14" max="14" width="28.44140625" style="201" customWidth="1"/>
    <col min="15" max="15" width="15.21875" style="201"/>
    <col min="16" max="16" width="16.5546875" style="201" bestFit="1" customWidth="1"/>
    <col min="17" max="19" width="15.21875" style="201"/>
    <col min="20" max="20" width="13.21875" style="201" customWidth="1"/>
    <col min="21" max="21" width="19.21875" style="201" customWidth="1"/>
    <col min="22" max="26" width="15.21875" style="201"/>
    <col min="27" max="27" width="16.5546875" style="201" bestFit="1" customWidth="1"/>
    <col min="28" max="28" width="11" style="201" bestFit="1" customWidth="1"/>
    <col min="29" max="29" width="16.5546875" style="201" bestFit="1" customWidth="1"/>
    <col min="30" max="16384" width="15.21875" style="201"/>
  </cols>
  <sheetData>
    <row r="1" spans="1:30" ht="14.4">
      <c r="A1" s="201" t="s">
        <v>321</v>
      </c>
      <c r="J1" s="1212" t="s">
        <v>319</v>
      </c>
      <c r="K1" s="1212"/>
      <c r="L1" s="1212"/>
      <c r="U1" s="1212" t="s">
        <v>320</v>
      </c>
      <c r="V1" s="1212"/>
      <c r="W1" s="1212"/>
    </row>
    <row r="2" spans="1:30" ht="14.4">
      <c r="A2" s="232" t="s">
        <v>329</v>
      </c>
      <c r="B2" s="202"/>
      <c r="C2" s="1206" t="s">
        <v>276</v>
      </c>
      <c r="D2" s="1207"/>
      <c r="E2" s="1208" t="s">
        <v>325</v>
      </c>
      <c r="F2" s="1209"/>
      <c r="G2" s="1209"/>
      <c r="H2" s="1210"/>
      <c r="J2" s="1213" t="s">
        <v>274</v>
      </c>
      <c r="K2" s="1214"/>
      <c r="L2" s="203" t="s">
        <v>275</v>
      </c>
      <c r="M2" s="202"/>
      <c r="N2" s="1206" t="s">
        <v>276</v>
      </c>
      <c r="O2" s="1207"/>
      <c r="P2" s="1208" t="s">
        <v>325</v>
      </c>
      <c r="Q2" s="1209"/>
      <c r="R2" s="1209"/>
      <c r="S2" s="1210"/>
      <c r="U2" s="232" t="s">
        <v>274</v>
      </c>
      <c r="V2" s="202"/>
      <c r="W2" s="203" t="s">
        <v>275</v>
      </c>
      <c r="X2" s="202"/>
      <c r="Y2" s="1206" t="s">
        <v>276</v>
      </c>
      <c r="Z2" s="1211"/>
      <c r="AA2" s="1208" t="s">
        <v>325</v>
      </c>
      <c r="AB2" s="1209"/>
      <c r="AC2" s="1209"/>
      <c r="AD2" s="1210"/>
    </row>
    <row r="3" spans="1:30" ht="14.4">
      <c r="A3" s="204" t="s">
        <v>419</v>
      </c>
      <c r="B3" s="211">
        <f>+'Master Budget Sheet'!BG11</f>
        <v>0.65</v>
      </c>
      <c r="C3" s="235" t="s">
        <v>323</v>
      </c>
      <c r="D3" s="236"/>
      <c r="E3" s="237" t="s">
        <v>324</v>
      </c>
      <c r="F3" s="237" t="s">
        <v>326</v>
      </c>
      <c r="G3" s="238" t="s">
        <v>327</v>
      </c>
      <c r="H3" s="239" t="s">
        <v>196</v>
      </c>
      <c r="J3" s="204" t="s">
        <v>322</v>
      </c>
      <c r="K3" s="211">
        <f>+B3</f>
        <v>0.65</v>
      </c>
      <c r="L3" s="235"/>
      <c r="M3" s="234"/>
      <c r="N3" s="235" t="s">
        <v>323</v>
      </c>
      <c r="O3" s="236"/>
      <c r="P3" s="237" t="s">
        <v>324</v>
      </c>
      <c r="Q3" s="237" t="s">
        <v>326</v>
      </c>
      <c r="R3" s="238" t="s">
        <v>327</v>
      </c>
      <c r="S3" s="239" t="s">
        <v>196</v>
      </c>
      <c r="U3" s="204" t="s">
        <v>322</v>
      </c>
      <c r="V3" s="211">
        <f>100%-K3</f>
        <v>0.35</v>
      </c>
      <c r="W3" s="235"/>
      <c r="X3" s="234"/>
      <c r="Y3" s="235" t="s">
        <v>323</v>
      </c>
      <c r="Z3" s="231"/>
      <c r="AA3" s="237" t="s">
        <v>324</v>
      </c>
      <c r="AB3" s="237" t="s">
        <v>326</v>
      </c>
      <c r="AC3" s="238" t="s">
        <v>327</v>
      </c>
      <c r="AD3" s="239" t="s">
        <v>196</v>
      </c>
    </row>
    <row r="4" spans="1:30" ht="14.4">
      <c r="A4" s="204" t="s">
        <v>277</v>
      </c>
      <c r="B4" s="205">
        <f>+'Master Budget Sheet'!BG10</f>
        <v>7000000</v>
      </c>
      <c r="C4" s="208" t="s">
        <v>279</v>
      </c>
      <c r="D4" s="209">
        <f>+O4+Z4</f>
        <v>36908.55493678349</v>
      </c>
      <c r="E4" s="210">
        <v>1</v>
      </c>
      <c r="F4" s="240">
        <f t="shared" ref="F4:F9" si="0">+Q4+AB4</f>
        <v>167628.70006312197</v>
      </c>
      <c r="G4" s="240">
        <f t="shared" ref="G4:G9" si="1">+R4+AC4</f>
        <v>275273.95917827991</v>
      </c>
      <c r="H4" s="240">
        <f t="shared" ref="H4:H9" si="2">+G4+F4</f>
        <v>442902.65924140188</v>
      </c>
      <c r="J4" s="204" t="s">
        <v>277</v>
      </c>
      <c r="K4" s="205">
        <f>+B4*K3</f>
        <v>4550000</v>
      </c>
      <c r="L4" s="206" t="s">
        <v>278</v>
      </c>
      <c r="M4" s="207">
        <f>-PMT(K6,K10*12,K4)</f>
        <v>25290.377747270501</v>
      </c>
      <c r="N4" s="208" t="s">
        <v>279</v>
      </c>
      <c r="O4" s="209">
        <f>M4</f>
        <v>25290.377747270501</v>
      </c>
      <c r="P4" s="210">
        <v>1</v>
      </c>
      <c r="Q4" s="240">
        <f t="shared" ref="Q4:Q9" si="3">SUMIF($R$14:$R$193,P4,$N$14:$N$193)</f>
        <v>100796.60377732663</v>
      </c>
      <c r="R4" s="240">
        <f t="shared" ref="R4:R9" si="4">SUMIF($R$14:$R$193,$P4,$O$14:$O$193)</f>
        <v>202687.92918991935</v>
      </c>
      <c r="S4" s="240">
        <f t="shared" ref="S4:S9" si="5">+R4+Q4</f>
        <v>303484.53296724596</v>
      </c>
      <c r="U4" s="204" t="s">
        <v>277</v>
      </c>
      <c r="V4" s="205">
        <f>+B4*V3</f>
        <v>2450000</v>
      </c>
      <c r="W4" s="206" t="s">
        <v>278</v>
      </c>
      <c r="X4" s="207">
        <f>-PMT(V6,V10*12,V4)</f>
        <v>11618.17718951299</v>
      </c>
      <c r="Y4" s="208" t="s">
        <v>279</v>
      </c>
      <c r="Z4" s="209">
        <f>X4</f>
        <v>11618.17718951299</v>
      </c>
      <c r="AA4" s="210">
        <v>1</v>
      </c>
      <c r="AB4" s="240">
        <f t="shared" ref="AB4:AB9" si="6">SUMIF($AC$14:$AC$193,$AA4,$Y$14:$Y$193)</f>
        <v>66832.096285795327</v>
      </c>
      <c r="AC4" s="240">
        <f t="shared" ref="AC4:AC9" si="7">SUMIF($AC$14:$AC$193,$AA4,$Z$14:$Z$193)</f>
        <v>72586.029988360548</v>
      </c>
      <c r="AD4" s="240">
        <f t="shared" ref="AD4:AD9" si="8">+AC4+AB4</f>
        <v>139418.12627415586</v>
      </c>
    </row>
    <row r="5" spans="1:30" ht="14.4">
      <c r="A5" s="204" t="s">
        <v>328</v>
      </c>
      <c r="B5" s="211">
        <f>+K5*K3+V5*V3</f>
        <v>3.9749999999999994E-2</v>
      </c>
      <c r="C5" s="208" t="s">
        <v>282</v>
      </c>
      <c r="D5" s="209">
        <f>+O5+Z5</f>
        <v>442902.65924140188</v>
      </c>
      <c r="E5" s="210">
        <v>2</v>
      </c>
      <c r="F5" s="241">
        <f t="shared" si="0"/>
        <v>174292.04056640615</v>
      </c>
      <c r="G5" s="241">
        <f t="shared" si="1"/>
        <v>268610.61867499579</v>
      </c>
      <c r="H5" s="241">
        <f t="shared" si="2"/>
        <v>442902.65924140194</v>
      </c>
      <c r="J5" s="204" t="s">
        <v>280</v>
      </c>
      <c r="K5" s="211">
        <f>+'Master Budget Sheet'!BG12</f>
        <v>4.4999999999999998E-2</v>
      </c>
      <c r="L5" s="206" t="s">
        <v>281</v>
      </c>
      <c r="M5" s="212">
        <v>60</v>
      </c>
      <c r="N5" s="208" t="s">
        <v>282</v>
      </c>
      <c r="O5" s="209">
        <f>O4*12</f>
        <v>303484.53296724602</v>
      </c>
      <c r="P5" s="210">
        <v>2</v>
      </c>
      <c r="Q5" s="241">
        <f t="shared" si="3"/>
        <v>105427.1821195427</v>
      </c>
      <c r="R5" s="241">
        <f t="shared" si="4"/>
        <v>198057.35084770335</v>
      </c>
      <c r="S5" s="241">
        <f t="shared" si="5"/>
        <v>303484.53296724602</v>
      </c>
      <c r="U5" s="204" t="s">
        <v>280</v>
      </c>
      <c r="V5" s="211">
        <f>+'Master Budget Sheet'!BG14</f>
        <v>0.03</v>
      </c>
      <c r="W5" s="206" t="s">
        <v>281</v>
      </c>
      <c r="X5" s="212">
        <v>60</v>
      </c>
      <c r="Y5" s="208" t="s">
        <v>282</v>
      </c>
      <c r="Z5" s="209">
        <f>Z4*12</f>
        <v>139418.12627415586</v>
      </c>
      <c r="AA5" s="210">
        <v>2</v>
      </c>
      <c r="AB5" s="241">
        <f t="shared" si="6"/>
        <v>68864.858446863451</v>
      </c>
      <c r="AC5" s="241">
        <f t="shared" si="7"/>
        <v>70553.267827292424</v>
      </c>
      <c r="AD5" s="241">
        <f t="shared" si="8"/>
        <v>139418.12627415586</v>
      </c>
    </row>
    <row r="6" spans="1:30" ht="14.4">
      <c r="A6" s="204" t="s">
        <v>283</v>
      </c>
      <c r="B6" s="211">
        <f>B5/12</f>
        <v>3.3124999999999995E-3</v>
      </c>
      <c r="C6" s="208" t="s">
        <v>285</v>
      </c>
      <c r="D6" s="209">
        <f>+O6+Z6</f>
        <v>1306932.0547751503</v>
      </c>
      <c r="E6" s="210">
        <v>3</v>
      </c>
      <c r="F6" s="241">
        <f t="shared" si="0"/>
        <v>181229.937434875</v>
      </c>
      <c r="G6" s="241">
        <f t="shared" si="1"/>
        <v>261672.72180652682</v>
      </c>
      <c r="H6" s="241">
        <f t="shared" si="2"/>
        <v>442902.65924140182</v>
      </c>
      <c r="J6" s="204" t="s">
        <v>283</v>
      </c>
      <c r="K6" s="211">
        <f>K5/12</f>
        <v>3.7499999999999999E-3</v>
      </c>
      <c r="L6" s="206" t="s">
        <v>284</v>
      </c>
      <c r="M6" s="212">
        <v>300</v>
      </c>
      <c r="N6" s="208" t="s">
        <v>285</v>
      </c>
      <c r="O6" s="209">
        <f>SUM(O14:O73)</f>
        <v>964957.27055714477</v>
      </c>
      <c r="P6" s="210">
        <v>3</v>
      </c>
      <c r="Q6" s="241">
        <f t="shared" si="3"/>
        <v>110270.48842063699</v>
      </c>
      <c r="R6" s="241">
        <f t="shared" si="4"/>
        <v>193214.04454660899</v>
      </c>
      <c r="S6" s="241">
        <f t="shared" si="5"/>
        <v>303484.53296724596</v>
      </c>
      <c r="U6" s="204" t="s">
        <v>283</v>
      </c>
      <c r="V6" s="211">
        <f>V5/12</f>
        <v>2.5000000000000001E-3</v>
      </c>
      <c r="W6" s="206" t="s">
        <v>284</v>
      </c>
      <c r="X6" s="212">
        <v>300</v>
      </c>
      <c r="Y6" s="208" t="s">
        <v>285</v>
      </c>
      <c r="Z6" s="209">
        <f>SUM(Z14:Z73)</f>
        <v>341974.78421800543</v>
      </c>
      <c r="AA6" s="210">
        <v>3</v>
      </c>
      <c r="AB6" s="241">
        <f t="shared" si="6"/>
        <v>70959.449014238024</v>
      </c>
      <c r="AC6" s="241">
        <f t="shared" si="7"/>
        <v>68458.677259917851</v>
      </c>
      <c r="AD6" s="241">
        <f t="shared" si="8"/>
        <v>139418.12627415586</v>
      </c>
    </row>
    <row r="7" spans="1:30" ht="14.4">
      <c r="A7" s="204" t="s">
        <v>286</v>
      </c>
      <c r="B7" s="213">
        <v>5</v>
      </c>
      <c r="C7" s="208" t="s">
        <v>318</v>
      </c>
      <c r="D7" s="209">
        <f>+O7+Z7</f>
        <v>6092418.7585681444</v>
      </c>
      <c r="E7" s="210">
        <v>4</v>
      </c>
      <c r="F7" s="241">
        <f t="shared" si="0"/>
        <v>188454.0439238828</v>
      </c>
      <c r="G7" s="241">
        <f t="shared" si="1"/>
        <v>254448.61531751908</v>
      </c>
      <c r="H7" s="241">
        <f t="shared" si="2"/>
        <v>442902.65924140188</v>
      </c>
      <c r="J7" s="204" t="s">
        <v>286</v>
      </c>
      <c r="K7" s="213">
        <v>5</v>
      </c>
      <c r="L7" s="206" t="s">
        <v>287</v>
      </c>
      <c r="M7" s="214">
        <v>44454</v>
      </c>
      <c r="N7" s="208" t="s">
        <v>318</v>
      </c>
      <c r="O7" s="209">
        <f>P73</f>
        <v>3997534.6057209182</v>
      </c>
      <c r="P7" s="210">
        <v>4</v>
      </c>
      <c r="Q7" s="241">
        <f t="shared" si="3"/>
        <v>115336.2953658215</v>
      </c>
      <c r="R7" s="241">
        <f t="shared" si="4"/>
        <v>188148.23760142451</v>
      </c>
      <c r="S7" s="241">
        <f t="shared" si="5"/>
        <v>303484.53296724602</v>
      </c>
      <c r="U7" s="204" t="s">
        <v>286</v>
      </c>
      <c r="V7" s="213">
        <v>5</v>
      </c>
      <c r="W7" s="206" t="s">
        <v>287</v>
      </c>
      <c r="X7" s="214">
        <f>+M7</f>
        <v>44454</v>
      </c>
      <c r="Y7" s="208" t="s">
        <v>318</v>
      </c>
      <c r="Z7" s="209">
        <f>AA73</f>
        <v>2094884.1528472262</v>
      </c>
      <c r="AA7" s="210">
        <v>4</v>
      </c>
      <c r="AB7" s="241">
        <f t="shared" si="6"/>
        <v>73117.748558061299</v>
      </c>
      <c r="AC7" s="241">
        <f t="shared" si="7"/>
        <v>66300.377716094576</v>
      </c>
      <c r="AD7" s="241">
        <f t="shared" si="8"/>
        <v>139418.12627415586</v>
      </c>
    </row>
    <row r="8" spans="1:30" ht="14.4">
      <c r="A8" s="204" t="s">
        <v>288</v>
      </c>
      <c r="B8" s="213">
        <v>12</v>
      </c>
      <c r="C8" s="208"/>
      <c r="D8" s="215"/>
      <c r="E8" s="210">
        <v>5</v>
      </c>
      <c r="F8" s="241">
        <f t="shared" si="0"/>
        <v>195976.51944357314</v>
      </c>
      <c r="G8" s="241">
        <f t="shared" si="1"/>
        <v>246926.13979782874</v>
      </c>
      <c r="H8" s="241">
        <f t="shared" si="2"/>
        <v>442902.65924140188</v>
      </c>
      <c r="J8" s="204" t="s">
        <v>288</v>
      </c>
      <c r="K8" s="213">
        <v>12</v>
      </c>
      <c r="L8" s="206" t="s">
        <v>289</v>
      </c>
      <c r="M8" s="214">
        <v>44454</v>
      </c>
      <c r="N8" s="208"/>
      <c r="O8" s="215"/>
      <c r="P8" s="210">
        <v>5</v>
      </c>
      <c r="Q8" s="241">
        <f t="shared" si="3"/>
        <v>120634.82459575718</v>
      </c>
      <c r="R8" s="241">
        <f t="shared" si="4"/>
        <v>182849.70837148881</v>
      </c>
      <c r="S8" s="241">
        <f t="shared" si="5"/>
        <v>303484.53296724602</v>
      </c>
      <c r="U8" s="204" t="s">
        <v>288</v>
      </c>
      <c r="V8" s="213">
        <v>12</v>
      </c>
      <c r="W8" s="206" t="s">
        <v>289</v>
      </c>
      <c r="X8" s="214">
        <f>+M8</f>
        <v>44454</v>
      </c>
      <c r="Y8" s="208"/>
      <c r="Z8" s="215"/>
      <c r="AA8" s="210">
        <v>5</v>
      </c>
      <c r="AB8" s="241">
        <f t="shared" si="6"/>
        <v>75341.694847815947</v>
      </c>
      <c r="AC8" s="241">
        <f t="shared" si="7"/>
        <v>64076.431426339928</v>
      </c>
      <c r="AD8" s="241">
        <f t="shared" si="8"/>
        <v>139418.12627415586</v>
      </c>
    </row>
    <row r="9" spans="1:30" ht="14.4">
      <c r="A9" s="204" t="s">
        <v>290</v>
      </c>
      <c r="B9" s="216">
        <v>44378</v>
      </c>
      <c r="C9" s="208" t="s">
        <v>330</v>
      </c>
      <c r="D9" s="243">
        <f>+B4-D7</f>
        <v>907581.2414318556</v>
      </c>
      <c r="E9" s="210">
        <v>6</v>
      </c>
      <c r="F9" s="241">
        <f t="shared" si="0"/>
        <v>203810.05192358629</v>
      </c>
      <c r="G9" s="241">
        <f t="shared" si="1"/>
        <v>239092.60731781559</v>
      </c>
      <c r="H9" s="241">
        <f t="shared" si="2"/>
        <v>442902.65924140188</v>
      </c>
      <c r="J9" s="204" t="s">
        <v>290</v>
      </c>
      <c r="K9" s="216">
        <f>+B9</f>
        <v>44378</v>
      </c>
      <c r="L9" s="206" t="s">
        <v>291</v>
      </c>
      <c r="M9" s="212">
        <v>60</v>
      </c>
      <c r="N9" s="208"/>
      <c r="O9" s="215"/>
      <c r="P9" s="210">
        <v>6</v>
      </c>
      <c r="Q9" s="241">
        <f t="shared" si="3"/>
        <v>126176.76733148855</v>
      </c>
      <c r="R9" s="241">
        <f t="shared" si="4"/>
        <v>177307.76563575747</v>
      </c>
      <c r="S9" s="241">
        <f t="shared" si="5"/>
        <v>303484.53296724602</v>
      </c>
      <c r="U9" s="204" t="s">
        <v>290</v>
      </c>
      <c r="V9" s="216">
        <f>+K9</f>
        <v>44378</v>
      </c>
      <c r="W9" s="206" t="s">
        <v>291</v>
      </c>
      <c r="X9" s="212">
        <v>60</v>
      </c>
      <c r="Y9" s="208"/>
      <c r="Z9" s="215"/>
      <c r="AA9" s="210">
        <v>6</v>
      </c>
      <c r="AB9" s="241">
        <f t="shared" si="6"/>
        <v>77633.284592097756</v>
      </c>
      <c r="AC9" s="241">
        <f t="shared" si="7"/>
        <v>61784.841682058126</v>
      </c>
      <c r="AD9" s="241">
        <f t="shared" si="8"/>
        <v>139418.12627415589</v>
      </c>
    </row>
    <row r="10" spans="1:30" thickBot="1">
      <c r="A10" s="204" t="s">
        <v>292</v>
      </c>
      <c r="B10" s="213">
        <v>25</v>
      </c>
      <c r="C10" s="208"/>
      <c r="D10" s="245">
        <f>+D9/B4</f>
        <v>0.12965446306169365</v>
      </c>
      <c r="E10" s="210"/>
      <c r="F10" s="244">
        <f>SUM(F4:F9)</f>
        <v>1111391.2933554454</v>
      </c>
      <c r="G10" s="244">
        <f>SUM(G4:G9)</f>
        <v>1546024.662092966</v>
      </c>
      <c r="H10" s="244">
        <f>SUM(H4:H9)</f>
        <v>2657415.9554484114</v>
      </c>
      <c r="J10" s="204" t="s">
        <v>292</v>
      </c>
      <c r="K10" s="213">
        <v>25</v>
      </c>
      <c r="L10" s="206"/>
      <c r="M10" s="217"/>
      <c r="N10" s="208"/>
      <c r="O10" s="215"/>
      <c r="P10" s="210"/>
      <c r="Q10" s="244">
        <f>SUM(Q4:Q9)</f>
        <v>678642.16161057353</v>
      </c>
      <c r="R10" s="244">
        <f>SUM(R4:R9)</f>
        <v>1142265.0361929026</v>
      </c>
      <c r="S10" s="244">
        <f>SUM(S4:S9)</f>
        <v>1820907.1978034764</v>
      </c>
      <c r="U10" s="204" t="s">
        <v>292</v>
      </c>
      <c r="V10" s="213">
        <v>25</v>
      </c>
      <c r="W10" s="206"/>
      <c r="X10" s="217"/>
      <c r="Y10" s="208"/>
      <c r="Z10" s="215"/>
      <c r="AA10" s="210"/>
      <c r="AB10" s="244">
        <f>SUM(AB4:AB9)</f>
        <v>432749.13174487179</v>
      </c>
      <c r="AC10" s="244">
        <f>SUM(AC4:AC9)</f>
        <v>403759.62590006337</v>
      </c>
      <c r="AD10" s="244">
        <f>SUM(AD4:AD9)</f>
        <v>836508.75764493528</v>
      </c>
    </row>
    <row r="11" spans="1:30" thickTop="1">
      <c r="A11" s="218" t="s">
        <v>412</v>
      </c>
      <c r="B11" s="219">
        <v>44742</v>
      </c>
      <c r="C11" s="222" t="s">
        <v>331</v>
      </c>
      <c r="D11" s="246">
        <f>+B4*0.2-D9</f>
        <v>492418.7585681444</v>
      </c>
      <c r="E11" s="224"/>
      <c r="F11" s="242"/>
      <c r="G11" s="242"/>
      <c r="H11" s="242"/>
      <c r="J11" s="218" t="s">
        <v>412</v>
      </c>
      <c r="K11" s="219">
        <f>+B11</f>
        <v>44742</v>
      </c>
      <c r="L11" s="220"/>
      <c r="M11" s="221"/>
      <c r="N11" s="222"/>
      <c r="O11" s="223"/>
      <c r="P11" s="224"/>
      <c r="Q11" s="242"/>
      <c r="R11" s="242"/>
      <c r="S11" s="242"/>
      <c r="U11" s="218" t="s">
        <v>412</v>
      </c>
      <c r="V11" s="219">
        <f>+B11</f>
        <v>44742</v>
      </c>
      <c r="W11" s="220"/>
      <c r="X11" s="221"/>
      <c r="Y11" s="222"/>
      <c r="Z11" s="223"/>
      <c r="AA11" s="224"/>
      <c r="AB11" s="242"/>
      <c r="AC11" s="242"/>
      <c r="AD11" s="242"/>
    </row>
    <row r="13" spans="1:30" ht="14.4">
      <c r="A13"/>
      <c r="B13"/>
      <c r="J13" s="225" t="s">
        <v>293</v>
      </c>
      <c r="K13" s="225" t="s">
        <v>294</v>
      </c>
      <c r="L13" s="225" t="s">
        <v>295</v>
      </c>
      <c r="M13" s="225" t="s">
        <v>296</v>
      </c>
      <c r="N13" s="225" t="s">
        <v>297</v>
      </c>
      <c r="O13" s="225" t="s">
        <v>298</v>
      </c>
      <c r="P13" s="225" t="s">
        <v>299</v>
      </c>
      <c r="Q13" s="225" t="s">
        <v>300</v>
      </c>
      <c r="R13" s="225" t="s">
        <v>301</v>
      </c>
      <c r="U13" s="225" t="s">
        <v>293</v>
      </c>
      <c r="V13" s="225" t="s">
        <v>294</v>
      </c>
      <c r="W13" s="225" t="s">
        <v>295</v>
      </c>
      <c r="X13" s="225" t="s">
        <v>296</v>
      </c>
      <c r="Y13" s="225" t="s">
        <v>297</v>
      </c>
      <c r="Z13" s="225" t="s">
        <v>298</v>
      </c>
      <c r="AA13" s="225" t="s">
        <v>299</v>
      </c>
      <c r="AB13" s="225" t="s">
        <v>300</v>
      </c>
      <c r="AC13" s="225" t="s">
        <v>301</v>
      </c>
    </row>
    <row r="14" spans="1:30" ht="14.4">
      <c r="A14"/>
      <c r="B14"/>
      <c r="J14" s="210">
        <v>1</v>
      </c>
      <c r="K14" s="226">
        <f>EOMONTH(K9,0)</f>
        <v>44408</v>
      </c>
      <c r="L14" s="227">
        <f>K4</f>
        <v>4550000</v>
      </c>
      <c r="M14" s="227">
        <f>M4</f>
        <v>25290.377747270501</v>
      </c>
      <c r="N14" s="227">
        <f t="shared" ref="N14:N193" si="9">M14-O14</f>
        <v>8227.8777472705005</v>
      </c>
      <c r="O14" s="227">
        <f t="shared" ref="O14:O45" si="10">L14*$K$6</f>
        <v>17062.5</v>
      </c>
      <c r="P14" s="227">
        <f t="shared" ref="P14:P193" si="11">L14-N14</f>
        <v>4541772.1222527297</v>
      </c>
      <c r="Q14" s="201">
        <f t="shared" ref="Q14:Q193" si="12">YEAR(K14)</f>
        <v>2021</v>
      </c>
      <c r="R14" s="201">
        <f>IF(K14&lt;=EOMONTH($K$11,0),1,IF(K14&lt;=EOMONTH($K$11,12),2,IF(K14&lt;=EOMONTH($K$11,24),3,IF(K14&lt;=EOMONTH($K$11,3*12),4,IF(K14&lt;=EOMONTH($K$11,4*12),5,IF(K14&lt;=EOMONTH($K$11,5*12),6,IF(K14&lt;=EOMONTH($K$11,6*12),7,IF(K14&lt;=EOMONTH($K$11,7*12),8,IF(K14&lt;=EOMONTH($K$11,8*12),9,IF(K14&lt;=EOMONTH($K$11,9*12),10,IF(K14&lt;=EOMONTH($K$11,10*12),11,IF(K14&lt;=EOMONTH($K$11,11*12),12,IF(K14&lt;=EOMONTH($K$11,12*12),13,IF(K14&lt;=EOMONTH($K$11,13*12),14,IF(K14&lt;=EOMONTH($K$11,14*12),15,IF(K14&lt;=EOMONTH($K$11,15*12),16,17))))))))))))))))</f>
        <v>1</v>
      </c>
      <c r="S14" s="201">
        <f>IF(K14&lt;EOMONTH($K$11,1),1)</f>
        <v>1</v>
      </c>
      <c r="U14" s="210">
        <v>1</v>
      </c>
      <c r="V14" s="226">
        <f>DATE(YEAR(V9),MONTH(V9)+1,DAY(V9))</f>
        <v>44409</v>
      </c>
      <c r="W14" s="227">
        <f>V4</f>
        <v>2450000</v>
      </c>
      <c r="X14" s="227">
        <f>X4</f>
        <v>11618.17718951299</v>
      </c>
      <c r="Y14" s="227">
        <f t="shared" ref="Y14:Y193" si="13">X14-Z14</f>
        <v>5493.1771895129896</v>
      </c>
      <c r="Z14" s="227">
        <f>W14*$V$6</f>
        <v>6125</v>
      </c>
      <c r="AA14" s="227">
        <f t="shared" ref="AA14:AA193" si="14">W14-Y14</f>
        <v>2444506.8228104869</v>
      </c>
      <c r="AB14" s="201">
        <f t="shared" ref="AB14:AB193" si="15">YEAR(V14)</f>
        <v>2021</v>
      </c>
      <c r="AC14" s="201">
        <f>+R14</f>
        <v>1</v>
      </c>
    </row>
    <row r="15" spans="1:30" ht="14.4">
      <c r="A15"/>
      <c r="B15"/>
      <c r="J15" s="210">
        <v>2</v>
      </c>
      <c r="K15" s="226">
        <f>EOMONTH(K14,1)</f>
        <v>44439</v>
      </c>
      <c r="L15" s="227">
        <f t="shared" ref="L15:L193" si="16">P14</f>
        <v>4541772.1222527297</v>
      </c>
      <c r="M15" s="227">
        <f t="shared" ref="M15:M78" si="17">M14</f>
        <v>25290.377747270501</v>
      </c>
      <c r="N15" s="227">
        <f t="shared" si="9"/>
        <v>8258.7322888227645</v>
      </c>
      <c r="O15" s="227">
        <f t="shared" si="10"/>
        <v>17031.645458447736</v>
      </c>
      <c r="P15" s="227">
        <f t="shared" si="11"/>
        <v>4533513.3899639072</v>
      </c>
      <c r="Q15" s="201">
        <f t="shared" si="12"/>
        <v>2021</v>
      </c>
      <c r="R15" s="201">
        <f t="shared" ref="R15:R78" si="18">IF(K15&lt;=EOMONTH($K$11,0),1,IF(K15&lt;=EOMONTH($K$11,12),2,IF(K15&lt;=EOMONTH($K$11,24),3,IF(K15&lt;=EOMONTH($K$11,3*12),4,IF(K15&lt;=EOMONTH($K$11,4*12),5,IF(K15&lt;=EOMONTH($K$11,5*12),6,IF(K15&lt;=EOMONTH($K$11,6*12),7,IF(K15&lt;=EOMONTH($K$11,7*12),8,IF(K15&lt;=EOMONTH($K$11,8*12),9,IF(K15&lt;=EOMONTH($K$11,9*12),10,IF(K15&lt;=EOMONTH($K$11,10*12),11,IF(K15&lt;=EOMONTH($K$11,11*12),12,IF(K15&lt;=EOMONTH($K$11,12*12),13,IF(K15&lt;=EOMONTH($K$11,13*12),14,IF(K15&lt;=EOMONTH($K$11,14*12),15,IF(K15&lt;=EOMONTH($K$11,15*12),16,17))))))))))))))))</f>
        <v>1</v>
      </c>
      <c r="S15" s="201">
        <f>IF(K15&lt;EOMONTH($K$11,1),1)</f>
        <v>1</v>
      </c>
      <c r="U15" s="210">
        <v>2</v>
      </c>
      <c r="V15" s="226">
        <f t="shared" ref="V15:V78" si="19">DATE(YEAR(V14),MONTH(V14)+1,DAY(V14))</f>
        <v>44440</v>
      </c>
      <c r="W15" s="227">
        <f t="shared" ref="W15:W193" si="20">AA14</f>
        <v>2444506.8228104869</v>
      </c>
      <c r="X15" s="227">
        <f t="shared" ref="X15:X78" si="21">X14</f>
        <v>11618.17718951299</v>
      </c>
      <c r="Y15" s="227">
        <f t="shared" si="13"/>
        <v>5506.9101324867725</v>
      </c>
      <c r="Z15" s="227">
        <f t="shared" ref="Z15:Z78" si="22">W15*$V$6</f>
        <v>6111.2670570262171</v>
      </c>
      <c r="AA15" s="227">
        <f t="shared" si="14"/>
        <v>2438999.9126780001</v>
      </c>
      <c r="AB15" s="201">
        <f t="shared" si="15"/>
        <v>2021</v>
      </c>
      <c r="AC15" s="201">
        <f t="shared" ref="AC15:AC78" si="23">+R15</f>
        <v>1</v>
      </c>
    </row>
    <row r="16" spans="1:30" ht="14.4">
      <c r="A16"/>
      <c r="B16"/>
      <c r="J16" s="210">
        <v>3</v>
      </c>
      <c r="K16" s="226">
        <f>EOMONTH(K15,1)</f>
        <v>44469</v>
      </c>
      <c r="L16" s="227">
        <f t="shared" si="16"/>
        <v>4533513.3899639072</v>
      </c>
      <c r="M16" s="227">
        <f t="shared" si="17"/>
        <v>25290.377747270501</v>
      </c>
      <c r="N16" s="227">
        <f t="shared" si="9"/>
        <v>8289.7025349058495</v>
      </c>
      <c r="O16" s="227">
        <f t="shared" si="10"/>
        <v>17000.675212364651</v>
      </c>
      <c r="P16" s="227">
        <f t="shared" si="11"/>
        <v>4525223.6874290016</v>
      </c>
      <c r="Q16" s="201">
        <f t="shared" si="12"/>
        <v>2021</v>
      </c>
      <c r="R16" s="201">
        <f t="shared" si="18"/>
        <v>1</v>
      </c>
      <c r="S16" s="201">
        <f>IF(K16&lt;EOMONTH($K$11,1),1)</f>
        <v>1</v>
      </c>
      <c r="T16" s="201">
        <f>365*2</f>
        <v>730</v>
      </c>
      <c r="U16" s="210">
        <v>3</v>
      </c>
      <c r="V16" s="226">
        <f t="shared" si="19"/>
        <v>44470</v>
      </c>
      <c r="W16" s="227">
        <f t="shared" si="20"/>
        <v>2438999.9126780001</v>
      </c>
      <c r="X16" s="227">
        <f t="shared" si="21"/>
        <v>11618.17718951299</v>
      </c>
      <c r="Y16" s="227">
        <f t="shared" si="13"/>
        <v>5520.6774078179897</v>
      </c>
      <c r="Z16" s="227">
        <f t="shared" si="22"/>
        <v>6097.4997816949999</v>
      </c>
      <c r="AA16" s="227">
        <f t="shared" si="14"/>
        <v>2433479.2352701821</v>
      </c>
      <c r="AB16" s="201">
        <f t="shared" si="15"/>
        <v>2021</v>
      </c>
      <c r="AC16" s="201">
        <f t="shared" si="23"/>
        <v>1</v>
      </c>
    </row>
    <row r="17" spans="1:29" ht="14.4">
      <c r="A17"/>
      <c r="B17"/>
      <c r="J17" s="210">
        <v>4</v>
      </c>
      <c r="K17" s="226">
        <f>EOMONTH(K16,1)</f>
        <v>44500</v>
      </c>
      <c r="L17" s="227">
        <f t="shared" si="16"/>
        <v>4525223.6874290016</v>
      </c>
      <c r="M17" s="227">
        <f t="shared" si="17"/>
        <v>25290.377747270501</v>
      </c>
      <c r="N17" s="227">
        <f t="shared" si="9"/>
        <v>8320.7889194117452</v>
      </c>
      <c r="O17" s="227">
        <f t="shared" si="10"/>
        <v>16969.588827858755</v>
      </c>
      <c r="P17" s="227">
        <f t="shared" si="11"/>
        <v>4516902.89850959</v>
      </c>
      <c r="Q17" s="201">
        <f t="shared" si="12"/>
        <v>2021</v>
      </c>
      <c r="R17" s="201">
        <f t="shared" si="18"/>
        <v>1</v>
      </c>
      <c r="S17" s="201">
        <f>IF(K17&lt;EOMONTH($K$11,1),1)</f>
        <v>1</v>
      </c>
      <c r="T17" s="201">
        <f>365*3</f>
        <v>1095</v>
      </c>
      <c r="U17" s="210">
        <v>4</v>
      </c>
      <c r="V17" s="226">
        <f t="shared" si="19"/>
        <v>44501</v>
      </c>
      <c r="W17" s="227">
        <f t="shared" si="20"/>
        <v>2433479.2352701821</v>
      </c>
      <c r="X17" s="227">
        <f t="shared" si="21"/>
        <v>11618.17718951299</v>
      </c>
      <c r="Y17" s="227">
        <f t="shared" si="13"/>
        <v>5534.4791013375343</v>
      </c>
      <c r="Z17" s="227">
        <f t="shared" si="22"/>
        <v>6083.6980881754553</v>
      </c>
      <c r="AA17" s="227">
        <f t="shared" si="14"/>
        <v>2427944.7561688446</v>
      </c>
      <c r="AB17" s="201">
        <f t="shared" si="15"/>
        <v>2021</v>
      </c>
      <c r="AC17" s="201">
        <f t="shared" si="23"/>
        <v>1</v>
      </c>
    </row>
    <row r="18" spans="1:29" ht="14.4">
      <c r="A18"/>
      <c r="B18"/>
      <c r="J18" s="210">
        <v>5</v>
      </c>
      <c r="K18" s="226">
        <f>EOMONTH(K17,1)</f>
        <v>44530</v>
      </c>
      <c r="L18" s="227">
        <f t="shared" si="16"/>
        <v>4516902.89850959</v>
      </c>
      <c r="M18" s="227">
        <f t="shared" si="17"/>
        <v>25290.377747270501</v>
      </c>
      <c r="N18" s="227">
        <f t="shared" si="9"/>
        <v>8351.9918778595384</v>
      </c>
      <c r="O18" s="227">
        <f t="shared" si="10"/>
        <v>16938.385869410962</v>
      </c>
      <c r="P18" s="227">
        <f t="shared" si="11"/>
        <v>4508550.9066317305</v>
      </c>
      <c r="Q18" s="201">
        <f t="shared" si="12"/>
        <v>2021</v>
      </c>
      <c r="R18" s="201">
        <f t="shared" si="18"/>
        <v>1</v>
      </c>
      <c r="S18" s="201">
        <f t="shared" ref="S18:S30" si="24">IF(K18&lt;EOMONTH($K$11,1),1)</f>
        <v>1</v>
      </c>
      <c r="T18" s="201">
        <f>365*4</f>
        <v>1460</v>
      </c>
      <c r="U18" s="210">
        <v>5</v>
      </c>
      <c r="V18" s="226">
        <f t="shared" si="19"/>
        <v>44531</v>
      </c>
      <c r="W18" s="227">
        <f t="shared" si="20"/>
        <v>2427944.7561688446</v>
      </c>
      <c r="X18" s="227">
        <f t="shared" si="21"/>
        <v>11618.17718951299</v>
      </c>
      <c r="Y18" s="227">
        <f t="shared" si="13"/>
        <v>5548.3152990908775</v>
      </c>
      <c r="Z18" s="227">
        <f t="shared" si="22"/>
        <v>6069.8618904221121</v>
      </c>
      <c r="AA18" s="227">
        <f t="shared" si="14"/>
        <v>2422396.4408697537</v>
      </c>
      <c r="AB18" s="201">
        <f t="shared" si="15"/>
        <v>2021</v>
      </c>
      <c r="AC18" s="201">
        <f t="shared" si="23"/>
        <v>1</v>
      </c>
    </row>
    <row r="19" spans="1:29" ht="14.4">
      <c r="A19" t="s">
        <v>349</v>
      </c>
      <c r="B19">
        <v>40000</v>
      </c>
      <c r="J19" s="210">
        <v>6</v>
      </c>
      <c r="K19" s="226">
        <f t="shared" ref="K19:K82" si="25">EOMONTH(K18,1)</f>
        <v>44561</v>
      </c>
      <c r="L19" s="227">
        <f t="shared" si="16"/>
        <v>4508550.9066317305</v>
      </c>
      <c r="M19" s="227">
        <f t="shared" si="17"/>
        <v>25290.377747270501</v>
      </c>
      <c r="N19" s="227">
        <f t="shared" si="9"/>
        <v>8383.31184740151</v>
      </c>
      <c r="O19" s="227">
        <f t="shared" si="10"/>
        <v>16907.065899868991</v>
      </c>
      <c r="P19" s="227">
        <f t="shared" si="11"/>
        <v>4500167.5947843287</v>
      </c>
      <c r="Q19" s="201">
        <f t="shared" si="12"/>
        <v>2021</v>
      </c>
      <c r="R19" s="201">
        <f t="shared" si="18"/>
        <v>1</v>
      </c>
      <c r="S19" s="201">
        <f t="shared" si="24"/>
        <v>1</v>
      </c>
      <c r="T19" s="201">
        <f>365*5</f>
        <v>1825</v>
      </c>
      <c r="U19" s="210">
        <v>6</v>
      </c>
      <c r="V19" s="226">
        <f t="shared" si="19"/>
        <v>44562</v>
      </c>
      <c r="W19" s="227">
        <f t="shared" si="20"/>
        <v>2422396.4408697537</v>
      </c>
      <c r="X19" s="227">
        <f t="shared" si="21"/>
        <v>11618.17718951299</v>
      </c>
      <c r="Y19" s="227">
        <f t="shared" si="13"/>
        <v>5562.1860873386049</v>
      </c>
      <c r="Z19" s="227">
        <f t="shared" si="22"/>
        <v>6055.9911021743847</v>
      </c>
      <c r="AA19" s="227">
        <f t="shared" si="14"/>
        <v>2416834.254782415</v>
      </c>
      <c r="AB19" s="201">
        <f t="shared" si="15"/>
        <v>2022</v>
      </c>
      <c r="AC19" s="201">
        <f t="shared" si="23"/>
        <v>1</v>
      </c>
    </row>
    <row r="20" spans="1:29" ht="14.4">
      <c r="A20" t="s">
        <v>428</v>
      </c>
      <c r="B20">
        <v>125</v>
      </c>
      <c r="J20" s="210">
        <v>7</v>
      </c>
      <c r="K20" s="226">
        <f t="shared" si="25"/>
        <v>44592</v>
      </c>
      <c r="L20" s="227">
        <f t="shared" si="16"/>
        <v>4500167.5947843287</v>
      </c>
      <c r="M20" s="227">
        <f t="shared" si="17"/>
        <v>25290.377747270501</v>
      </c>
      <c r="N20" s="227">
        <f t="shared" si="9"/>
        <v>8414.7492668292689</v>
      </c>
      <c r="O20" s="227">
        <f t="shared" si="10"/>
        <v>16875.628480441232</v>
      </c>
      <c r="P20" s="227">
        <f t="shared" si="11"/>
        <v>4491752.8455174994</v>
      </c>
      <c r="Q20" s="201">
        <f t="shared" si="12"/>
        <v>2022</v>
      </c>
      <c r="R20" s="201">
        <f t="shared" si="18"/>
        <v>1</v>
      </c>
      <c r="S20" s="201">
        <f t="shared" si="24"/>
        <v>1</v>
      </c>
      <c r="U20" s="210">
        <v>7</v>
      </c>
      <c r="V20" s="226">
        <f t="shared" si="19"/>
        <v>44593</v>
      </c>
      <c r="W20" s="227">
        <f t="shared" si="20"/>
        <v>2416834.254782415</v>
      </c>
      <c r="X20" s="227">
        <f t="shared" si="21"/>
        <v>11618.17718951299</v>
      </c>
      <c r="Y20" s="227">
        <f t="shared" si="13"/>
        <v>5576.0915525569517</v>
      </c>
      <c r="Z20" s="227">
        <f t="shared" si="22"/>
        <v>6042.0856369560379</v>
      </c>
      <c r="AA20" s="227">
        <f t="shared" si="14"/>
        <v>2411258.163229858</v>
      </c>
      <c r="AB20" s="201">
        <f t="shared" si="15"/>
        <v>2022</v>
      </c>
      <c r="AC20" s="201">
        <f t="shared" si="23"/>
        <v>1</v>
      </c>
    </row>
    <row r="21" spans="1:29" ht="14.4">
      <c r="A21"/>
      <c r="B21">
        <f>+B20*B19+B22</f>
        <v>5000000</v>
      </c>
      <c r="J21" s="210">
        <v>8</v>
      </c>
      <c r="K21" s="226">
        <f t="shared" si="25"/>
        <v>44620</v>
      </c>
      <c r="L21" s="227">
        <f t="shared" si="16"/>
        <v>4491752.8455174994</v>
      </c>
      <c r="M21" s="227">
        <f t="shared" si="17"/>
        <v>25290.377747270501</v>
      </c>
      <c r="N21" s="227">
        <f t="shared" si="9"/>
        <v>8446.3045765798779</v>
      </c>
      <c r="O21" s="227">
        <f t="shared" si="10"/>
        <v>16844.073170690623</v>
      </c>
      <c r="P21" s="227">
        <f t="shared" si="11"/>
        <v>4483306.5409409199</v>
      </c>
      <c r="Q21" s="201">
        <f t="shared" si="12"/>
        <v>2022</v>
      </c>
      <c r="R21" s="201">
        <f t="shared" si="18"/>
        <v>1</v>
      </c>
      <c r="S21" s="201">
        <f t="shared" si="24"/>
        <v>1</v>
      </c>
      <c r="U21" s="210">
        <v>8</v>
      </c>
      <c r="V21" s="226">
        <f t="shared" si="19"/>
        <v>44621</v>
      </c>
      <c r="W21" s="227">
        <f t="shared" si="20"/>
        <v>2411258.163229858</v>
      </c>
      <c r="X21" s="227">
        <f t="shared" si="21"/>
        <v>11618.17718951299</v>
      </c>
      <c r="Y21" s="227">
        <f t="shared" si="13"/>
        <v>5590.0317814383443</v>
      </c>
      <c r="Z21" s="227">
        <f t="shared" si="22"/>
        <v>6028.1454080746453</v>
      </c>
      <c r="AA21" s="227">
        <f t="shared" si="14"/>
        <v>2405668.1314484198</v>
      </c>
      <c r="AB21" s="201">
        <f t="shared" si="15"/>
        <v>2022</v>
      </c>
      <c r="AC21" s="201">
        <f t="shared" si="23"/>
        <v>1</v>
      </c>
    </row>
    <row r="22" spans="1:29" ht="14.4">
      <c r="A22" t="s">
        <v>429</v>
      </c>
      <c r="B22">
        <v>0</v>
      </c>
      <c r="C22" s="468" t="s">
        <v>430</v>
      </c>
      <c r="J22" s="210">
        <v>9</v>
      </c>
      <c r="K22" s="226">
        <f t="shared" si="25"/>
        <v>44651</v>
      </c>
      <c r="L22" s="227">
        <f t="shared" si="16"/>
        <v>4483306.5409409199</v>
      </c>
      <c r="M22" s="227">
        <f t="shared" si="17"/>
        <v>25290.377747270501</v>
      </c>
      <c r="N22" s="227">
        <f t="shared" si="9"/>
        <v>8477.9782187420533</v>
      </c>
      <c r="O22" s="227">
        <f t="shared" si="10"/>
        <v>16812.399528528447</v>
      </c>
      <c r="P22" s="227">
        <f t="shared" si="11"/>
        <v>4474828.5627221782</v>
      </c>
      <c r="Q22" s="201">
        <f t="shared" si="12"/>
        <v>2022</v>
      </c>
      <c r="R22" s="201">
        <f t="shared" si="18"/>
        <v>1</v>
      </c>
      <c r="S22" s="201">
        <f t="shared" si="24"/>
        <v>1</v>
      </c>
      <c r="U22" s="210">
        <v>9</v>
      </c>
      <c r="V22" s="226">
        <f t="shared" si="19"/>
        <v>44652</v>
      </c>
      <c r="W22" s="227">
        <f t="shared" si="20"/>
        <v>2405668.1314484198</v>
      </c>
      <c r="X22" s="227">
        <f t="shared" si="21"/>
        <v>11618.17718951299</v>
      </c>
      <c r="Y22" s="227">
        <f t="shared" si="13"/>
        <v>5604.0068608919401</v>
      </c>
      <c r="Z22" s="227">
        <f t="shared" si="22"/>
        <v>6014.1703286210495</v>
      </c>
      <c r="AA22" s="227">
        <f t="shared" si="14"/>
        <v>2400064.1245875279</v>
      </c>
      <c r="AB22" s="201">
        <f t="shared" si="15"/>
        <v>2022</v>
      </c>
      <c r="AC22" s="201">
        <f t="shared" si="23"/>
        <v>1</v>
      </c>
    </row>
    <row r="23" spans="1:29" ht="14.4">
      <c r="A23"/>
      <c r="B23"/>
      <c r="J23" s="210">
        <v>10</v>
      </c>
      <c r="K23" s="226">
        <f t="shared" si="25"/>
        <v>44681</v>
      </c>
      <c r="L23" s="227">
        <f t="shared" si="16"/>
        <v>4474828.5627221782</v>
      </c>
      <c r="M23" s="227">
        <f t="shared" si="17"/>
        <v>25290.377747270501</v>
      </c>
      <c r="N23" s="227">
        <f t="shared" si="9"/>
        <v>8509.7706370623346</v>
      </c>
      <c r="O23" s="227">
        <f t="shared" si="10"/>
        <v>16780.607110208166</v>
      </c>
      <c r="P23" s="227">
        <f t="shared" si="11"/>
        <v>4466318.7920851158</v>
      </c>
      <c r="Q23" s="201">
        <f t="shared" si="12"/>
        <v>2022</v>
      </c>
      <c r="R23" s="201">
        <f t="shared" si="18"/>
        <v>1</v>
      </c>
      <c r="S23" s="201">
        <f t="shared" si="24"/>
        <v>1</v>
      </c>
      <c r="U23" s="210">
        <v>10</v>
      </c>
      <c r="V23" s="226">
        <f t="shared" si="19"/>
        <v>44682</v>
      </c>
      <c r="W23" s="227">
        <f t="shared" si="20"/>
        <v>2400064.1245875279</v>
      </c>
      <c r="X23" s="227">
        <f t="shared" si="21"/>
        <v>11618.17718951299</v>
      </c>
      <c r="Y23" s="227">
        <f t="shared" si="13"/>
        <v>5618.01687804417</v>
      </c>
      <c r="Z23" s="227">
        <f t="shared" si="22"/>
        <v>6000.1603114688196</v>
      </c>
      <c r="AA23" s="227">
        <f t="shared" si="14"/>
        <v>2394446.1077094837</v>
      </c>
      <c r="AB23" s="201">
        <f t="shared" si="15"/>
        <v>2022</v>
      </c>
      <c r="AC23" s="201">
        <f t="shared" si="23"/>
        <v>1</v>
      </c>
    </row>
    <row r="24" spans="1:29" ht="14.4">
      <c r="A24"/>
      <c r="B24"/>
      <c r="J24" s="210">
        <v>11</v>
      </c>
      <c r="K24" s="226">
        <f t="shared" si="25"/>
        <v>44712</v>
      </c>
      <c r="L24" s="227">
        <f t="shared" si="16"/>
        <v>4466318.7920851158</v>
      </c>
      <c r="M24" s="227">
        <f t="shared" si="17"/>
        <v>25290.377747270501</v>
      </c>
      <c r="N24" s="227">
        <f t="shared" si="9"/>
        <v>8541.6822769513165</v>
      </c>
      <c r="O24" s="227">
        <f t="shared" si="10"/>
        <v>16748.695470319184</v>
      </c>
      <c r="P24" s="227">
        <f t="shared" si="11"/>
        <v>4457777.1098081646</v>
      </c>
      <c r="Q24" s="201">
        <f t="shared" si="12"/>
        <v>2022</v>
      </c>
      <c r="R24" s="201">
        <f t="shared" si="18"/>
        <v>1</v>
      </c>
      <c r="S24" s="201">
        <f t="shared" si="24"/>
        <v>1</v>
      </c>
      <c r="U24" s="210">
        <v>11</v>
      </c>
      <c r="V24" s="226">
        <f t="shared" si="19"/>
        <v>44713</v>
      </c>
      <c r="W24" s="227">
        <f t="shared" si="20"/>
        <v>2394446.1077094837</v>
      </c>
      <c r="X24" s="227">
        <f t="shared" si="21"/>
        <v>11618.17718951299</v>
      </c>
      <c r="Y24" s="227">
        <f t="shared" si="13"/>
        <v>5632.06192023928</v>
      </c>
      <c r="Z24" s="227">
        <f t="shared" si="22"/>
        <v>5986.1152692737096</v>
      </c>
      <c r="AA24" s="227">
        <f t="shared" si="14"/>
        <v>2388814.0457892446</v>
      </c>
      <c r="AB24" s="201">
        <f t="shared" si="15"/>
        <v>2022</v>
      </c>
      <c r="AC24" s="201">
        <f t="shared" si="23"/>
        <v>1</v>
      </c>
    </row>
    <row r="25" spans="1:29" ht="14.4">
      <c r="A25"/>
      <c r="B25"/>
      <c r="J25" s="210">
        <v>12</v>
      </c>
      <c r="K25" s="226">
        <f t="shared" si="25"/>
        <v>44742</v>
      </c>
      <c r="L25" s="227">
        <f t="shared" si="16"/>
        <v>4457777.1098081646</v>
      </c>
      <c r="M25" s="227">
        <f t="shared" si="17"/>
        <v>25290.377747270501</v>
      </c>
      <c r="N25" s="227">
        <f t="shared" si="9"/>
        <v>8573.7135854898843</v>
      </c>
      <c r="O25" s="227">
        <f t="shared" si="10"/>
        <v>16716.664161780616</v>
      </c>
      <c r="P25" s="227">
        <f t="shared" si="11"/>
        <v>4449203.3962226752</v>
      </c>
      <c r="Q25" s="201">
        <f t="shared" si="12"/>
        <v>2022</v>
      </c>
      <c r="R25" s="201">
        <f t="shared" si="18"/>
        <v>1</v>
      </c>
      <c r="S25" s="201">
        <f t="shared" si="24"/>
        <v>1</v>
      </c>
      <c r="U25" s="210">
        <v>12</v>
      </c>
      <c r="V25" s="226">
        <f t="shared" si="19"/>
        <v>44743</v>
      </c>
      <c r="W25" s="227">
        <f t="shared" si="20"/>
        <v>2388814.0457892446</v>
      </c>
      <c r="X25" s="227">
        <f t="shared" si="21"/>
        <v>11618.17718951299</v>
      </c>
      <c r="Y25" s="227">
        <f t="shared" si="13"/>
        <v>5646.1420750398784</v>
      </c>
      <c r="Z25" s="227">
        <f t="shared" si="22"/>
        <v>5972.0351144731112</v>
      </c>
      <c r="AA25" s="227">
        <f t="shared" si="14"/>
        <v>2383167.9037142047</v>
      </c>
      <c r="AB25" s="201">
        <f t="shared" si="15"/>
        <v>2022</v>
      </c>
      <c r="AC25" s="201">
        <f t="shared" si="23"/>
        <v>1</v>
      </c>
    </row>
    <row r="26" spans="1:29" ht="14.4">
      <c r="A26"/>
      <c r="B26"/>
      <c r="J26" s="210">
        <v>13</v>
      </c>
      <c r="K26" s="226">
        <f t="shared" si="25"/>
        <v>44773</v>
      </c>
      <c r="L26" s="227">
        <f t="shared" si="16"/>
        <v>4449203.3962226752</v>
      </c>
      <c r="M26" s="227">
        <f t="shared" si="17"/>
        <v>25290.377747270501</v>
      </c>
      <c r="N26" s="227">
        <f t="shared" si="9"/>
        <v>8605.8650114354677</v>
      </c>
      <c r="O26" s="227">
        <f t="shared" si="10"/>
        <v>16684.512735835033</v>
      </c>
      <c r="P26" s="227">
        <f t="shared" si="11"/>
        <v>4440597.5312112402</v>
      </c>
      <c r="Q26" s="201">
        <f t="shared" si="12"/>
        <v>2022</v>
      </c>
      <c r="R26" s="201">
        <f t="shared" si="18"/>
        <v>2</v>
      </c>
      <c r="S26" s="201" t="b">
        <f t="shared" si="24"/>
        <v>0</v>
      </c>
      <c r="U26" s="210">
        <v>13</v>
      </c>
      <c r="V26" s="226">
        <f t="shared" si="19"/>
        <v>44774</v>
      </c>
      <c r="W26" s="227">
        <f t="shared" si="20"/>
        <v>2383167.9037142047</v>
      </c>
      <c r="X26" s="227">
        <f t="shared" si="21"/>
        <v>11618.17718951299</v>
      </c>
      <c r="Y26" s="227">
        <f t="shared" si="13"/>
        <v>5660.2574302274779</v>
      </c>
      <c r="Z26" s="227">
        <f t="shared" si="22"/>
        <v>5957.9197592855116</v>
      </c>
      <c r="AA26" s="227">
        <f t="shared" si="14"/>
        <v>2377507.6462839772</v>
      </c>
      <c r="AB26" s="201">
        <f t="shared" si="15"/>
        <v>2022</v>
      </c>
      <c r="AC26" s="201">
        <f t="shared" si="23"/>
        <v>2</v>
      </c>
    </row>
    <row r="27" spans="1:29" ht="14.4">
      <c r="A27"/>
      <c r="B27"/>
      <c r="J27" s="210">
        <v>14</v>
      </c>
      <c r="K27" s="226">
        <f t="shared" si="25"/>
        <v>44804</v>
      </c>
      <c r="L27" s="227">
        <f t="shared" si="16"/>
        <v>4440597.5312112402</v>
      </c>
      <c r="M27" s="227">
        <f t="shared" si="17"/>
        <v>25290.377747270501</v>
      </c>
      <c r="N27" s="227">
        <f t="shared" si="9"/>
        <v>8638.1370052283492</v>
      </c>
      <c r="O27" s="227">
        <f t="shared" si="10"/>
        <v>16652.240742042151</v>
      </c>
      <c r="P27" s="227">
        <f t="shared" si="11"/>
        <v>4431959.3942060117</v>
      </c>
      <c r="Q27" s="201">
        <f t="shared" si="12"/>
        <v>2022</v>
      </c>
      <c r="R27" s="201">
        <f t="shared" si="18"/>
        <v>2</v>
      </c>
      <c r="S27" s="201" t="b">
        <f t="shared" si="24"/>
        <v>0</v>
      </c>
      <c r="U27" s="210">
        <v>14</v>
      </c>
      <c r="V27" s="226">
        <f t="shared" si="19"/>
        <v>44805</v>
      </c>
      <c r="W27" s="227">
        <f t="shared" si="20"/>
        <v>2377507.6462839772</v>
      </c>
      <c r="X27" s="227">
        <f t="shared" si="21"/>
        <v>11618.17718951299</v>
      </c>
      <c r="Y27" s="227">
        <f t="shared" si="13"/>
        <v>5674.4080738030461</v>
      </c>
      <c r="Z27" s="227">
        <f t="shared" si="22"/>
        <v>5943.7691157099434</v>
      </c>
      <c r="AA27" s="227">
        <f t="shared" si="14"/>
        <v>2371833.2382101743</v>
      </c>
      <c r="AB27" s="201">
        <f t="shared" si="15"/>
        <v>2022</v>
      </c>
      <c r="AC27" s="201">
        <f t="shared" si="23"/>
        <v>2</v>
      </c>
    </row>
    <row r="28" spans="1:29" ht="14.4">
      <c r="A28"/>
      <c r="B28"/>
      <c r="J28" s="210">
        <v>15</v>
      </c>
      <c r="K28" s="226">
        <f t="shared" si="25"/>
        <v>44834</v>
      </c>
      <c r="L28" s="227">
        <f t="shared" si="16"/>
        <v>4431959.3942060117</v>
      </c>
      <c r="M28" s="227">
        <f t="shared" si="17"/>
        <v>25290.377747270501</v>
      </c>
      <c r="N28" s="227">
        <f t="shared" si="9"/>
        <v>8670.5300189979571</v>
      </c>
      <c r="O28" s="227">
        <f t="shared" si="10"/>
        <v>16619.847728272543</v>
      </c>
      <c r="P28" s="227">
        <f t="shared" si="11"/>
        <v>4423288.8641870134</v>
      </c>
      <c r="Q28" s="201">
        <f t="shared" si="12"/>
        <v>2022</v>
      </c>
      <c r="R28" s="201">
        <f t="shared" si="18"/>
        <v>2</v>
      </c>
      <c r="S28" s="201" t="b">
        <f t="shared" si="24"/>
        <v>0</v>
      </c>
      <c r="U28" s="210">
        <v>15</v>
      </c>
      <c r="V28" s="226">
        <f t="shared" si="19"/>
        <v>44835</v>
      </c>
      <c r="W28" s="227">
        <f t="shared" si="20"/>
        <v>2371833.2382101743</v>
      </c>
      <c r="X28" s="227">
        <f t="shared" si="21"/>
        <v>11618.17718951299</v>
      </c>
      <c r="Y28" s="227">
        <f t="shared" si="13"/>
        <v>5688.5940939875536</v>
      </c>
      <c r="Z28" s="227">
        <f t="shared" si="22"/>
        <v>5929.583095525436</v>
      </c>
      <c r="AA28" s="227">
        <f t="shared" si="14"/>
        <v>2366144.6441161865</v>
      </c>
      <c r="AB28" s="201">
        <f t="shared" si="15"/>
        <v>2022</v>
      </c>
      <c r="AC28" s="201">
        <f t="shared" si="23"/>
        <v>2</v>
      </c>
    </row>
    <row r="29" spans="1:29" ht="14.4">
      <c r="A29"/>
      <c r="B29"/>
      <c r="J29" s="210">
        <v>16</v>
      </c>
      <c r="K29" s="226">
        <f t="shared" si="25"/>
        <v>44865</v>
      </c>
      <c r="L29" s="227">
        <f t="shared" si="16"/>
        <v>4423288.8641870134</v>
      </c>
      <c r="M29" s="227">
        <f t="shared" si="17"/>
        <v>25290.377747270501</v>
      </c>
      <c r="N29" s="227">
        <f t="shared" si="9"/>
        <v>8703.0445065692002</v>
      </c>
      <c r="O29" s="227">
        <f t="shared" si="10"/>
        <v>16587.3332407013</v>
      </c>
      <c r="P29" s="227">
        <f t="shared" si="11"/>
        <v>4414585.819680444</v>
      </c>
      <c r="Q29" s="201">
        <f t="shared" si="12"/>
        <v>2022</v>
      </c>
      <c r="R29" s="201">
        <f t="shared" si="18"/>
        <v>2</v>
      </c>
      <c r="S29" s="201" t="b">
        <f t="shared" si="24"/>
        <v>0</v>
      </c>
      <c r="U29" s="210">
        <v>16</v>
      </c>
      <c r="V29" s="226">
        <f t="shared" si="19"/>
        <v>44866</v>
      </c>
      <c r="W29" s="227">
        <f t="shared" si="20"/>
        <v>2366144.6441161865</v>
      </c>
      <c r="X29" s="227">
        <f t="shared" si="21"/>
        <v>11618.17718951299</v>
      </c>
      <c r="Y29" s="227">
        <f t="shared" si="13"/>
        <v>5702.8155792225234</v>
      </c>
      <c r="Z29" s="227">
        <f t="shared" si="22"/>
        <v>5915.3616102904662</v>
      </c>
      <c r="AA29" s="227">
        <f t="shared" si="14"/>
        <v>2360441.828536964</v>
      </c>
      <c r="AB29" s="201">
        <f t="shared" si="15"/>
        <v>2022</v>
      </c>
      <c r="AC29" s="201">
        <f t="shared" si="23"/>
        <v>2</v>
      </c>
    </row>
    <row r="30" spans="1:29" ht="14.4">
      <c r="A30"/>
      <c r="B30"/>
      <c r="J30" s="210">
        <v>17</v>
      </c>
      <c r="K30" s="226">
        <f t="shared" si="25"/>
        <v>44895</v>
      </c>
      <c r="L30" s="227">
        <f t="shared" si="16"/>
        <v>4414585.819680444</v>
      </c>
      <c r="M30" s="227">
        <f t="shared" si="17"/>
        <v>25290.377747270501</v>
      </c>
      <c r="N30" s="227">
        <f t="shared" si="9"/>
        <v>8735.6809234688371</v>
      </c>
      <c r="O30" s="227">
        <f t="shared" si="10"/>
        <v>16554.696823801663</v>
      </c>
      <c r="P30" s="227">
        <f t="shared" si="11"/>
        <v>4405850.1387569755</v>
      </c>
      <c r="Q30" s="201">
        <f t="shared" si="12"/>
        <v>2022</v>
      </c>
      <c r="R30" s="201">
        <f t="shared" si="18"/>
        <v>2</v>
      </c>
      <c r="S30" s="201" t="b">
        <f t="shared" si="24"/>
        <v>0</v>
      </c>
      <c r="U30" s="210">
        <v>17</v>
      </c>
      <c r="V30" s="226">
        <f t="shared" si="19"/>
        <v>44896</v>
      </c>
      <c r="W30" s="227">
        <f t="shared" si="20"/>
        <v>2360441.828536964</v>
      </c>
      <c r="X30" s="227">
        <f t="shared" si="21"/>
        <v>11618.17718951299</v>
      </c>
      <c r="Y30" s="227">
        <f t="shared" si="13"/>
        <v>5717.0726181705795</v>
      </c>
      <c r="Z30" s="227">
        <f t="shared" si="22"/>
        <v>5901.1045713424101</v>
      </c>
      <c r="AA30" s="227">
        <f t="shared" si="14"/>
        <v>2354724.7559187934</v>
      </c>
      <c r="AB30" s="201">
        <f t="shared" si="15"/>
        <v>2022</v>
      </c>
      <c r="AC30" s="201">
        <f t="shared" si="23"/>
        <v>2</v>
      </c>
    </row>
    <row r="31" spans="1:29" ht="14.4">
      <c r="A31"/>
      <c r="B31"/>
      <c r="J31" s="210">
        <v>18</v>
      </c>
      <c r="K31" s="226">
        <f t="shared" si="25"/>
        <v>44926</v>
      </c>
      <c r="L31" s="227">
        <f t="shared" si="16"/>
        <v>4405850.1387569755</v>
      </c>
      <c r="M31" s="227">
        <f t="shared" si="17"/>
        <v>25290.377747270501</v>
      </c>
      <c r="N31" s="227">
        <f t="shared" si="9"/>
        <v>8768.4397269318433</v>
      </c>
      <c r="O31" s="227">
        <f t="shared" si="10"/>
        <v>16521.938020338657</v>
      </c>
      <c r="P31" s="227">
        <f t="shared" si="11"/>
        <v>4397081.6990300436</v>
      </c>
      <c r="Q31" s="201">
        <f t="shared" si="12"/>
        <v>2022</v>
      </c>
      <c r="R31" s="201">
        <f t="shared" si="18"/>
        <v>2</v>
      </c>
      <c r="U31" s="210">
        <v>18</v>
      </c>
      <c r="V31" s="226">
        <f t="shared" si="19"/>
        <v>44927</v>
      </c>
      <c r="W31" s="227">
        <f t="shared" si="20"/>
        <v>2354724.7559187934</v>
      </c>
      <c r="X31" s="227">
        <f t="shared" si="21"/>
        <v>11618.17718951299</v>
      </c>
      <c r="Y31" s="227">
        <f t="shared" si="13"/>
        <v>5731.3652997160061</v>
      </c>
      <c r="Z31" s="227">
        <f t="shared" si="22"/>
        <v>5886.8118897969835</v>
      </c>
      <c r="AA31" s="227">
        <f t="shared" si="14"/>
        <v>2348993.3906190773</v>
      </c>
      <c r="AB31" s="201">
        <f t="shared" si="15"/>
        <v>2023</v>
      </c>
      <c r="AC31" s="201">
        <f t="shared" si="23"/>
        <v>2</v>
      </c>
    </row>
    <row r="32" spans="1:29" ht="14.4">
      <c r="A32"/>
      <c r="B32"/>
      <c r="J32" s="210">
        <v>19</v>
      </c>
      <c r="K32" s="226">
        <f t="shared" si="25"/>
        <v>44957</v>
      </c>
      <c r="L32" s="227">
        <f t="shared" si="16"/>
        <v>4397081.6990300436</v>
      </c>
      <c r="M32" s="227">
        <f t="shared" si="17"/>
        <v>25290.377747270501</v>
      </c>
      <c r="N32" s="227">
        <f t="shared" si="9"/>
        <v>8801.321375907839</v>
      </c>
      <c r="O32" s="227">
        <f t="shared" si="10"/>
        <v>16489.056371362662</v>
      </c>
      <c r="P32" s="227">
        <f t="shared" si="11"/>
        <v>4388280.3776541362</v>
      </c>
      <c r="Q32" s="201">
        <f t="shared" si="12"/>
        <v>2023</v>
      </c>
      <c r="R32" s="201">
        <f t="shared" si="18"/>
        <v>2</v>
      </c>
      <c r="U32" s="210">
        <v>19</v>
      </c>
      <c r="V32" s="226">
        <f t="shared" si="19"/>
        <v>44958</v>
      </c>
      <c r="W32" s="227">
        <f t="shared" si="20"/>
        <v>2348993.3906190773</v>
      </c>
      <c r="X32" s="227">
        <f t="shared" si="21"/>
        <v>11618.17718951299</v>
      </c>
      <c r="Y32" s="227">
        <f t="shared" si="13"/>
        <v>5745.6937129652961</v>
      </c>
      <c r="Z32" s="227">
        <f t="shared" si="22"/>
        <v>5872.4834765476935</v>
      </c>
      <c r="AA32" s="227">
        <f t="shared" si="14"/>
        <v>2343247.6969061121</v>
      </c>
      <c r="AB32" s="201">
        <f t="shared" si="15"/>
        <v>2023</v>
      </c>
      <c r="AC32" s="201">
        <f t="shared" si="23"/>
        <v>2</v>
      </c>
    </row>
    <row r="33" spans="1:29" ht="14.4">
      <c r="A33"/>
      <c r="B33"/>
      <c r="J33" s="210">
        <v>20</v>
      </c>
      <c r="K33" s="226">
        <f t="shared" si="25"/>
        <v>44985</v>
      </c>
      <c r="L33" s="227">
        <f t="shared" si="16"/>
        <v>4388280.3776541362</v>
      </c>
      <c r="M33" s="227">
        <f t="shared" si="17"/>
        <v>25290.377747270501</v>
      </c>
      <c r="N33" s="227">
        <f t="shared" si="9"/>
        <v>8834.326331067492</v>
      </c>
      <c r="O33" s="227">
        <f t="shared" si="10"/>
        <v>16456.051416203009</v>
      </c>
      <c r="P33" s="227">
        <f t="shared" si="11"/>
        <v>4379446.0513230683</v>
      </c>
      <c r="Q33" s="201">
        <f t="shared" si="12"/>
        <v>2023</v>
      </c>
      <c r="R33" s="201">
        <f t="shared" si="18"/>
        <v>2</v>
      </c>
      <c r="U33" s="210">
        <v>20</v>
      </c>
      <c r="V33" s="226">
        <f t="shared" si="19"/>
        <v>44986</v>
      </c>
      <c r="W33" s="227">
        <f t="shared" si="20"/>
        <v>2343247.6969061121</v>
      </c>
      <c r="X33" s="227">
        <f t="shared" si="21"/>
        <v>11618.17718951299</v>
      </c>
      <c r="Y33" s="227">
        <f t="shared" si="13"/>
        <v>5760.0579472477093</v>
      </c>
      <c r="Z33" s="227">
        <f t="shared" si="22"/>
        <v>5858.1192422652803</v>
      </c>
      <c r="AA33" s="227">
        <f t="shared" si="14"/>
        <v>2337487.6389588644</v>
      </c>
      <c r="AB33" s="201">
        <f t="shared" si="15"/>
        <v>2023</v>
      </c>
      <c r="AC33" s="201">
        <f t="shared" si="23"/>
        <v>2</v>
      </c>
    </row>
    <row r="34" spans="1:29" ht="14.4">
      <c r="A34"/>
      <c r="B34"/>
      <c r="J34" s="210">
        <v>21</v>
      </c>
      <c r="K34" s="226">
        <f t="shared" si="25"/>
        <v>45016</v>
      </c>
      <c r="L34" s="227">
        <f t="shared" si="16"/>
        <v>4379446.0513230683</v>
      </c>
      <c r="M34" s="227">
        <f t="shared" si="17"/>
        <v>25290.377747270501</v>
      </c>
      <c r="N34" s="227">
        <f t="shared" si="9"/>
        <v>8867.4550548089937</v>
      </c>
      <c r="O34" s="227">
        <f t="shared" si="10"/>
        <v>16422.922692461507</v>
      </c>
      <c r="P34" s="227">
        <f t="shared" si="11"/>
        <v>4370578.596268259</v>
      </c>
      <c r="Q34" s="201">
        <f t="shared" si="12"/>
        <v>2023</v>
      </c>
      <c r="R34" s="201">
        <f t="shared" si="18"/>
        <v>2</v>
      </c>
      <c r="U34" s="210">
        <v>21</v>
      </c>
      <c r="V34" s="226">
        <f t="shared" si="19"/>
        <v>45017</v>
      </c>
      <c r="W34" s="227">
        <f t="shared" si="20"/>
        <v>2337487.6389588644</v>
      </c>
      <c r="X34" s="227">
        <f t="shared" si="21"/>
        <v>11618.17718951299</v>
      </c>
      <c r="Y34" s="227">
        <f t="shared" si="13"/>
        <v>5774.4580921158285</v>
      </c>
      <c r="Z34" s="227">
        <f t="shared" si="22"/>
        <v>5843.719097397161</v>
      </c>
      <c r="AA34" s="227">
        <f t="shared" si="14"/>
        <v>2331713.1808667486</v>
      </c>
      <c r="AB34" s="201">
        <f t="shared" si="15"/>
        <v>2023</v>
      </c>
      <c r="AC34" s="201">
        <f t="shared" si="23"/>
        <v>2</v>
      </c>
    </row>
    <row r="35" spans="1:29" ht="14.4">
      <c r="A35"/>
      <c r="B35"/>
      <c r="J35" s="210">
        <v>22</v>
      </c>
      <c r="K35" s="226">
        <f t="shared" si="25"/>
        <v>45046</v>
      </c>
      <c r="L35" s="227">
        <f t="shared" si="16"/>
        <v>4370578.596268259</v>
      </c>
      <c r="M35" s="227">
        <f t="shared" si="17"/>
        <v>25290.377747270501</v>
      </c>
      <c r="N35" s="227">
        <f t="shared" si="9"/>
        <v>8900.7080112645308</v>
      </c>
      <c r="O35" s="227">
        <f t="shared" si="10"/>
        <v>16389.66973600597</v>
      </c>
      <c r="P35" s="227">
        <f t="shared" si="11"/>
        <v>4361677.8882569941</v>
      </c>
      <c r="Q35" s="201">
        <f t="shared" si="12"/>
        <v>2023</v>
      </c>
      <c r="R35" s="201">
        <f t="shared" si="18"/>
        <v>2</v>
      </c>
      <c r="U35" s="210">
        <v>22</v>
      </c>
      <c r="V35" s="226">
        <f t="shared" si="19"/>
        <v>45047</v>
      </c>
      <c r="W35" s="227">
        <f t="shared" si="20"/>
        <v>2331713.1808667486</v>
      </c>
      <c r="X35" s="227">
        <f t="shared" si="21"/>
        <v>11618.17718951299</v>
      </c>
      <c r="Y35" s="227">
        <f t="shared" si="13"/>
        <v>5788.8942373461177</v>
      </c>
      <c r="Z35" s="227">
        <f t="shared" si="22"/>
        <v>5829.2829521668718</v>
      </c>
      <c r="AA35" s="227">
        <f t="shared" si="14"/>
        <v>2325924.2866294025</v>
      </c>
      <c r="AB35" s="201">
        <f t="shared" si="15"/>
        <v>2023</v>
      </c>
      <c r="AC35" s="201">
        <f t="shared" si="23"/>
        <v>2</v>
      </c>
    </row>
    <row r="36" spans="1:29" ht="14.4">
      <c r="A36"/>
      <c r="B36"/>
      <c r="J36" s="210">
        <v>23</v>
      </c>
      <c r="K36" s="226">
        <f t="shared" si="25"/>
        <v>45077</v>
      </c>
      <c r="L36" s="227">
        <f t="shared" si="16"/>
        <v>4361677.8882569941</v>
      </c>
      <c r="M36" s="227">
        <f t="shared" si="17"/>
        <v>25290.377747270501</v>
      </c>
      <c r="N36" s="227">
        <f t="shared" si="9"/>
        <v>8934.0856663067734</v>
      </c>
      <c r="O36" s="227">
        <f t="shared" si="10"/>
        <v>16356.292080963727</v>
      </c>
      <c r="P36" s="227">
        <f t="shared" si="11"/>
        <v>4352743.8025906878</v>
      </c>
      <c r="Q36" s="201">
        <f t="shared" si="12"/>
        <v>2023</v>
      </c>
      <c r="R36" s="201">
        <f t="shared" si="18"/>
        <v>2</v>
      </c>
      <c r="U36" s="210">
        <v>23</v>
      </c>
      <c r="V36" s="226">
        <f t="shared" si="19"/>
        <v>45078</v>
      </c>
      <c r="W36" s="227">
        <f t="shared" si="20"/>
        <v>2325924.2866294025</v>
      </c>
      <c r="X36" s="227">
        <f t="shared" si="21"/>
        <v>11618.17718951299</v>
      </c>
      <c r="Y36" s="227">
        <f t="shared" si="13"/>
        <v>5803.3664729394832</v>
      </c>
      <c r="Z36" s="227">
        <f t="shared" si="22"/>
        <v>5814.8107165735064</v>
      </c>
      <c r="AA36" s="227">
        <f t="shared" si="14"/>
        <v>2320120.920156463</v>
      </c>
      <c r="AB36" s="201">
        <f t="shared" si="15"/>
        <v>2023</v>
      </c>
      <c r="AC36" s="201">
        <f t="shared" si="23"/>
        <v>2</v>
      </c>
    </row>
    <row r="37" spans="1:29" ht="14.4">
      <c r="A37"/>
      <c r="B37"/>
      <c r="J37" s="210">
        <v>24</v>
      </c>
      <c r="K37" s="226">
        <f t="shared" si="25"/>
        <v>45107</v>
      </c>
      <c r="L37" s="227">
        <f t="shared" si="16"/>
        <v>4352743.8025906878</v>
      </c>
      <c r="M37" s="227">
        <f t="shared" si="17"/>
        <v>25290.377747270501</v>
      </c>
      <c r="N37" s="227">
        <f t="shared" si="9"/>
        <v>8967.588487555422</v>
      </c>
      <c r="O37" s="227">
        <f t="shared" si="10"/>
        <v>16322.789259715079</v>
      </c>
      <c r="P37" s="227">
        <f t="shared" si="11"/>
        <v>4343776.2141031325</v>
      </c>
      <c r="Q37" s="201">
        <f t="shared" si="12"/>
        <v>2023</v>
      </c>
      <c r="R37" s="201">
        <f t="shared" si="18"/>
        <v>2</v>
      </c>
      <c r="U37" s="210">
        <v>24</v>
      </c>
      <c r="V37" s="226">
        <f t="shared" si="19"/>
        <v>45108</v>
      </c>
      <c r="W37" s="227">
        <f t="shared" si="20"/>
        <v>2320120.920156463</v>
      </c>
      <c r="X37" s="227">
        <f t="shared" si="21"/>
        <v>11618.17718951299</v>
      </c>
      <c r="Y37" s="227">
        <f t="shared" si="13"/>
        <v>5817.874889121832</v>
      </c>
      <c r="Z37" s="227">
        <f t="shared" si="22"/>
        <v>5800.3023003911576</v>
      </c>
      <c r="AA37" s="227">
        <f t="shared" si="14"/>
        <v>2314303.0452673412</v>
      </c>
      <c r="AB37" s="201">
        <f t="shared" si="15"/>
        <v>2023</v>
      </c>
      <c r="AC37" s="201">
        <f t="shared" si="23"/>
        <v>2</v>
      </c>
    </row>
    <row r="38" spans="1:29" ht="14.4">
      <c r="J38" s="210">
        <v>25</v>
      </c>
      <c r="K38" s="226">
        <f t="shared" si="25"/>
        <v>45138</v>
      </c>
      <c r="L38" s="227">
        <f t="shared" si="16"/>
        <v>4343776.2141031325</v>
      </c>
      <c r="M38" s="227">
        <f t="shared" si="17"/>
        <v>25290.377747270501</v>
      </c>
      <c r="N38" s="227">
        <f t="shared" si="9"/>
        <v>9001.2169443837538</v>
      </c>
      <c r="O38" s="227">
        <f t="shared" si="10"/>
        <v>16289.160802886747</v>
      </c>
      <c r="P38" s="227">
        <f t="shared" si="11"/>
        <v>4334774.997158749</v>
      </c>
      <c r="Q38" s="201">
        <f t="shared" si="12"/>
        <v>2023</v>
      </c>
      <c r="R38" s="201">
        <f t="shared" si="18"/>
        <v>3</v>
      </c>
      <c r="U38" s="210">
        <v>25</v>
      </c>
      <c r="V38" s="226">
        <f t="shared" si="19"/>
        <v>45139</v>
      </c>
      <c r="W38" s="227">
        <f t="shared" si="20"/>
        <v>2314303.0452673412</v>
      </c>
      <c r="X38" s="227">
        <f t="shared" si="21"/>
        <v>11618.17718951299</v>
      </c>
      <c r="Y38" s="227">
        <f t="shared" si="13"/>
        <v>5832.4195763446369</v>
      </c>
      <c r="Z38" s="227">
        <f t="shared" si="22"/>
        <v>5785.7576131683527</v>
      </c>
      <c r="AA38" s="227">
        <f t="shared" si="14"/>
        <v>2308470.6256909966</v>
      </c>
      <c r="AB38" s="201">
        <f t="shared" si="15"/>
        <v>2023</v>
      </c>
      <c r="AC38" s="201">
        <f t="shared" si="23"/>
        <v>3</v>
      </c>
    </row>
    <row r="39" spans="1:29" ht="14.4">
      <c r="J39" s="210">
        <v>26</v>
      </c>
      <c r="K39" s="226">
        <f t="shared" si="25"/>
        <v>45169</v>
      </c>
      <c r="L39" s="227">
        <f t="shared" si="16"/>
        <v>4334774.997158749</v>
      </c>
      <c r="M39" s="227">
        <f t="shared" si="17"/>
        <v>25290.377747270501</v>
      </c>
      <c r="N39" s="227">
        <f t="shared" si="9"/>
        <v>9034.9715079251928</v>
      </c>
      <c r="O39" s="227">
        <f t="shared" si="10"/>
        <v>16255.406239345308</v>
      </c>
      <c r="P39" s="227">
        <f t="shared" si="11"/>
        <v>4325740.0256508235</v>
      </c>
      <c r="Q39" s="201">
        <f t="shared" si="12"/>
        <v>2023</v>
      </c>
      <c r="R39" s="201">
        <f t="shared" si="18"/>
        <v>3</v>
      </c>
      <c r="U39" s="210">
        <v>26</v>
      </c>
      <c r="V39" s="226">
        <f t="shared" si="19"/>
        <v>45170</v>
      </c>
      <c r="W39" s="227">
        <f t="shared" si="20"/>
        <v>2308470.6256909966</v>
      </c>
      <c r="X39" s="227">
        <f t="shared" si="21"/>
        <v>11618.17718951299</v>
      </c>
      <c r="Y39" s="227">
        <f t="shared" si="13"/>
        <v>5847.0006252854982</v>
      </c>
      <c r="Z39" s="227">
        <f t="shared" si="22"/>
        <v>5771.1765642274913</v>
      </c>
      <c r="AA39" s="227">
        <f t="shared" si="14"/>
        <v>2302623.6250657113</v>
      </c>
      <c r="AB39" s="201">
        <f t="shared" si="15"/>
        <v>2023</v>
      </c>
      <c r="AC39" s="201">
        <f t="shared" si="23"/>
        <v>3</v>
      </c>
    </row>
    <row r="40" spans="1:29" ht="14.4">
      <c r="J40" s="210">
        <v>27</v>
      </c>
      <c r="K40" s="226">
        <f t="shared" si="25"/>
        <v>45199</v>
      </c>
      <c r="L40" s="227">
        <f t="shared" si="16"/>
        <v>4325740.0256508235</v>
      </c>
      <c r="M40" s="227">
        <f t="shared" si="17"/>
        <v>25290.377747270501</v>
      </c>
      <c r="N40" s="227">
        <f t="shared" si="9"/>
        <v>9068.8526510799129</v>
      </c>
      <c r="O40" s="227">
        <f t="shared" si="10"/>
        <v>16221.525096190588</v>
      </c>
      <c r="P40" s="227">
        <f t="shared" si="11"/>
        <v>4316671.1729997434</v>
      </c>
      <c r="Q40" s="201">
        <f t="shared" si="12"/>
        <v>2023</v>
      </c>
      <c r="R40" s="201">
        <f t="shared" si="18"/>
        <v>3</v>
      </c>
      <c r="U40" s="210">
        <v>27</v>
      </c>
      <c r="V40" s="226">
        <f t="shared" si="19"/>
        <v>45200</v>
      </c>
      <c r="W40" s="227">
        <f t="shared" si="20"/>
        <v>2302623.6250657113</v>
      </c>
      <c r="X40" s="227">
        <f t="shared" si="21"/>
        <v>11618.17718951299</v>
      </c>
      <c r="Y40" s="227">
        <f t="shared" si="13"/>
        <v>5861.6181268487107</v>
      </c>
      <c r="Z40" s="227">
        <f t="shared" si="22"/>
        <v>5756.5590626642788</v>
      </c>
      <c r="AA40" s="227">
        <f t="shared" si="14"/>
        <v>2296762.0069388626</v>
      </c>
      <c r="AB40" s="201">
        <f t="shared" si="15"/>
        <v>2023</v>
      </c>
      <c r="AC40" s="201">
        <f t="shared" si="23"/>
        <v>3</v>
      </c>
    </row>
    <row r="41" spans="1:29" ht="14.4">
      <c r="J41" s="210">
        <v>28</v>
      </c>
      <c r="K41" s="226">
        <f t="shared" si="25"/>
        <v>45230</v>
      </c>
      <c r="L41" s="227">
        <f t="shared" si="16"/>
        <v>4316671.1729997434</v>
      </c>
      <c r="M41" s="227">
        <f t="shared" si="17"/>
        <v>25290.377747270501</v>
      </c>
      <c r="N41" s="227">
        <f t="shared" si="9"/>
        <v>9102.8608485214627</v>
      </c>
      <c r="O41" s="227">
        <f t="shared" si="10"/>
        <v>16187.516898749038</v>
      </c>
      <c r="P41" s="227">
        <f t="shared" si="11"/>
        <v>4307568.3121512216</v>
      </c>
      <c r="Q41" s="201">
        <f t="shared" si="12"/>
        <v>2023</v>
      </c>
      <c r="R41" s="201">
        <f t="shared" si="18"/>
        <v>3</v>
      </c>
      <c r="U41" s="210">
        <v>28</v>
      </c>
      <c r="V41" s="226">
        <f t="shared" si="19"/>
        <v>45231</v>
      </c>
      <c r="W41" s="227">
        <f t="shared" si="20"/>
        <v>2296762.0069388626</v>
      </c>
      <c r="X41" s="227">
        <f t="shared" si="21"/>
        <v>11618.17718951299</v>
      </c>
      <c r="Y41" s="227">
        <f t="shared" si="13"/>
        <v>5876.2721721658327</v>
      </c>
      <c r="Z41" s="227">
        <f t="shared" si="22"/>
        <v>5741.9050173471569</v>
      </c>
      <c r="AA41" s="227">
        <f t="shared" si="14"/>
        <v>2290885.7347666966</v>
      </c>
      <c r="AB41" s="201">
        <f t="shared" si="15"/>
        <v>2023</v>
      </c>
      <c r="AC41" s="201">
        <f t="shared" si="23"/>
        <v>3</v>
      </c>
    </row>
    <row r="42" spans="1:29" ht="14.4">
      <c r="J42" s="210">
        <v>29</v>
      </c>
      <c r="K42" s="226">
        <f t="shared" si="25"/>
        <v>45260</v>
      </c>
      <c r="L42" s="227">
        <f t="shared" si="16"/>
        <v>4307568.3121512216</v>
      </c>
      <c r="M42" s="227">
        <f t="shared" si="17"/>
        <v>25290.377747270501</v>
      </c>
      <c r="N42" s="227">
        <f t="shared" si="9"/>
        <v>9136.9965767034209</v>
      </c>
      <c r="O42" s="227">
        <f t="shared" si="10"/>
        <v>16153.38117056708</v>
      </c>
      <c r="P42" s="227">
        <f t="shared" si="11"/>
        <v>4298431.3155745184</v>
      </c>
      <c r="Q42" s="201">
        <f t="shared" si="12"/>
        <v>2023</v>
      </c>
      <c r="R42" s="201">
        <f t="shared" si="18"/>
        <v>3</v>
      </c>
      <c r="U42" s="210">
        <v>29</v>
      </c>
      <c r="V42" s="226">
        <f t="shared" si="19"/>
        <v>45261</v>
      </c>
      <c r="W42" s="227">
        <f t="shared" si="20"/>
        <v>2290885.7347666966</v>
      </c>
      <c r="X42" s="227">
        <f t="shared" si="21"/>
        <v>11618.17718951299</v>
      </c>
      <c r="Y42" s="227">
        <f t="shared" si="13"/>
        <v>5890.962852596248</v>
      </c>
      <c r="Z42" s="227">
        <f t="shared" si="22"/>
        <v>5727.2143369167416</v>
      </c>
      <c r="AA42" s="227">
        <f t="shared" si="14"/>
        <v>2284994.7719141003</v>
      </c>
      <c r="AB42" s="201">
        <f t="shared" si="15"/>
        <v>2023</v>
      </c>
      <c r="AC42" s="201">
        <f t="shared" si="23"/>
        <v>3</v>
      </c>
    </row>
    <row r="43" spans="1:29" ht="14.4">
      <c r="J43" s="210">
        <v>30</v>
      </c>
      <c r="K43" s="226">
        <f t="shared" si="25"/>
        <v>45291</v>
      </c>
      <c r="L43" s="227">
        <f t="shared" si="16"/>
        <v>4298431.3155745184</v>
      </c>
      <c r="M43" s="227">
        <f t="shared" si="17"/>
        <v>25290.377747270501</v>
      </c>
      <c r="N43" s="227">
        <f t="shared" si="9"/>
        <v>9171.2603138660579</v>
      </c>
      <c r="O43" s="227">
        <f t="shared" si="10"/>
        <v>16119.117433404443</v>
      </c>
      <c r="P43" s="227">
        <f t="shared" si="11"/>
        <v>4289260.0552606527</v>
      </c>
      <c r="Q43" s="201">
        <f t="shared" si="12"/>
        <v>2023</v>
      </c>
      <c r="R43" s="201">
        <f t="shared" si="18"/>
        <v>3</v>
      </c>
      <c r="U43" s="210">
        <v>30</v>
      </c>
      <c r="V43" s="226">
        <f t="shared" si="19"/>
        <v>45292</v>
      </c>
      <c r="W43" s="227">
        <f t="shared" si="20"/>
        <v>2284994.7719141003</v>
      </c>
      <c r="X43" s="227">
        <f t="shared" si="21"/>
        <v>11618.17718951299</v>
      </c>
      <c r="Y43" s="227">
        <f t="shared" si="13"/>
        <v>5905.6902597277385</v>
      </c>
      <c r="Z43" s="227">
        <f t="shared" si="22"/>
        <v>5712.486929785251</v>
      </c>
      <c r="AA43" s="227">
        <f t="shared" si="14"/>
        <v>2279089.0816543726</v>
      </c>
      <c r="AB43" s="201">
        <f t="shared" si="15"/>
        <v>2024</v>
      </c>
      <c r="AC43" s="201">
        <f t="shared" si="23"/>
        <v>3</v>
      </c>
    </row>
    <row r="44" spans="1:29" ht="14.4">
      <c r="J44" s="210">
        <v>31</v>
      </c>
      <c r="K44" s="226">
        <f t="shared" si="25"/>
        <v>45322</v>
      </c>
      <c r="L44" s="227">
        <f t="shared" si="16"/>
        <v>4289260.0552606527</v>
      </c>
      <c r="M44" s="227">
        <f t="shared" si="17"/>
        <v>25290.377747270501</v>
      </c>
      <c r="N44" s="227">
        <f t="shared" si="9"/>
        <v>9205.6525400430528</v>
      </c>
      <c r="O44" s="227">
        <f t="shared" si="10"/>
        <v>16084.725207227448</v>
      </c>
      <c r="P44" s="227">
        <f t="shared" si="11"/>
        <v>4280054.4027206097</v>
      </c>
      <c r="Q44" s="201">
        <f t="shared" si="12"/>
        <v>2024</v>
      </c>
      <c r="R44" s="201">
        <f t="shared" si="18"/>
        <v>3</v>
      </c>
      <c r="U44" s="210">
        <v>31</v>
      </c>
      <c r="V44" s="226">
        <f t="shared" si="19"/>
        <v>45323</v>
      </c>
      <c r="W44" s="227">
        <f t="shared" si="20"/>
        <v>2279089.0816543726</v>
      </c>
      <c r="X44" s="227">
        <f t="shared" si="21"/>
        <v>11618.17718951299</v>
      </c>
      <c r="Y44" s="227">
        <f t="shared" si="13"/>
        <v>5920.4544853770576</v>
      </c>
      <c r="Z44" s="227">
        <f t="shared" si="22"/>
        <v>5697.722704135932</v>
      </c>
      <c r="AA44" s="227">
        <f t="shared" si="14"/>
        <v>2273168.6271689958</v>
      </c>
      <c r="AB44" s="201">
        <f t="shared" si="15"/>
        <v>2024</v>
      </c>
      <c r="AC44" s="201">
        <f t="shared" si="23"/>
        <v>3</v>
      </c>
    </row>
    <row r="45" spans="1:29" ht="14.4">
      <c r="J45" s="210">
        <v>32</v>
      </c>
      <c r="K45" s="226">
        <f t="shared" si="25"/>
        <v>45351</v>
      </c>
      <c r="L45" s="227">
        <f t="shared" si="16"/>
        <v>4280054.4027206097</v>
      </c>
      <c r="M45" s="227">
        <f t="shared" si="17"/>
        <v>25290.377747270501</v>
      </c>
      <c r="N45" s="227">
        <f t="shared" si="9"/>
        <v>9240.1737370682149</v>
      </c>
      <c r="O45" s="227">
        <f t="shared" si="10"/>
        <v>16050.204010202286</v>
      </c>
      <c r="P45" s="227">
        <f t="shared" si="11"/>
        <v>4270814.228983541</v>
      </c>
      <c r="Q45" s="201">
        <f t="shared" si="12"/>
        <v>2024</v>
      </c>
      <c r="R45" s="201">
        <f t="shared" si="18"/>
        <v>3</v>
      </c>
      <c r="U45" s="210">
        <v>32</v>
      </c>
      <c r="V45" s="226">
        <f t="shared" si="19"/>
        <v>45352</v>
      </c>
      <c r="W45" s="227">
        <f t="shared" si="20"/>
        <v>2273168.6271689958</v>
      </c>
      <c r="X45" s="227">
        <f t="shared" si="21"/>
        <v>11618.17718951299</v>
      </c>
      <c r="Y45" s="227">
        <f t="shared" si="13"/>
        <v>5935.2556215904997</v>
      </c>
      <c r="Z45" s="227">
        <f t="shared" si="22"/>
        <v>5682.9215679224899</v>
      </c>
      <c r="AA45" s="227">
        <f t="shared" si="14"/>
        <v>2267233.3715474051</v>
      </c>
      <c r="AB45" s="201">
        <f t="shared" si="15"/>
        <v>2024</v>
      </c>
      <c r="AC45" s="201">
        <f t="shared" si="23"/>
        <v>3</v>
      </c>
    </row>
    <row r="46" spans="1:29" ht="14.4">
      <c r="J46" s="210">
        <v>33</v>
      </c>
      <c r="K46" s="226">
        <f t="shared" si="25"/>
        <v>45382</v>
      </c>
      <c r="L46" s="227">
        <f t="shared" si="16"/>
        <v>4270814.228983541</v>
      </c>
      <c r="M46" s="227">
        <f t="shared" si="17"/>
        <v>25290.377747270501</v>
      </c>
      <c r="N46" s="227">
        <f t="shared" si="9"/>
        <v>9274.824388582223</v>
      </c>
      <c r="O46" s="227">
        <f t="shared" ref="O46:O77" si="26">L46*$K$6</f>
        <v>16015.553358688278</v>
      </c>
      <c r="P46" s="227">
        <f t="shared" si="11"/>
        <v>4261539.4045949588</v>
      </c>
      <c r="Q46" s="201">
        <f t="shared" si="12"/>
        <v>2024</v>
      </c>
      <c r="R46" s="201">
        <f t="shared" si="18"/>
        <v>3</v>
      </c>
      <c r="U46" s="210">
        <v>33</v>
      </c>
      <c r="V46" s="226">
        <f t="shared" si="19"/>
        <v>45383</v>
      </c>
      <c r="W46" s="227">
        <f t="shared" si="20"/>
        <v>2267233.3715474051</v>
      </c>
      <c r="X46" s="227">
        <f t="shared" si="21"/>
        <v>11618.17718951299</v>
      </c>
      <c r="Y46" s="227">
        <f t="shared" si="13"/>
        <v>5950.0937606444768</v>
      </c>
      <c r="Z46" s="227">
        <f t="shared" si="22"/>
        <v>5668.0834288685128</v>
      </c>
      <c r="AA46" s="227">
        <f t="shared" si="14"/>
        <v>2261283.2777867606</v>
      </c>
      <c r="AB46" s="201">
        <f t="shared" si="15"/>
        <v>2024</v>
      </c>
      <c r="AC46" s="201">
        <f t="shared" si="23"/>
        <v>3</v>
      </c>
    </row>
    <row r="47" spans="1:29" ht="14.4">
      <c r="J47" s="210">
        <v>34</v>
      </c>
      <c r="K47" s="226">
        <f t="shared" si="25"/>
        <v>45412</v>
      </c>
      <c r="L47" s="227">
        <f t="shared" si="16"/>
        <v>4261539.4045949588</v>
      </c>
      <c r="M47" s="227">
        <f t="shared" si="17"/>
        <v>25290.377747270501</v>
      </c>
      <c r="N47" s="227">
        <f t="shared" si="9"/>
        <v>9309.6049800394067</v>
      </c>
      <c r="O47" s="227">
        <f t="shared" si="26"/>
        <v>15980.772767231094</v>
      </c>
      <c r="P47" s="227">
        <f t="shared" si="11"/>
        <v>4252229.7996149193</v>
      </c>
      <c r="Q47" s="201">
        <f t="shared" si="12"/>
        <v>2024</v>
      </c>
      <c r="R47" s="201">
        <f t="shared" si="18"/>
        <v>3</v>
      </c>
      <c r="U47" s="210">
        <v>34</v>
      </c>
      <c r="V47" s="226">
        <f t="shared" si="19"/>
        <v>45413</v>
      </c>
      <c r="W47" s="227">
        <f t="shared" si="20"/>
        <v>2261283.2777867606</v>
      </c>
      <c r="X47" s="227">
        <f t="shared" si="21"/>
        <v>11618.17718951299</v>
      </c>
      <c r="Y47" s="227">
        <f t="shared" si="13"/>
        <v>5964.9689950460879</v>
      </c>
      <c r="Z47" s="227">
        <f t="shared" si="22"/>
        <v>5653.2081944669017</v>
      </c>
      <c r="AA47" s="227">
        <f t="shared" si="14"/>
        <v>2255318.3087917147</v>
      </c>
      <c r="AB47" s="201">
        <f t="shared" si="15"/>
        <v>2024</v>
      </c>
      <c r="AC47" s="201">
        <f t="shared" si="23"/>
        <v>3</v>
      </c>
    </row>
    <row r="48" spans="1:29" ht="14.4">
      <c r="J48" s="210">
        <v>35</v>
      </c>
      <c r="K48" s="226">
        <f t="shared" si="25"/>
        <v>45443</v>
      </c>
      <c r="L48" s="227">
        <f t="shared" si="16"/>
        <v>4252229.7996149193</v>
      </c>
      <c r="M48" s="227">
        <f t="shared" si="17"/>
        <v>25290.377747270501</v>
      </c>
      <c r="N48" s="227">
        <f t="shared" si="9"/>
        <v>9344.5159987145544</v>
      </c>
      <c r="O48" s="227">
        <f t="shared" si="26"/>
        <v>15945.861748555946</v>
      </c>
      <c r="P48" s="227">
        <f t="shared" si="11"/>
        <v>4242885.2836162047</v>
      </c>
      <c r="Q48" s="201">
        <f t="shared" si="12"/>
        <v>2024</v>
      </c>
      <c r="R48" s="201">
        <f t="shared" si="18"/>
        <v>3</v>
      </c>
      <c r="U48" s="210">
        <v>35</v>
      </c>
      <c r="V48" s="226">
        <f t="shared" si="19"/>
        <v>45444</v>
      </c>
      <c r="W48" s="227">
        <f t="shared" si="20"/>
        <v>2255318.3087917147</v>
      </c>
      <c r="X48" s="227">
        <f t="shared" si="21"/>
        <v>11618.17718951299</v>
      </c>
      <c r="Y48" s="227">
        <f t="shared" si="13"/>
        <v>5979.8814175337029</v>
      </c>
      <c r="Z48" s="227">
        <f t="shared" si="22"/>
        <v>5638.2957719792867</v>
      </c>
      <c r="AA48" s="227">
        <f t="shared" si="14"/>
        <v>2249338.4273741809</v>
      </c>
      <c r="AB48" s="201">
        <f t="shared" si="15"/>
        <v>2024</v>
      </c>
      <c r="AC48" s="201">
        <f t="shared" si="23"/>
        <v>3</v>
      </c>
    </row>
    <row r="49" spans="10:29" ht="14.4">
      <c r="J49" s="210">
        <v>36</v>
      </c>
      <c r="K49" s="226">
        <f t="shared" si="25"/>
        <v>45473</v>
      </c>
      <c r="L49" s="227">
        <f t="shared" si="16"/>
        <v>4242885.2836162047</v>
      </c>
      <c r="M49" s="227">
        <f t="shared" si="17"/>
        <v>25290.377747270501</v>
      </c>
      <c r="N49" s="227">
        <f t="shared" si="9"/>
        <v>9379.5579337097333</v>
      </c>
      <c r="O49" s="227">
        <f t="shared" si="26"/>
        <v>15910.819813560767</v>
      </c>
      <c r="P49" s="227">
        <f t="shared" si="11"/>
        <v>4233505.7256824952</v>
      </c>
      <c r="Q49" s="201">
        <f t="shared" si="12"/>
        <v>2024</v>
      </c>
      <c r="R49" s="201">
        <f t="shared" si="18"/>
        <v>3</v>
      </c>
      <c r="U49" s="210">
        <v>36</v>
      </c>
      <c r="V49" s="226">
        <f t="shared" si="19"/>
        <v>45474</v>
      </c>
      <c r="W49" s="227">
        <f t="shared" si="20"/>
        <v>2249338.4273741809</v>
      </c>
      <c r="X49" s="227">
        <f t="shared" si="21"/>
        <v>11618.17718951299</v>
      </c>
      <c r="Y49" s="227">
        <f t="shared" si="13"/>
        <v>5994.8311210775373</v>
      </c>
      <c r="Z49" s="227">
        <f t="shared" si="22"/>
        <v>5623.3460684354523</v>
      </c>
      <c r="AA49" s="227">
        <f t="shared" si="14"/>
        <v>2243343.5962531031</v>
      </c>
      <c r="AB49" s="201">
        <f t="shared" si="15"/>
        <v>2024</v>
      </c>
      <c r="AC49" s="201">
        <f t="shared" si="23"/>
        <v>3</v>
      </c>
    </row>
    <row r="50" spans="10:29" ht="14.4">
      <c r="J50" s="210">
        <v>37</v>
      </c>
      <c r="K50" s="226">
        <f t="shared" si="25"/>
        <v>45504</v>
      </c>
      <c r="L50" s="227">
        <f t="shared" si="16"/>
        <v>4233505.7256824952</v>
      </c>
      <c r="M50" s="227">
        <f t="shared" si="17"/>
        <v>25290.377747270501</v>
      </c>
      <c r="N50" s="227">
        <f t="shared" si="9"/>
        <v>9414.731275961145</v>
      </c>
      <c r="O50" s="227">
        <f t="shared" si="26"/>
        <v>15875.646471309356</v>
      </c>
      <c r="P50" s="227">
        <f t="shared" si="11"/>
        <v>4224090.9944065344</v>
      </c>
      <c r="Q50" s="201">
        <f t="shared" si="12"/>
        <v>2024</v>
      </c>
      <c r="R50" s="201">
        <f t="shared" si="18"/>
        <v>4</v>
      </c>
      <c r="U50" s="210">
        <v>37</v>
      </c>
      <c r="V50" s="226">
        <f t="shared" si="19"/>
        <v>45505</v>
      </c>
      <c r="W50" s="227">
        <f t="shared" si="20"/>
        <v>2243343.5962531031</v>
      </c>
      <c r="X50" s="227">
        <f t="shared" si="21"/>
        <v>11618.17718951299</v>
      </c>
      <c r="Y50" s="227">
        <f t="shared" si="13"/>
        <v>6009.8181988802316</v>
      </c>
      <c r="Z50" s="227">
        <f t="shared" si="22"/>
        <v>5608.3589906327579</v>
      </c>
      <c r="AA50" s="227">
        <f t="shared" si="14"/>
        <v>2237333.7780542229</v>
      </c>
      <c r="AB50" s="201">
        <f t="shared" si="15"/>
        <v>2024</v>
      </c>
      <c r="AC50" s="201">
        <f t="shared" si="23"/>
        <v>4</v>
      </c>
    </row>
    <row r="51" spans="10:29" ht="14.4">
      <c r="J51" s="210">
        <v>38</v>
      </c>
      <c r="K51" s="226">
        <f t="shared" si="25"/>
        <v>45535</v>
      </c>
      <c r="L51" s="227">
        <f t="shared" si="16"/>
        <v>4224090.9944065344</v>
      </c>
      <c r="M51" s="227">
        <f t="shared" si="17"/>
        <v>25290.377747270501</v>
      </c>
      <c r="N51" s="227">
        <f t="shared" si="9"/>
        <v>9450.0365182459973</v>
      </c>
      <c r="O51" s="227">
        <f t="shared" si="26"/>
        <v>15840.341229024503</v>
      </c>
      <c r="P51" s="227">
        <f t="shared" si="11"/>
        <v>4214640.9578882884</v>
      </c>
      <c r="Q51" s="201">
        <f t="shared" si="12"/>
        <v>2024</v>
      </c>
      <c r="R51" s="201">
        <f t="shared" si="18"/>
        <v>4</v>
      </c>
      <c r="U51" s="210">
        <v>38</v>
      </c>
      <c r="V51" s="226">
        <f t="shared" si="19"/>
        <v>45536</v>
      </c>
      <c r="W51" s="227">
        <f t="shared" si="20"/>
        <v>2237333.7780542229</v>
      </c>
      <c r="X51" s="227">
        <f t="shared" si="21"/>
        <v>11618.17718951299</v>
      </c>
      <c r="Y51" s="227">
        <f t="shared" si="13"/>
        <v>6024.8427443774317</v>
      </c>
      <c r="Z51" s="227">
        <f t="shared" si="22"/>
        <v>5593.3344451355579</v>
      </c>
      <c r="AA51" s="227">
        <f t="shared" si="14"/>
        <v>2231308.9353098455</v>
      </c>
      <c r="AB51" s="201">
        <f t="shared" si="15"/>
        <v>2024</v>
      </c>
      <c r="AC51" s="201">
        <f t="shared" si="23"/>
        <v>4</v>
      </c>
    </row>
    <row r="52" spans="10:29" ht="14.4">
      <c r="J52" s="210">
        <v>39</v>
      </c>
      <c r="K52" s="226">
        <f t="shared" si="25"/>
        <v>45565</v>
      </c>
      <c r="L52" s="227">
        <f t="shared" si="16"/>
        <v>4214640.9578882884</v>
      </c>
      <c r="M52" s="227">
        <f t="shared" si="17"/>
        <v>25290.377747270501</v>
      </c>
      <c r="N52" s="227">
        <f t="shared" si="9"/>
        <v>9485.4741551894203</v>
      </c>
      <c r="O52" s="227">
        <f t="shared" si="26"/>
        <v>15804.90359208108</v>
      </c>
      <c r="P52" s="227">
        <f t="shared" si="11"/>
        <v>4205155.483733099</v>
      </c>
      <c r="Q52" s="201">
        <f t="shared" si="12"/>
        <v>2024</v>
      </c>
      <c r="R52" s="201">
        <f t="shared" si="18"/>
        <v>4</v>
      </c>
      <c r="U52" s="210">
        <v>39</v>
      </c>
      <c r="V52" s="226">
        <f t="shared" si="19"/>
        <v>45566</v>
      </c>
      <c r="W52" s="227">
        <f t="shared" si="20"/>
        <v>2231308.9353098455</v>
      </c>
      <c r="X52" s="227">
        <f t="shared" si="21"/>
        <v>11618.17718951299</v>
      </c>
      <c r="Y52" s="227">
        <f t="shared" si="13"/>
        <v>6039.9048512383761</v>
      </c>
      <c r="Z52" s="227">
        <f t="shared" si="22"/>
        <v>5578.2723382746135</v>
      </c>
      <c r="AA52" s="227">
        <f t="shared" si="14"/>
        <v>2225269.0304586072</v>
      </c>
      <c r="AB52" s="201">
        <f t="shared" si="15"/>
        <v>2024</v>
      </c>
      <c r="AC52" s="201">
        <f t="shared" si="23"/>
        <v>4</v>
      </c>
    </row>
    <row r="53" spans="10:29" ht="14.4">
      <c r="J53" s="210">
        <v>40</v>
      </c>
      <c r="K53" s="226">
        <f t="shared" si="25"/>
        <v>45596</v>
      </c>
      <c r="L53" s="227">
        <f t="shared" si="16"/>
        <v>4205155.483733099</v>
      </c>
      <c r="M53" s="227">
        <f t="shared" si="17"/>
        <v>25290.377747270501</v>
      </c>
      <c r="N53" s="227">
        <f t="shared" si="9"/>
        <v>9521.0446832713806</v>
      </c>
      <c r="O53" s="227">
        <f t="shared" si="26"/>
        <v>15769.33306399912</v>
      </c>
      <c r="P53" s="227">
        <f t="shared" si="11"/>
        <v>4195634.4390498279</v>
      </c>
      <c r="Q53" s="201">
        <f t="shared" si="12"/>
        <v>2024</v>
      </c>
      <c r="R53" s="201">
        <f t="shared" si="18"/>
        <v>4</v>
      </c>
      <c r="U53" s="210">
        <v>40</v>
      </c>
      <c r="V53" s="226">
        <f t="shared" si="19"/>
        <v>45597</v>
      </c>
      <c r="W53" s="227">
        <f t="shared" si="20"/>
        <v>2225269.0304586072</v>
      </c>
      <c r="X53" s="227">
        <f t="shared" si="21"/>
        <v>11618.17718951299</v>
      </c>
      <c r="Y53" s="227">
        <f t="shared" si="13"/>
        <v>6055.0046133664709</v>
      </c>
      <c r="Z53" s="227">
        <f t="shared" si="22"/>
        <v>5563.1725761465186</v>
      </c>
      <c r="AA53" s="227">
        <f t="shared" si="14"/>
        <v>2219214.0258452408</v>
      </c>
      <c r="AB53" s="201">
        <f t="shared" si="15"/>
        <v>2024</v>
      </c>
      <c r="AC53" s="201">
        <f t="shared" si="23"/>
        <v>4</v>
      </c>
    </row>
    <row r="54" spans="10:29" ht="14.4">
      <c r="J54" s="210">
        <v>41</v>
      </c>
      <c r="K54" s="226">
        <f t="shared" si="25"/>
        <v>45626</v>
      </c>
      <c r="L54" s="227">
        <f t="shared" si="16"/>
        <v>4195634.4390498279</v>
      </c>
      <c r="M54" s="227">
        <f t="shared" si="17"/>
        <v>25290.377747270501</v>
      </c>
      <c r="N54" s="227">
        <f t="shared" si="9"/>
        <v>9556.7486008336473</v>
      </c>
      <c r="O54" s="227">
        <f t="shared" si="26"/>
        <v>15733.629146436853</v>
      </c>
      <c r="P54" s="227">
        <f t="shared" si="11"/>
        <v>4186077.6904489943</v>
      </c>
      <c r="Q54" s="201">
        <f t="shared" si="12"/>
        <v>2024</v>
      </c>
      <c r="R54" s="201">
        <f t="shared" si="18"/>
        <v>4</v>
      </c>
      <c r="U54" s="210">
        <v>41</v>
      </c>
      <c r="V54" s="226">
        <f t="shared" si="19"/>
        <v>45627</v>
      </c>
      <c r="W54" s="227">
        <f t="shared" si="20"/>
        <v>2219214.0258452408</v>
      </c>
      <c r="X54" s="227">
        <f t="shared" si="21"/>
        <v>11618.17718951299</v>
      </c>
      <c r="Y54" s="227">
        <f t="shared" si="13"/>
        <v>6070.1421248998877</v>
      </c>
      <c r="Z54" s="227">
        <f t="shared" si="22"/>
        <v>5548.0350646131019</v>
      </c>
      <c r="AA54" s="227">
        <f t="shared" si="14"/>
        <v>2213143.8837203411</v>
      </c>
      <c r="AB54" s="201">
        <f t="shared" si="15"/>
        <v>2024</v>
      </c>
      <c r="AC54" s="201">
        <f t="shared" si="23"/>
        <v>4</v>
      </c>
    </row>
    <row r="55" spans="10:29" ht="14.4">
      <c r="J55" s="210">
        <v>42</v>
      </c>
      <c r="K55" s="226">
        <f t="shared" si="25"/>
        <v>45657</v>
      </c>
      <c r="L55" s="227">
        <f t="shared" si="16"/>
        <v>4186077.6904489943</v>
      </c>
      <c r="M55" s="227">
        <f t="shared" si="17"/>
        <v>25290.377747270501</v>
      </c>
      <c r="N55" s="227">
        <f t="shared" si="9"/>
        <v>9592.5864080867723</v>
      </c>
      <c r="O55" s="227">
        <f t="shared" si="26"/>
        <v>15697.791339183728</v>
      </c>
      <c r="P55" s="227">
        <f t="shared" si="11"/>
        <v>4176485.1040409077</v>
      </c>
      <c r="Q55" s="201">
        <f t="shared" si="12"/>
        <v>2024</v>
      </c>
      <c r="R55" s="201">
        <f t="shared" si="18"/>
        <v>4</v>
      </c>
      <c r="U55" s="210">
        <v>42</v>
      </c>
      <c r="V55" s="226">
        <f t="shared" si="19"/>
        <v>45658</v>
      </c>
      <c r="W55" s="227">
        <f t="shared" si="20"/>
        <v>2213143.8837203411</v>
      </c>
      <c r="X55" s="227">
        <f t="shared" si="21"/>
        <v>11618.17718951299</v>
      </c>
      <c r="Y55" s="227">
        <f t="shared" si="13"/>
        <v>6085.3174802121366</v>
      </c>
      <c r="Z55" s="227">
        <f t="shared" si="22"/>
        <v>5532.859709300853</v>
      </c>
      <c r="AA55" s="227">
        <f t="shared" si="14"/>
        <v>2207058.5662401291</v>
      </c>
      <c r="AB55" s="201">
        <f t="shared" si="15"/>
        <v>2025</v>
      </c>
      <c r="AC55" s="201">
        <f t="shared" si="23"/>
        <v>4</v>
      </c>
    </row>
    <row r="56" spans="10:29" ht="14.4">
      <c r="J56" s="210">
        <v>43</v>
      </c>
      <c r="K56" s="226">
        <f t="shared" si="25"/>
        <v>45688</v>
      </c>
      <c r="L56" s="227">
        <f t="shared" si="16"/>
        <v>4176485.1040409077</v>
      </c>
      <c r="M56" s="227">
        <f t="shared" si="17"/>
        <v>25290.377747270501</v>
      </c>
      <c r="N56" s="227">
        <f t="shared" si="9"/>
        <v>9628.5586071170965</v>
      </c>
      <c r="O56" s="227">
        <f t="shared" si="26"/>
        <v>15661.819140153404</v>
      </c>
      <c r="P56" s="227">
        <f t="shared" si="11"/>
        <v>4166856.5454337904</v>
      </c>
      <c r="Q56" s="201">
        <f t="shared" si="12"/>
        <v>2025</v>
      </c>
      <c r="R56" s="201">
        <f t="shared" si="18"/>
        <v>4</v>
      </c>
      <c r="U56" s="210">
        <v>43</v>
      </c>
      <c r="V56" s="226">
        <f t="shared" si="19"/>
        <v>45689</v>
      </c>
      <c r="W56" s="227">
        <f t="shared" si="20"/>
        <v>2207058.5662401291</v>
      </c>
      <c r="X56" s="227">
        <f t="shared" si="21"/>
        <v>11618.17718951299</v>
      </c>
      <c r="Y56" s="227">
        <f t="shared" si="13"/>
        <v>6100.5307739126665</v>
      </c>
      <c r="Z56" s="227">
        <f t="shared" si="22"/>
        <v>5517.6464156003231</v>
      </c>
      <c r="AA56" s="227">
        <f t="shared" si="14"/>
        <v>2200958.0354662165</v>
      </c>
      <c r="AB56" s="201">
        <f t="shared" si="15"/>
        <v>2025</v>
      </c>
      <c r="AC56" s="201">
        <f t="shared" si="23"/>
        <v>4</v>
      </c>
    </row>
    <row r="57" spans="10:29" ht="14.4">
      <c r="J57" s="210">
        <v>44</v>
      </c>
      <c r="K57" s="226">
        <f t="shared" si="25"/>
        <v>45716</v>
      </c>
      <c r="L57" s="227">
        <f t="shared" si="16"/>
        <v>4166856.5454337904</v>
      </c>
      <c r="M57" s="227">
        <f t="shared" si="17"/>
        <v>25290.377747270501</v>
      </c>
      <c r="N57" s="227">
        <f t="shared" si="9"/>
        <v>9664.6657018937876</v>
      </c>
      <c r="O57" s="227">
        <f t="shared" si="26"/>
        <v>15625.712045376713</v>
      </c>
      <c r="P57" s="227">
        <f t="shared" si="11"/>
        <v>4157191.8797318968</v>
      </c>
      <c r="Q57" s="201">
        <f t="shared" si="12"/>
        <v>2025</v>
      </c>
      <c r="R57" s="201">
        <f t="shared" si="18"/>
        <v>4</v>
      </c>
      <c r="U57" s="210">
        <v>44</v>
      </c>
      <c r="V57" s="226">
        <f t="shared" si="19"/>
        <v>45717</v>
      </c>
      <c r="W57" s="227">
        <f t="shared" si="20"/>
        <v>2200958.0354662165</v>
      </c>
      <c r="X57" s="227">
        <f t="shared" si="21"/>
        <v>11618.17718951299</v>
      </c>
      <c r="Y57" s="227">
        <f t="shared" si="13"/>
        <v>6115.7821008474484</v>
      </c>
      <c r="Z57" s="227">
        <f t="shared" si="22"/>
        <v>5502.3950886655412</v>
      </c>
      <c r="AA57" s="227">
        <f t="shared" si="14"/>
        <v>2194842.253365369</v>
      </c>
      <c r="AB57" s="201">
        <f t="shared" si="15"/>
        <v>2025</v>
      </c>
      <c r="AC57" s="201">
        <f t="shared" si="23"/>
        <v>4</v>
      </c>
    </row>
    <row r="58" spans="10:29" ht="14.4">
      <c r="J58" s="210">
        <v>45</v>
      </c>
      <c r="K58" s="226">
        <f t="shared" si="25"/>
        <v>45747</v>
      </c>
      <c r="L58" s="227">
        <f t="shared" si="16"/>
        <v>4157191.8797318968</v>
      </c>
      <c r="M58" s="227">
        <f t="shared" si="17"/>
        <v>25290.377747270501</v>
      </c>
      <c r="N58" s="227">
        <f t="shared" si="9"/>
        <v>9700.9081982758889</v>
      </c>
      <c r="O58" s="227">
        <f t="shared" si="26"/>
        <v>15589.469548994612</v>
      </c>
      <c r="P58" s="227">
        <f t="shared" si="11"/>
        <v>4147490.9715336207</v>
      </c>
      <c r="Q58" s="201">
        <f t="shared" si="12"/>
        <v>2025</v>
      </c>
      <c r="R58" s="201">
        <f t="shared" si="18"/>
        <v>4</v>
      </c>
      <c r="U58" s="210">
        <v>45</v>
      </c>
      <c r="V58" s="226">
        <f t="shared" si="19"/>
        <v>45748</v>
      </c>
      <c r="W58" s="227">
        <f t="shared" si="20"/>
        <v>2194842.253365369</v>
      </c>
      <c r="X58" s="227">
        <f t="shared" si="21"/>
        <v>11618.17718951299</v>
      </c>
      <c r="Y58" s="227">
        <f t="shared" si="13"/>
        <v>6131.0715560995668</v>
      </c>
      <c r="Z58" s="227">
        <f t="shared" si="22"/>
        <v>5487.1056334134228</v>
      </c>
      <c r="AA58" s="227">
        <f t="shared" si="14"/>
        <v>2188711.1818092694</v>
      </c>
      <c r="AB58" s="201">
        <f t="shared" si="15"/>
        <v>2025</v>
      </c>
      <c r="AC58" s="201">
        <f t="shared" si="23"/>
        <v>4</v>
      </c>
    </row>
    <row r="59" spans="10:29" ht="14.4">
      <c r="J59" s="210">
        <v>46</v>
      </c>
      <c r="K59" s="226">
        <f t="shared" si="25"/>
        <v>45777</v>
      </c>
      <c r="L59" s="227">
        <f t="shared" si="16"/>
        <v>4147490.9715336207</v>
      </c>
      <c r="M59" s="227">
        <f t="shared" si="17"/>
        <v>25290.377747270501</v>
      </c>
      <c r="N59" s="227">
        <f t="shared" si="9"/>
        <v>9737.286604019424</v>
      </c>
      <c r="O59" s="227">
        <f t="shared" si="26"/>
        <v>15553.091143251077</v>
      </c>
      <c r="P59" s="227">
        <f t="shared" si="11"/>
        <v>4137753.6849296014</v>
      </c>
      <c r="Q59" s="201">
        <f t="shared" si="12"/>
        <v>2025</v>
      </c>
      <c r="R59" s="201">
        <f t="shared" si="18"/>
        <v>4</v>
      </c>
      <c r="U59" s="210">
        <v>46</v>
      </c>
      <c r="V59" s="226">
        <f t="shared" si="19"/>
        <v>45778</v>
      </c>
      <c r="W59" s="227">
        <f t="shared" si="20"/>
        <v>2188711.1818092694</v>
      </c>
      <c r="X59" s="227">
        <f t="shared" si="21"/>
        <v>11618.17718951299</v>
      </c>
      <c r="Y59" s="227">
        <f t="shared" si="13"/>
        <v>6146.3992349898163</v>
      </c>
      <c r="Z59" s="227">
        <f t="shared" si="22"/>
        <v>5471.7779545231733</v>
      </c>
      <c r="AA59" s="227">
        <f t="shared" si="14"/>
        <v>2182564.7825742797</v>
      </c>
      <c r="AB59" s="201">
        <f t="shared" si="15"/>
        <v>2025</v>
      </c>
      <c r="AC59" s="201">
        <f t="shared" si="23"/>
        <v>4</v>
      </c>
    </row>
    <row r="60" spans="10:29" ht="14.4">
      <c r="J60" s="210">
        <v>47</v>
      </c>
      <c r="K60" s="226">
        <f t="shared" si="25"/>
        <v>45808</v>
      </c>
      <c r="L60" s="227">
        <f t="shared" si="16"/>
        <v>4137753.6849296014</v>
      </c>
      <c r="M60" s="227">
        <f t="shared" si="17"/>
        <v>25290.377747270501</v>
      </c>
      <c r="N60" s="227">
        <f t="shared" si="9"/>
        <v>9773.8014287844962</v>
      </c>
      <c r="O60" s="227">
        <f t="shared" si="26"/>
        <v>15516.576318486004</v>
      </c>
      <c r="P60" s="227">
        <f t="shared" si="11"/>
        <v>4127979.8835008168</v>
      </c>
      <c r="Q60" s="201">
        <f t="shared" si="12"/>
        <v>2025</v>
      </c>
      <c r="R60" s="201">
        <f t="shared" si="18"/>
        <v>4</v>
      </c>
      <c r="U60" s="210">
        <v>47</v>
      </c>
      <c r="V60" s="226">
        <f t="shared" si="19"/>
        <v>45809</v>
      </c>
      <c r="W60" s="227">
        <f t="shared" si="20"/>
        <v>2182564.7825742797</v>
      </c>
      <c r="X60" s="227">
        <f t="shared" si="21"/>
        <v>11618.17718951299</v>
      </c>
      <c r="Y60" s="227">
        <f t="shared" si="13"/>
        <v>6161.7652330772898</v>
      </c>
      <c r="Z60" s="227">
        <f t="shared" si="22"/>
        <v>5456.4119564356997</v>
      </c>
      <c r="AA60" s="227">
        <f t="shared" si="14"/>
        <v>2176403.0173412026</v>
      </c>
      <c r="AB60" s="201">
        <f t="shared" si="15"/>
        <v>2025</v>
      </c>
      <c r="AC60" s="201">
        <f t="shared" si="23"/>
        <v>4</v>
      </c>
    </row>
    <row r="61" spans="10:29" ht="14.4">
      <c r="J61" s="210">
        <v>48</v>
      </c>
      <c r="K61" s="226">
        <f t="shared" si="25"/>
        <v>45838</v>
      </c>
      <c r="L61" s="227">
        <f t="shared" si="16"/>
        <v>4127979.8835008168</v>
      </c>
      <c r="M61" s="227">
        <f t="shared" si="17"/>
        <v>25290.377747270501</v>
      </c>
      <c r="N61" s="227">
        <f t="shared" si="9"/>
        <v>9810.4531841424377</v>
      </c>
      <c r="O61" s="227">
        <f t="shared" si="26"/>
        <v>15479.924563128063</v>
      </c>
      <c r="P61" s="227">
        <f t="shared" si="11"/>
        <v>4118169.4303166745</v>
      </c>
      <c r="Q61" s="201">
        <f t="shared" si="12"/>
        <v>2025</v>
      </c>
      <c r="R61" s="201">
        <f t="shared" si="18"/>
        <v>4</v>
      </c>
      <c r="U61" s="210">
        <v>48</v>
      </c>
      <c r="V61" s="226">
        <f t="shared" si="19"/>
        <v>45839</v>
      </c>
      <c r="W61" s="227">
        <f t="shared" si="20"/>
        <v>2176403.0173412026</v>
      </c>
      <c r="X61" s="227">
        <f t="shared" si="21"/>
        <v>11618.17718951299</v>
      </c>
      <c r="Y61" s="227">
        <f t="shared" si="13"/>
        <v>6177.1696461599831</v>
      </c>
      <c r="Z61" s="227">
        <f t="shared" si="22"/>
        <v>5441.0075433530064</v>
      </c>
      <c r="AA61" s="227">
        <f t="shared" si="14"/>
        <v>2170225.8476950424</v>
      </c>
      <c r="AB61" s="201">
        <f t="shared" si="15"/>
        <v>2025</v>
      </c>
      <c r="AC61" s="201">
        <f t="shared" si="23"/>
        <v>4</v>
      </c>
    </row>
    <row r="62" spans="10:29" ht="14.4">
      <c r="J62" s="210">
        <v>49</v>
      </c>
      <c r="K62" s="226">
        <f t="shared" si="25"/>
        <v>45869</v>
      </c>
      <c r="L62" s="227">
        <f t="shared" si="16"/>
        <v>4118169.4303166745</v>
      </c>
      <c r="M62" s="227">
        <f t="shared" si="17"/>
        <v>25290.377747270501</v>
      </c>
      <c r="N62" s="227">
        <f t="shared" si="9"/>
        <v>9847.2423835829723</v>
      </c>
      <c r="O62" s="227">
        <f t="shared" si="26"/>
        <v>15443.135363687528</v>
      </c>
      <c r="P62" s="227">
        <f t="shared" si="11"/>
        <v>4108322.1879330915</v>
      </c>
      <c r="Q62" s="201">
        <f t="shared" si="12"/>
        <v>2025</v>
      </c>
      <c r="R62" s="201">
        <f t="shared" si="18"/>
        <v>5</v>
      </c>
      <c r="U62" s="210">
        <v>49</v>
      </c>
      <c r="V62" s="226">
        <f t="shared" si="19"/>
        <v>45870</v>
      </c>
      <c r="W62" s="227">
        <f t="shared" si="20"/>
        <v>2170225.8476950424</v>
      </c>
      <c r="X62" s="227">
        <f t="shared" si="21"/>
        <v>11618.17718951299</v>
      </c>
      <c r="Y62" s="227">
        <f t="shared" si="13"/>
        <v>6192.6125702753834</v>
      </c>
      <c r="Z62" s="227">
        <f t="shared" si="22"/>
        <v>5425.5646192376062</v>
      </c>
      <c r="AA62" s="227">
        <f t="shared" si="14"/>
        <v>2164033.2351247668</v>
      </c>
      <c r="AB62" s="201">
        <f t="shared" si="15"/>
        <v>2025</v>
      </c>
      <c r="AC62" s="201">
        <f t="shared" si="23"/>
        <v>5</v>
      </c>
    </row>
    <row r="63" spans="10:29" ht="14.4">
      <c r="J63" s="210">
        <v>50</v>
      </c>
      <c r="K63" s="226">
        <f t="shared" si="25"/>
        <v>45900</v>
      </c>
      <c r="L63" s="227">
        <f t="shared" si="16"/>
        <v>4108322.1879330915</v>
      </c>
      <c r="M63" s="227">
        <f t="shared" si="17"/>
        <v>25290.377747270501</v>
      </c>
      <c r="N63" s="227">
        <f t="shared" si="9"/>
        <v>9884.1695425214075</v>
      </c>
      <c r="O63" s="227">
        <f t="shared" si="26"/>
        <v>15406.208204749093</v>
      </c>
      <c r="P63" s="227">
        <f t="shared" si="11"/>
        <v>4098438.0183905703</v>
      </c>
      <c r="Q63" s="201">
        <f t="shared" si="12"/>
        <v>2025</v>
      </c>
      <c r="R63" s="201">
        <f t="shared" si="18"/>
        <v>5</v>
      </c>
      <c r="U63" s="210">
        <v>50</v>
      </c>
      <c r="V63" s="226">
        <f t="shared" si="19"/>
        <v>45901</v>
      </c>
      <c r="W63" s="227">
        <f t="shared" si="20"/>
        <v>2164033.2351247668</v>
      </c>
      <c r="X63" s="227">
        <f t="shared" si="21"/>
        <v>11618.17718951299</v>
      </c>
      <c r="Y63" s="227">
        <f t="shared" si="13"/>
        <v>6208.0941017010728</v>
      </c>
      <c r="Z63" s="227">
        <f t="shared" si="22"/>
        <v>5410.0830878119168</v>
      </c>
      <c r="AA63" s="227">
        <f t="shared" si="14"/>
        <v>2157825.1410230659</v>
      </c>
      <c r="AB63" s="201">
        <f t="shared" si="15"/>
        <v>2025</v>
      </c>
      <c r="AC63" s="201">
        <f t="shared" si="23"/>
        <v>5</v>
      </c>
    </row>
    <row r="64" spans="10:29" ht="14.4">
      <c r="J64" s="210">
        <v>51</v>
      </c>
      <c r="K64" s="226">
        <f t="shared" si="25"/>
        <v>45930</v>
      </c>
      <c r="L64" s="227">
        <f t="shared" si="16"/>
        <v>4098438.0183905703</v>
      </c>
      <c r="M64" s="227">
        <f t="shared" si="17"/>
        <v>25290.377747270501</v>
      </c>
      <c r="N64" s="227">
        <f t="shared" si="9"/>
        <v>9921.2351783058621</v>
      </c>
      <c r="O64" s="227">
        <f t="shared" si="26"/>
        <v>15369.142568964638</v>
      </c>
      <c r="P64" s="227">
        <f t="shared" si="11"/>
        <v>4088516.7832122645</v>
      </c>
      <c r="Q64" s="201">
        <f t="shared" si="12"/>
        <v>2025</v>
      </c>
      <c r="R64" s="201">
        <f t="shared" si="18"/>
        <v>5</v>
      </c>
      <c r="U64" s="210">
        <v>51</v>
      </c>
      <c r="V64" s="226">
        <f t="shared" si="19"/>
        <v>45931</v>
      </c>
      <c r="W64" s="227">
        <f t="shared" si="20"/>
        <v>2157825.1410230659</v>
      </c>
      <c r="X64" s="227">
        <f t="shared" si="21"/>
        <v>11618.17718951299</v>
      </c>
      <c r="Y64" s="227">
        <f t="shared" si="13"/>
        <v>6223.6143369553247</v>
      </c>
      <c r="Z64" s="227">
        <f t="shared" si="22"/>
        <v>5394.5628525576649</v>
      </c>
      <c r="AA64" s="227">
        <f t="shared" si="14"/>
        <v>2151601.5266861105</v>
      </c>
      <c r="AB64" s="201">
        <f t="shared" si="15"/>
        <v>2025</v>
      </c>
      <c r="AC64" s="201">
        <f t="shared" si="23"/>
        <v>5</v>
      </c>
    </row>
    <row r="65" spans="10:29" ht="14.4">
      <c r="J65" s="210">
        <v>52</v>
      </c>
      <c r="K65" s="226">
        <f t="shared" si="25"/>
        <v>45961</v>
      </c>
      <c r="L65" s="227">
        <f t="shared" si="16"/>
        <v>4088516.7832122645</v>
      </c>
      <c r="M65" s="227">
        <f t="shared" si="17"/>
        <v>25290.377747270501</v>
      </c>
      <c r="N65" s="227">
        <f t="shared" si="9"/>
        <v>9958.4398102245086</v>
      </c>
      <c r="O65" s="227">
        <f t="shared" si="26"/>
        <v>15331.937937045992</v>
      </c>
      <c r="P65" s="227">
        <f t="shared" si="11"/>
        <v>4078558.3434020402</v>
      </c>
      <c r="Q65" s="201">
        <f t="shared" si="12"/>
        <v>2025</v>
      </c>
      <c r="R65" s="201">
        <f t="shared" si="18"/>
        <v>5</v>
      </c>
      <c r="U65" s="210">
        <v>52</v>
      </c>
      <c r="V65" s="226">
        <f t="shared" si="19"/>
        <v>45962</v>
      </c>
      <c r="W65" s="227">
        <f t="shared" si="20"/>
        <v>2151601.5266861105</v>
      </c>
      <c r="X65" s="227">
        <f t="shared" si="21"/>
        <v>11618.17718951299</v>
      </c>
      <c r="Y65" s="227">
        <f t="shared" si="13"/>
        <v>6239.1733727977135</v>
      </c>
      <c r="Z65" s="227">
        <f t="shared" si="22"/>
        <v>5379.0038167152761</v>
      </c>
      <c r="AA65" s="227">
        <f t="shared" si="14"/>
        <v>2145362.3533133129</v>
      </c>
      <c r="AB65" s="201">
        <f t="shared" si="15"/>
        <v>2025</v>
      </c>
      <c r="AC65" s="201">
        <f t="shared" si="23"/>
        <v>5</v>
      </c>
    </row>
    <row r="66" spans="10:29" ht="14.4">
      <c r="J66" s="210">
        <v>53</v>
      </c>
      <c r="K66" s="226">
        <f t="shared" si="25"/>
        <v>45991</v>
      </c>
      <c r="L66" s="227">
        <f t="shared" si="16"/>
        <v>4078558.3434020402</v>
      </c>
      <c r="M66" s="227">
        <f t="shared" si="17"/>
        <v>25290.377747270501</v>
      </c>
      <c r="N66" s="227">
        <f t="shared" si="9"/>
        <v>9995.7839595128498</v>
      </c>
      <c r="O66" s="227">
        <f t="shared" si="26"/>
        <v>15294.593787757651</v>
      </c>
      <c r="P66" s="227">
        <f t="shared" si="11"/>
        <v>4068562.5594425271</v>
      </c>
      <c r="Q66" s="201">
        <f t="shared" si="12"/>
        <v>2025</v>
      </c>
      <c r="R66" s="201">
        <f t="shared" si="18"/>
        <v>5</v>
      </c>
      <c r="U66" s="210">
        <v>53</v>
      </c>
      <c r="V66" s="226">
        <f t="shared" si="19"/>
        <v>45992</v>
      </c>
      <c r="W66" s="227">
        <f t="shared" si="20"/>
        <v>2145362.3533133129</v>
      </c>
      <c r="X66" s="227">
        <f t="shared" si="21"/>
        <v>11618.17718951299</v>
      </c>
      <c r="Y66" s="227">
        <f t="shared" si="13"/>
        <v>6254.7713062297071</v>
      </c>
      <c r="Z66" s="227">
        <f t="shared" si="22"/>
        <v>5363.4058832832825</v>
      </c>
      <c r="AA66" s="227">
        <f t="shared" si="14"/>
        <v>2139107.5820070831</v>
      </c>
      <c r="AB66" s="201">
        <f t="shared" si="15"/>
        <v>2025</v>
      </c>
      <c r="AC66" s="201">
        <f t="shared" si="23"/>
        <v>5</v>
      </c>
    </row>
    <row r="67" spans="10:29" ht="14.4">
      <c r="J67" s="210">
        <v>54</v>
      </c>
      <c r="K67" s="226">
        <f t="shared" si="25"/>
        <v>46022</v>
      </c>
      <c r="L67" s="227">
        <f t="shared" si="16"/>
        <v>4068562.5594425271</v>
      </c>
      <c r="M67" s="227">
        <f t="shared" si="17"/>
        <v>25290.377747270501</v>
      </c>
      <c r="N67" s="227">
        <f t="shared" si="9"/>
        <v>10033.268149361025</v>
      </c>
      <c r="O67" s="227">
        <f t="shared" si="26"/>
        <v>15257.109597909475</v>
      </c>
      <c r="P67" s="227">
        <f t="shared" si="11"/>
        <v>4058529.2912931661</v>
      </c>
      <c r="Q67" s="201">
        <f t="shared" si="12"/>
        <v>2025</v>
      </c>
      <c r="R67" s="201">
        <f t="shared" si="18"/>
        <v>5</v>
      </c>
      <c r="U67" s="210">
        <v>54</v>
      </c>
      <c r="V67" s="226">
        <f t="shared" si="19"/>
        <v>46023</v>
      </c>
      <c r="W67" s="227">
        <f t="shared" si="20"/>
        <v>2139107.5820070831</v>
      </c>
      <c r="X67" s="227">
        <f t="shared" si="21"/>
        <v>11618.17718951299</v>
      </c>
      <c r="Y67" s="227">
        <f t="shared" si="13"/>
        <v>6270.4082344952812</v>
      </c>
      <c r="Z67" s="227">
        <f t="shared" si="22"/>
        <v>5347.7689550177083</v>
      </c>
      <c r="AA67" s="227">
        <f t="shared" si="14"/>
        <v>2132837.1737725879</v>
      </c>
      <c r="AB67" s="201">
        <f t="shared" si="15"/>
        <v>2026</v>
      </c>
      <c r="AC67" s="201">
        <f t="shared" si="23"/>
        <v>5</v>
      </c>
    </row>
    <row r="68" spans="10:29" ht="14.4">
      <c r="J68" s="210">
        <v>55</v>
      </c>
      <c r="K68" s="226">
        <f t="shared" si="25"/>
        <v>46053</v>
      </c>
      <c r="L68" s="227">
        <f t="shared" si="16"/>
        <v>4058529.2912931661</v>
      </c>
      <c r="M68" s="227">
        <f t="shared" si="17"/>
        <v>25290.377747270501</v>
      </c>
      <c r="N68" s="227">
        <f t="shared" si="9"/>
        <v>10070.892904921127</v>
      </c>
      <c r="O68" s="227">
        <f t="shared" si="26"/>
        <v>15219.484842349373</v>
      </c>
      <c r="P68" s="227">
        <f t="shared" si="11"/>
        <v>4048458.3983882451</v>
      </c>
      <c r="Q68" s="201">
        <f t="shared" si="12"/>
        <v>2026</v>
      </c>
      <c r="R68" s="201">
        <f t="shared" si="18"/>
        <v>5</v>
      </c>
      <c r="U68" s="210">
        <v>55</v>
      </c>
      <c r="V68" s="226">
        <f t="shared" si="19"/>
        <v>46054</v>
      </c>
      <c r="W68" s="227">
        <f t="shared" si="20"/>
        <v>2132837.1737725879</v>
      </c>
      <c r="X68" s="227">
        <f t="shared" si="21"/>
        <v>11618.17718951299</v>
      </c>
      <c r="Y68" s="227">
        <f t="shared" si="13"/>
        <v>6286.0842550815196</v>
      </c>
      <c r="Z68" s="227">
        <f t="shared" si="22"/>
        <v>5332.09293443147</v>
      </c>
      <c r="AA68" s="227">
        <f t="shared" si="14"/>
        <v>2126551.0895175063</v>
      </c>
      <c r="AB68" s="201">
        <f t="shared" si="15"/>
        <v>2026</v>
      </c>
      <c r="AC68" s="201">
        <f t="shared" si="23"/>
        <v>5</v>
      </c>
    </row>
    <row r="69" spans="10:29" ht="14.4">
      <c r="J69" s="210">
        <v>56</v>
      </c>
      <c r="K69" s="226">
        <f t="shared" si="25"/>
        <v>46081</v>
      </c>
      <c r="L69" s="227">
        <f t="shared" si="16"/>
        <v>4048458.3983882451</v>
      </c>
      <c r="M69" s="227">
        <f t="shared" si="17"/>
        <v>25290.377747270501</v>
      </c>
      <c r="N69" s="227">
        <f t="shared" si="9"/>
        <v>10108.658753314581</v>
      </c>
      <c r="O69" s="227">
        <f t="shared" si="26"/>
        <v>15181.718993955919</v>
      </c>
      <c r="P69" s="227">
        <f t="shared" si="11"/>
        <v>4038349.7396349306</v>
      </c>
      <c r="Q69" s="201">
        <f t="shared" si="12"/>
        <v>2026</v>
      </c>
      <c r="R69" s="201">
        <f t="shared" si="18"/>
        <v>5</v>
      </c>
      <c r="U69" s="210">
        <v>56</v>
      </c>
      <c r="V69" s="226">
        <f t="shared" si="19"/>
        <v>46082</v>
      </c>
      <c r="W69" s="227">
        <f t="shared" si="20"/>
        <v>2126551.0895175063</v>
      </c>
      <c r="X69" s="227">
        <f t="shared" si="21"/>
        <v>11618.17718951299</v>
      </c>
      <c r="Y69" s="227">
        <f t="shared" si="13"/>
        <v>6301.7994657192239</v>
      </c>
      <c r="Z69" s="227">
        <f t="shared" si="22"/>
        <v>5316.3777237937657</v>
      </c>
      <c r="AA69" s="227">
        <f t="shared" si="14"/>
        <v>2120249.2900517872</v>
      </c>
      <c r="AB69" s="201">
        <f t="shared" si="15"/>
        <v>2026</v>
      </c>
      <c r="AC69" s="201">
        <f t="shared" si="23"/>
        <v>5</v>
      </c>
    </row>
    <row r="70" spans="10:29" ht="14.4">
      <c r="J70" s="210">
        <v>57</v>
      </c>
      <c r="K70" s="226">
        <f t="shared" si="25"/>
        <v>46112</v>
      </c>
      <c r="L70" s="227">
        <f t="shared" si="16"/>
        <v>4038349.7396349306</v>
      </c>
      <c r="M70" s="227">
        <f t="shared" si="17"/>
        <v>25290.377747270501</v>
      </c>
      <c r="N70" s="227">
        <f t="shared" si="9"/>
        <v>10146.566223639511</v>
      </c>
      <c r="O70" s="227">
        <f t="shared" si="26"/>
        <v>15143.81152363099</v>
      </c>
      <c r="P70" s="227">
        <f t="shared" si="11"/>
        <v>4028203.1734112911</v>
      </c>
      <c r="Q70" s="201">
        <f t="shared" si="12"/>
        <v>2026</v>
      </c>
      <c r="R70" s="201">
        <f t="shared" si="18"/>
        <v>5</v>
      </c>
      <c r="U70" s="210">
        <v>57</v>
      </c>
      <c r="V70" s="226">
        <f t="shared" si="19"/>
        <v>46113</v>
      </c>
      <c r="W70" s="227">
        <f t="shared" si="20"/>
        <v>2120249.2900517872</v>
      </c>
      <c r="X70" s="227">
        <f t="shared" si="21"/>
        <v>11618.17718951299</v>
      </c>
      <c r="Y70" s="227">
        <f t="shared" si="13"/>
        <v>6317.5539643835218</v>
      </c>
      <c r="Z70" s="227">
        <f t="shared" si="22"/>
        <v>5300.6232251294678</v>
      </c>
      <c r="AA70" s="227">
        <f t="shared" si="14"/>
        <v>2113931.7360874037</v>
      </c>
      <c r="AB70" s="201">
        <f t="shared" si="15"/>
        <v>2026</v>
      </c>
      <c r="AC70" s="201">
        <f t="shared" si="23"/>
        <v>5</v>
      </c>
    </row>
    <row r="71" spans="10:29" ht="14.4">
      <c r="J71" s="210">
        <v>58</v>
      </c>
      <c r="K71" s="226">
        <f t="shared" si="25"/>
        <v>46142</v>
      </c>
      <c r="L71" s="227">
        <f t="shared" si="16"/>
        <v>4028203.1734112911</v>
      </c>
      <c r="M71" s="227">
        <f t="shared" si="17"/>
        <v>25290.377747270501</v>
      </c>
      <c r="N71" s="227">
        <f t="shared" si="9"/>
        <v>10184.61584697816</v>
      </c>
      <c r="O71" s="227">
        <f t="shared" si="26"/>
        <v>15105.76190029234</v>
      </c>
      <c r="P71" s="227">
        <f t="shared" si="11"/>
        <v>4018018.5575643131</v>
      </c>
      <c r="Q71" s="201">
        <f t="shared" si="12"/>
        <v>2026</v>
      </c>
      <c r="R71" s="201">
        <f t="shared" si="18"/>
        <v>5</v>
      </c>
      <c r="U71" s="210">
        <v>58</v>
      </c>
      <c r="V71" s="226">
        <f t="shared" si="19"/>
        <v>46143</v>
      </c>
      <c r="W71" s="227">
        <f t="shared" si="20"/>
        <v>2113931.7360874037</v>
      </c>
      <c r="X71" s="227">
        <f t="shared" si="21"/>
        <v>11618.17718951299</v>
      </c>
      <c r="Y71" s="227">
        <f t="shared" si="13"/>
        <v>6333.3478492944805</v>
      </c>
      <c r="Z71" s="227">
        <f t="shared" si="22"/>
        <v>5284.8293402185091</v>
      </c>
      <c r="AA71" s="227">
        <f t="shared" si="14"/>
        <v>2107598.3882381092</v>
      </c>
      <c r="AB71" s="201">
        <f t="shared" si="15"/>
        <v>2026</v>
      </c>
      <c r="AC71" s="201">
        <f t="shared" si="23"/>
        <v>5</v>
      </c>
    </row>
    <row r="72" spans="10:29" ht="14.4">
      <c r="J72" s="210">
        <v>59</v>
      </c>
      <c r="K72" s="226">
        <f t="shared" si="25"/>
        <v>46173</v>
      </c>
      <c r="L72" s="227">
        <f t="shared" si="16"/>
        <v>4018018.5575643131</v>
      </c>
      <c r="M72" s="227">
        <f t="shared" si="17"/>
        <v>25290.377747270501</v>
      </c>
      <c r="N72" s="227">
        <f t="shared" si="9"/>
        <v>10222.808156404328</v>
      </c>
      <c r="O72" s="227">
        <f t="shared" si="26"/>
        <v>15067.569590866173</v>
      </c>
      <c r="P72" s="227">
        <f t="shared" si="11"/>
        <v>4007795.7494079089</v>
      </c>
      <c r="Q72" s="201">
        <f t="shared" si="12"/>
        <v>2026</v>
      </c>
      <c r="R72" s="201">
        <f t="shared" si="18"/>
        <v>5</v>
      </c>
      <c r="U72" s="210">
        <v>59</v>
      </c>
      <c r="V72" s="226">
        <f t="shared" si="19"/>
        <v>46174</v>
      </c>
      <c r="W72" s="227">
        <f t="shared" si="20"/>
        <v>2107598.3882381092</v>
      </c>
      <c r="X72" s="227">
        <f t="shared" si="21"/>
        <v>11618.17718951299</v>
      </c>
      <c r="Y72" s="227">
        <f t="shared" si="13"/>
        <v>6349.1812189177163</v>
      </c>
      <c r="Z72" s="227">
        <f t="shared" si="22"/>
        <v>5268.9959705952733</v>
      </c>
      <c r="AA72" s="227">
        <f t="shared" si="14"/>
        <v>2101249.2070191912</v>
      </c>
      <c r="AB72" s="201">
        <f t="shared" si="15"/>
        <v>2026</v>
      </c>
      <c r="AC72" s="201">
        <f t="shared" si="23"/>
        <v>5</v>
      </c>
    </row>
    <row r="73" spans="10:29" ht="14.4">
      <c r="J73" s="228">
        <v>60</v>
      </c>
      <c r="K73" s="226">
        <f t="shared" si="25"/>
        <v>46203</v>
      </c>
      <c r="L73" s="230">
        <f t="shared" si="16"/>
        <v>4007795.7494079089</v>
      </c>
      <c r="M73" s="230">
        <f t="shared" si="17"/>
        <v>25290.377747270501</v>
      </c>
      <c r="N73" s="230">
        <f t="shared" si="9"/>
        <v>10261.143686990843</v>
      </c>
      <c r="O73" s="230">
        <f t="shared" si="26"/>
        <v>15029.234060279658</v>
      </c>
      <c r="P73" s="230">
        <f t="shared" si="11"/>
        <v>3997534.6057209182</v>
      </c>
      <c r="Q73" s="201">
        <f t="shared" si="12"/>
        <v>2026</v>
      </c>
      <c r="R73" s="201">
        <f t="shared" si="18"/>
        <v>5</v>
      </c>
      <c r="U73" s="228">
        <v>60</v>
      </c>
      <c r="V73" s="229">
        <f t="shared" si="19"/>
        <v>46204</v>
      </c>
      <c r="W73" s="230">
        <f t="shared" si="20"/>
        <v>2101249.2070191912</v>
      </c>
      <c r="X73" s="230">
        <f t="shared" si="21"/>
        <v>11618.17718951299</v>
      </c>
      <c r="Y73" s="230">
        <f t="shared" si="13"/>
        <v>6365.0541719650109</v>
      </c>
      <c r="Z73" s="227">
        <f t="shared" si="22"/>
        <v>5253.1230175479786</v>
      </c>
      <c r="AA73" s="230">
        <f t="shared" si="14"/>
        <v>2094884.1528472262</v>
      </c>
      <c r="AB73" s="201">
        <f t="shared" si="15"/>
        <v>2026</v>
      </c>
      <c r="AC73" s="201">
        <f t="shared" si="23"/>
        <v>5</v>
      </c>
    </row>
    <row r="74" spans="10:29" ht="14.4">
      <c r="J74" s="210">
        <v>61</v>
      </c>
      <c r="K74" s="226">
        <f t="shared" si="25"/>
        <v>46234</v>
      </c>
      <c r="L74" s="227">
        <f t="shared" si="16"/>
        <v>3997534.6057209182</v>
      </c>
      <c r="M74" s="227">
        <f t="shared" si="17"/>
        <v>25290.377747270501</v>
      </c>
      <c r="N74" s="227">
        <f t="shared" si="9"/>
        <v>10299.622975817058</v>
      </c>
      <c r="O74" s="227">
        <f t="shared" si="26"/>
        <v>14990.754771453443</v>
      </c>
      <c r="P74" s="227">
        <f t="shared" si="11"/>
        <v>3987234.9827451012</v>
      </c>
      <c r="Q74" s="201">
        <f t="shared" si="12"/>
        <v>2026</v>
      </c>
      <c r="R74" s="201">
        <f t="shared" si="18"/>
        <v>6</v>
      </c>
      <c r="U74" s="210">
        <v>61</v>
      </c>
      <c r="V74" s="226">
        <f t="shared" si="19"/>
        <v>46235</v>
      </c>
      <c r="W74" s="227">
        <f t="shared" si="20"/>
        <v>2094884.1528472262</v>
      </c>
      <c r="X74" s="227">
        <f t="shared" si="21"/>
        <v>11618.17718951299</v>
      </c>
      <c r="Y74" s="227">
        <f t="shared" si="13"/>
        <v>6380.9668073949242</v>
      </c>
      <c r="Z74" s="227">
        <f t="shared" si="22"/>
        <v>5237.2103821180654</v>
      </c>
      <c r="AA74" s="227">
        <f t="shared" si="14"/>
        <v>2088503.1860398313</v>
      </c>
      <c r="AB74" s="201">
        <f t="shared" si="15"/>
        <v>2026</v>
      </c>
      <c r="AC74" s="201">
        <f t="shared" si="23"/>
        <v>6</v>
      </c>
    </row>
    <row r="75" spans="10:29" ht="14.4">
      <c r="J75" s="210">
        <v>62</v>
      </c>
      <c r="K75" s="226">
        <f t="shared" si="25"/>
        <v>46265</v>
      </c>
      <c r="L75" s="227">
        <f t="shared" si="16"/>
        <v>3987234.9827451012</v>
      </c>
      <c r="M75" s="227">
        <f t="shared" si="17"/>
        <v>25290.377747270501</v>
      </c>
      <c r="N75" s="227">
        <f t="shared" si="9"/>
        <v>10338.246561976372</v>
      </c>
      <c r="O75" s="227">
        <f t="shared" si="26"/>
        <v>14952.131185294129</v>
      </c>
      <c r="P75" s="227">
        <f t="shared" si="11"/>
        <v>3976896.7361831251</v>
      </c>
      <c r="Q75" s="201">
        <f t="shared" si="12"/>
        <v>2026</v>
      </c>
      <c r="R75" s="201">
        <f t="shared" si="18"/>
        <v>6</v>
      </c>
      <c r="U75" s="210">
        <v>62</v>
      </c>
      <c r="V75" s="226">
        <f t="shared" si="19"/>
        <v>46266</v>
      </c>
      <c r="W75" s="227">
        <f t="shared" si="20"/>
        <v>2088503.1860398313</v>
      </c>
      <c r="X75" s="227">
        <f t="shared" si="21"/>
        <v>11618.17718951299</v>
      </c>
      <c r="Y75" s="227">
        <f t="shared" si="13"/>
        <v>6396.919224413411</v>
      </c>
      <c r="Z75" s="227">
        <f t="shared" si="22"/>
        <v>5221.2579650995785</v>
      </c>
      <c r="AA75" s="227">
        <f t="shared" si="14"/>
        <v>2082106.2668154179</v>
      </c>
      <c r="AB75" s="201">
        <f t="shared" si="15"/>
        <v>2026</v>
      </c>
      <c r="AC75" s="201">
        <f t="shared" si="23"/>
        <v>6</v>
      </c>
    </row>
    <row r="76" spans="10:29" ht="14.4">
      <c r="J76" s="210">
        <v>63</v>
      </c>
      <c r="K76" s="226">
        <f t="shared" si="25"/>
        <v>46295</v>
      </c>
      <c r="L76" s="227">
        <f t="shared" si="16"/>
        <v>3976896.7361831251</v>
      </c>
      <c r="M76" s="227">
        <f t="shared" si="17"/>
        <v>25290.377747270501</v>
      </c>
      <c r="N76" s="227">
        <f t="shared" si="9"/>
        <v>10377.014986583783</v>
      </c>
      <c r="O76" s="227">
        <f t="shared" si="26"/>
        <v>14913.362760686718</v>
      </c>
      <c r="P76" s="227">
        <f t="shared" si="11"/>
        <v>3966519.7211965411</v>
      </c>
      <c r="Q76" s="201">
        <f t="shared" si="12"/>
        <v>2026</v>
      </c>
      <c r="R76" s="201">
        <f t="shared" si="18"/>
        <v>6</v>
      </c>
      <c r="U76" s="210">
        <v>63</v>
      </c>
      <c r="V76" s="226">
        <f t="shared" si="19"/>
        <v>46296</v>
      </c>
      <c r="W76" s="227">
        <f t="shared" si="20"/>
        <v>2082106.2668154179</v>
      </c>
      <c r="X76" s="227">
        <f t="shared" si="21"/>
        <v>11618.17718951299</v>
      </c>
      <c r="Y76" s="227">
        <f t="shared" si="13"/>
        <v>6412.9115224744446</v>
      </c>
      <c r="Z76" s="227">
        <f t="shared" si="22"/>
        <v>5205.265667038545</v>
      </c>
      <c r="AA76" s="227">
        <f t="shared" si="14"/>
        <v>2075693.3552929435</v>
      </c>
      <c r="AB76" s="201">
        <f t="shared" si="15"/>
        <v>2026</v>
      </c>
      <c r="AC76" s="201">
        <f t="shared" si="23"/>
        <v>6</v>
      </c>
    </row>
    <row r="77" spans="10:29" ht="14.4">
      <c r="J77" s="210">
        <v>64</v>
      </c>
      <c r="K77" s="226">
        <f t="shared" si="25"/>
        <v>46326</v>
      </c>
      <c r="L77" s="227">
        <f t="shared" si="16"/>
        <v>3966519.7211965411</v>
      </c>
      <c r="M77" s="227">
        <f t="shared" si="17"/>
        <v>25290.377747270501</v>
      </c>
      <c r="N77" s="227">
        <f t="shared" si="9"/>
        <v>10415.928792783472</v>
      </c>
      <c r="O77" s="227">
        <f t="shared" si="26"/>
        <v>14874.448954487028</v>
      </c>
      <c r="P77" s="227">
        <f t="shared" si="11"/>
        <v>3956103.7924037576</v>
      </c>
      <c r="Q77" s="201">
        <f t="shared" si="12"/>
        <v>2026</v>
      </c>
      <c r="R77" s="201">
        <f t="shared" si="18"/>
        <v>6</v>
      </c>
      <c r="U77" s="210">
        <v>64</v>
      </c>
      <c r="V77" s="226">
        <f t="shared" si="19"/>
        <v>46327</v>
      </c>
      <c r="W77" s="227">
        <f t="shared" si="20"/>
        <v>2075693.3552929435</v>
      </c>
      <c r="X77" s="227">
        <f t="shared" si="21"/>
        <v>11618.17718951299</v>
      </c>
      <c r="Y77" s="227">
        <f t="shared" si="13"/>
        <v>6428.9438012806304</v>
      </c>
      <c r="Z77" s="227">
        <f t="shared" si="22"/>
        <v>5189.2333882323592</v>
      </c>
      <c r="AA77" s="227">
        <f t="shared" si="14"/>
        <v>2069264.411491663</v>
      </c>
      <c r="AB77" s="201">
        <f t="shared" si="15"/>
        <v>2026</v>
      </c>
      <c r="AC77" s="201">
        <f t="shared" si="23"/>
        <v>6</v>
      </c>
    </row>
    <row r="78" spans="10:29" ht="14.4">
      <c r="J78" s="210">
        <v>65</v>
      </c>
      <c r="K78" s="226">
        <f t="shared" si="25"/>
        <v>46356</v>
      </c>
      <c r="L78" s="227">
        <f t="shared" si="16"/>
        <v>3956103.7924037576</v>
      </c>
      <c r="M78" s="227">
        <f t="shared" si="17"/>
        <v>25290.377747270501</v>
      </c>
      <c r="N78" s="227">
        <f t="shared" si="9"/>
        <v>10454.988525756411</v>
      </c>
      <c r="O78" s="227">
        <f t="shared" ref="O78:O109" si="27">L78*$K$6</f>
        <v>14835.38922151409</v>
      </c>
      <c r="P78" s="227">
        <f t="shared" si="11"/>
        <v>3945648.8038780009</v>
      </c>
      <c r="Q78" s="201">
        <f t="shared" si="12"/>
        <v>2026</v>
      </c>
      <c r="R78" s="201">
        <f t="shared" si="18"/>
        <v>6</v>
      </c>
      <c r="U78" s="210">
        <v>65</v>
      </c>
      <c r="V78" s="226">
        <f t="shared" si="19"/>
        <v>46357</v>
      </c>
      <c r="W78" s="227">
        <f t="shared" si="20"/>
        <v>2069264.411491663</v>
      </c>
      <c r="X78" s="227">
        <f t="shared" si="21"/>
        <v>11618.17718951299</v>
      </c>
      <c r="Y78" s="227">
        <f t="shared" si="13"/>
        <v>6445.0161607838318</v>
      </c>
      <c r="Z78" s="227">
        <f t="shared" si="22"/>
        <v>5173.1610287291578</v>
      </c>
      <c r="AA78" s="227">
        <f t="shared" si="14"/>
        <v>2062819.3953308791</v>
      </c>
      <c r="AB78" s="201">
        <f t="shared" si="15"/>
        <v>2026</v>
      </c>
      <c r="AC78" s="201">
        <f t="shared" si="23"/>
        <v>6</v>
      </c>
    </row>
    <row r="79" spans="10:29" ht="14.4">
      <c r="J79" s="210">
        <v>66</v>
      </c>
      <c r="K79" s="226">
        <f t="shared" si="25"/>
        <v>46387</v>
      </c>
      <c r="L79" s="227">
        <f t="shared" si="16"/>
        <v>3945648.8038780009</v>
      </c>
      <c r="M79" s="227">
        <f t="shared" ref="M79:M142" si="28">M78</f>
        <v>25290.377747270501</v>
      </c>
      <c r="N79" s="227">
        <f t="shared" si="9"/>
        <v>10494.194732727998</v>
      </c>
      <c r="O79" s="227">
        <f t="shared" si="27"/>
        <v>14796.183014542503</v>
      </c>
      <c r="P79" s="227">
        <f t="shared" si="11"/>
        <v>3935154.609145273</v>
      </c>
      <c r="Q79" s="201">
        <f t="shared" si="12"/>
        <v>2026</v>
      </c>
      <c r="R79" s="201">
        <f t="shared" ref="R79:R142" si="29">IF(K79&lt;=EOMONTH($K$11,0),1,IF(K79&lt;=EOMONTH($K$11,12),2,IF(K79&lt;=EOMONTH($K$11,24),3,IF(K79&lt;=EOMONTH($K$11,3*12),4,IF(K79&lt;=EOMONTH($K$11,4*12),5,IF(K79&lt;=EOMONTH($K$11,5*12),6,IF(K79&lt;=EOMONTH($K$11,6*12),7,IF(K79&lt;=EOMONTH($K$11,7*12),8,IF(K79&lt;=EOMONTH($K$11,8*12),9,IF(K79&lt;=EOMONTH($K$11,9*12),10,IF(K79&lt;=EOMONTH($K$11,10*12),11,IF(K79&lt;=EOMONTH($K$11,11*12),12,IF(K79&lt;=EOMONTH($K$11,12*12),13,IF(K79&lt;=EOMONTH($K$11,13*12),14,IF(K79&lt;=EOMONTH($K$11,14*12),15,IF(K79&lt;=EOMONTH($K$11,15*12),16,17))))))))))))))))</f>
        <v>6</v>
      </c>
      <c r="U79" s="210">
        <v>66</v>
      </c>
      <c r="V79" s="226">
        <f t="shared" ref="V79:V142" si="30">DATE(YEAR(V78),MONTH(V78)+1,DAY(V78))</f>
        <v>46388</v>
      </c>
      <c r="W79" s="227">
        <f t="shared" si="20"/>
        <v>2062819.3953308791</v>
      </c>
      <c r="X79" s="227">
        <f t="shared" ref="X79:X142" si="31">X78</f>
        <v>11618.17718951299</v>
      </c>
      <c r="Y79" s="227">
        <f t="shared" si="13"/>
        <v>6461.1287011857912</v>
      </c>
      <c r="Z79" s="227">
        <f t="shared" ref="Z79:Z142" si="32">W79*$V$6</f>
        <v>5157.0484883271984</v>
      </c>
      <c r="AA79" s="227">
        <f t="shared" si="14"/>
        <v>2056358.2666296933</v>
      </c>
      <c r="AB79" s="201">
        <f t="shared" si="15"/>
        <v>2027</v>
      </c>
      <c r="AC79" s="201">
        <f t="shared" ref="AC79:AC142" si="33">+R79</f>
        <v>6</v>
      </c>
    </row>
    <row r="80" spans="10:29" ht="14.4">
      <c r="J80" s="210">
        <v>67</v>
      </c>
      <c r="K80" s="226">
        <f t="shared" si="25"/>
        <v>46418</v>
      </c>
      <c r="L80" s="227">
        <f t="shared" si="16"/>
        <v>3935154.609145273</v>
      </c>
      <c r="M80" s="227">
        <f t="shared" si="28"/>
        <v>25290.377747270501</v>
      </c>
      <c r="N80" s="227">
        <f t="shared" si="9"/>
        <v>10533.547962975728</v>
      </c>
      <c r="O80" s="227">
        <f t="shared" si="27"/>
        <v>14756.829784294772</v>
      </c>
      <c r="P80" s="227">
        <f t="shared" si="11"/>
        <v>3924621.0611822973</v>
      </c>
      <c r="Q80" s="201">
        <f t="shared" si="12"/>
        <v>2027</v>
      </c>
      <c r="R80" s="201">
        <f t="shared" si="29"/>
        <v>6</v>
      </c>
      <c r="U80" s="210">
        <v>67</v>
      </c>
      <c r="V80" s="226">
        <f t="shared" si="30"/>
        <v>46419</v>
      </c>
      <c r="W80" s="227">
        <f t="shared" si="20"/>
        <v>2056358.2666296933</v>
      </c>
      <c r="X80" s="227">
        <f t="shared" si="31"/>
        <v>11618.17718951299</v>
      </c>
      <c r="Y80" s="227">
        <f t="shared" si="13"/>
        <v>6477.2815229387561</v>
      </c>
      <c r="Z80" s="227">
        <f t="shared" si="32"/>
        <v>5140.8956665742335</v>
      </c>
      <c r="AA80" s="227">
        <f t="shared" si="14"/>
        <v>2049880.9851067546</v>
      </c>
      <c r="AB80" s="201">
        <f t="shared" si="15"/>
        <v>2027</v>
      </c>
      <c r="AC80" s="201">
        <f t="shared" si="33"/>
        <v>6</v>
      </c>
    </row>
    <row r="81" spans="10:29" ht="14.4">
      <c r="J81" s="210">
        <v>68</v>
      </c>
      <c r="K81" s="226">
        <f t="shared" si="25"/>
        <v>46446</v>
      </c>
      <c r="L81" s="227">
        <f t="shared" si="16"/>
        <v>3924621.0611822973</v>
      </c>
      <c r="M81" s="227">
        <f t="shared" si="28"/>
        <v>25290.377747270501</v>
      </c>
      <c r="N81" s="227">
        <f t="shared" si="9"/>
        <v>10573.048767836886</v>
      </c>
      <c r="O81" s="227">
        <f t="shared" si="27"/>
        <v>14717.328979433614</v>
      </c>
      <c r="P81" s="227">
        <f t="shared" si="11"/>
        <v>3914048.0124144605</v>
      </c>
      <c r="Q81" s="201">
        <f t="shared" si="12"/>
        <v>2027</v>
      </c>
      <c r="R81" s="201">
        <f t="shared" si="29"/>
        <v>6</v>
      </c>
      <c r="U81" s="210">
        <v>68</v>
      </c>
      <c r="V81" s="226">
        <f t="shared" si="30"/>
        <v>46447</v>
      </c>
      <c r="W81" s="227">
        <f t="shared" si="20"/>
        <v>2049880.9851067546</v>
      </c>
      <c r="X81" s="227">
        <f t="shared" si="31"/>
        <v>11618.17718951299</v>
      </c>
      <c r="Y81" s="227">
        <f t="shared" si="13"/>
        <v>6493.4747267461034</v>
      </c>
      <c r="Z81" s="227">
        <f t="shared" si="32"/>
        <v>5124.7024627668861</v>
      </c>
      <c r="AA81" s="227">
        <f t="shared" si="14"/>
        <v>2043387.5103800085</v>
      </c>
      <c r="AB81" s="201">
        <f t="shared" si="15"/>
        <v>2027</v>
      </c>
      <c r="AC81" s="201">
        <f t="shared" si="33"/>
        <v>6</v>
      </c>
    </row>
    <row r="82" spans="10:29" ht="14.4">
      <c r="J82" s="210">
        <v>69</v>
      </c>
      <c r="K82" s="226">
        <f t="shared" si="25"/>
        <v>46477</v>
      </c>
      <c r="L82" s="227">
        <f t="shared" si="16"/>
        <v>3914048.0124144605</v>
      </c>
      <c r="M82" s="227">
        <f t="shared" si="28"/>
        <v>25290.377747270501</v>
      </c>
      <c r="N82" s="227">
        <f t="shared" si="9"/>
        <v>10612.697700716273</v>
      </c>
      <c r="O82" s="227">
        <f t="shared" si="27"/>
        <v>14677.680046554227</v>
      </c>
      <c r="P82" s="227">
        <f t="shared" si="11"/>
        <v>3903435.3147137444</v>
      </c>
      <c r="Q82" s="201">
        <f t="shared" si="12"/>
        <v>2027</v>
      </c>
      <c r="R82" s="201">
        <f t="shared" si="29"/>
        <v>6</v>
      </c>
      <c r="U82" s="210">
        <v>69</v>
      </c>
      <c r="V82" s="226">
        <f t="shared" si="30"/>
        <v>46478</v>
      </c>
      <c r="W82" s="227">
        <f t="shared" si="20"/>
        <v>2043387.5103800085</v>
      </c>
      <c r="X82" s="227">
        <f t="shared" si="31"/>
        <v>11618.17718951299</v>
      </c>
      <c r="Y82" s="227">
        <f t="shared" si="13"/>
        <v>6509.7084135629684</v>
      </c>
      <c r="Z82" s="227">
        <f t="shared" si="32"/>
        <v>5108.4687759500212</v>
      </c>
      <c r="AA82" s="227">
        <f t="shared" si="14"/>
        <v>2036877.8019664455</v>
      </c>
      <c r="AB82" s="201">
        <f t="shared" si="15"/>
        <v>2027</v>
      </c>
      <c r="AC82" s="201">
        <f t="shared" si="33"/>
        <v>6</v>
      </c>
    </row>
    <row r="83" spans="10:29" ht="14.4">
      <c r="J83" s="210">
        <v>70</v>
      </c>
      <c r="K83" s="226">
        <f t="shared" ref="K83:K146" si="34">EOMONTH(K82,1)</f>
        <v>46507</v>
      </c>
      <c r="L83" s="227">
        <f t="shared" si="16"/>
        <v>3903435.3147137444</v>
      </c>
      <c r="M83" s="227">
        <f t="shared" si="28"/>
        <v>25290.377747270501</v>
      </c>
      <c r="N83" s="227">
        <f t="shared" si="9"/>
        <v>10652.495317093959</v>
      </c>
      <c r="O83" s="227">
        <f t="shared" si="27"/>
        <v>14637.882430176542</v>
      </c>
      <c r="P83" s="227">
        <f t="shared" si="11"/>
        <v>3892782.8193966504</v>
      </c>
      <c r="Q83" s="201">
        <f t="shared" si="12"/>
        <v>2027</v>
      </c>
      <c r="R83" s="201">
        <f t="shared" si="29"/>
        <v>6</v>
      </c>
      <c r="U83" s="210">
        <v>70</v>
      </c>
      <c r="V83" s="226">
        <f t="shared" si="30"/>
        <v>46508</v>
      </c>
      <c r="W83" s="227">
        <f t="shared" si="20"/>
        <v>2036877.8019664455</v>
      </c>
      <c r="X83" s="227">
        <f t="shared" si="31"/>
        <v>11618.17718951299</v>
      </c>
      <c r="Y83" s="227">
        <f t="shared" si="13"/>
        <v>6525.9826845968755</v>
      </c>
      <c r="Z83" s="227">
        <f t="shared" si="32"/>
        <v>5092.1945049161141</v>
      </c>
      <c r="AA83" s="227">
        <f t="shared" si="14"/>
        <v>2030351.8192818486</v>
      </c>
      <c r="AB83" s="201">
        <f t="shared" si="15"/>
        <v>2027</v>
      </c>
      <c r="AC83" s="201">
        <f t="shared" si="33"/>
        <v>6</v>
      </c>
    </row>
    <row r="84" spans="10:29" ht="14.4">
      <c r="J84" s="210">
        <v>71</v>
      </c>
      <c r="K84" s="226">
        <f t="shared" si="34"/>
        <v>46538</v>
      </c>
      <c r="L84" s="227">
        <f t="shared" si="16"/>
        <v>3892782.8193966504</v>
      </c>
      <c r="M84" s="227">
        <f t="shared" si="28"/>
        <v>25290.377747270501</v>
      </c>
      <c r="N84" s="227">
        <f t="shared" si="9"/>
        <v>10692.442174533062</v>
      </c>
      <c r="O84" s="227">
        <f t="shared" si="27"/>
        <v>14597.935572737439</v>
      </c>
      <c r="P84" s="227">
        <f t="shared" si="11"/>
        <v>3882090.3772221175</v>
      </c>
      <c r="Q84" s="201">
        <f t="shared" si="12"/>
        <v>2027</v>
      </c>
      <c r="R84" s="201">
        <f t="shared" si="29"/>
        <v>6</v>
      </c>
      <c r="U84" s="210">
        <v>71</v>
      </c>
      <c r="V84" s="226">
        <f t="shared" si="30"/>
        <v>46539</v>
      </c>
      <c r="W84" s="227">
        <f t="shared" si="20"/>
        <v>2030351.8192818486</v>
      </c>
      <c r="X84" s="227">
        <f t="shared" si="31"/>
        <v>11618.17718951299</v>
      </c>
      <c r="Y84" s="227">
        <f t="shared" si="13"/>
        <v>6542.2976413083679</v>
      </c>
      <c r="Z84" s="227">
        <f t="shared" si="32"/>
        <v>5075.8795482046216</v>
      </c>
      <c r="AA84" s="227">
        <f t="shared" si="14"/>
        <v>2023809.5216405403</v>
      </c>
      <c r="AB84" s="201">
        <f t="shared" si="15"/>
        <v>2027</v>
      </c>
      <c r="AC84" s="201">
        <f t="shared" si="33"/>
        <v>6</v>
      </c>
    </row>
    <row r="85" spans="10:29" ht="14.4">
      <c r="J85" s="210">
        <v>72</v>
      </c>
      <c r="K85" s="226">
        <f t="shared" si="34"/>
        <v>46568</v>
      </c>
      <c r="L85" s="227">
        <f t="shared" si="16"/>
        <v>3882090.3772221175</v>
      </c>
      <c r="M85" s="227">
        <f t="shared" si="28"/>
        <v>25290.377747270501</v>
      </c>
      <c r="N85" s="227">
        <f t="shared" si="9"/>
        <v>10732.53883268756</v>
      </c>
      <c r="O85" s="227">
        <f t="shared" si="27"/>
        <v>14557.838914582941</v>
      </c>
      <c r="P85" s="227">
        <f t="shared" si="11"/>
        <v>3871357.8383894297</v>
      </c>
      <c r="Q85" s="201">
        <f t="shared" si="12"/>
        <v>2027</v>
      </c>
      <c r="R85" s="201">
        <f t="shared" si="29"/>
        <v>6</v>
      </c>
      <c r="U85" s="210">
        <v>72</v>
      </c>
      <c r="V85" s="226">
        <f t="shared" si="30"/>
        <v>46569</v>
      </c>
      <c r="W85" s="227">
        <f t="shared" si="20"/>
        <v>2023809.5216405403</v>
      </c>
      <c r="X85" s="227">
        <f t="shared" si="31"/>
        <v>11618.17718951299</v>
      </c>
      <c r="Y85" s="227">
        <f t="shared" si="13"/>
        <v>6558.6533854116387</v>
      </c>
      <c r="Z85" s="227">
        <f t="shared" si="32"/>
        <v>5059.5238041013508</v>
      </c>
      <c r="AA85" s="227">
        <f t="shared" si="14"/>
        <v>2017250.8682551286</v>
      </c>
      <c r="AB85" s="201">
        <f t="shared" si="15"/>
        <v>2027</v>
      </c>
      <c r="AC85" s="201">
        <f t="shared" si="33"/>
        <v>6</v>
      </c>
    </row>
    <row r="86" spans="10:29" ht="14.4">
      <c r="J86" s="210">
        <v>73</v>
      </c>
      <c r="K86" s="226">
        <f t="shared" si="34"/>
        <v>46599</v>
      </c>
      <c r="L86" s="227">
        <f t="shared" si="16"/>
        <v>3871357.8383894297</v>
      </c>
      <c r="M86" s="227">
        <f t="shared" si="28"/>
        <v>25290.377747270501</v>
      </c>
      <c r="N86" s="227">
        <f t="shared" si="9"/>
        <v>10772.785853310139</v>
      </c>
      <c r="O86" s="227">
        <f t="shared" si="27"/>
        <v>14517.591893960362</v>
      </c>
      <c r="P86" s="227">
        <f t="shared" si="11"/>
        <v>3860585.0525361197</v>
      </c>
      <c r="Q86" s="201">
        <f t="shared" si="12"/>
        <v>2027</v>
      </c>
      <c r="R86" s="201">
        <f t="shared" si="29"/>
        <v>7</v>
      </c>
      <c r="U86" s="210">
        <v>73</v>
      </c>
      <c r="V86" s="226">
        <f t="shared" si="30"/>
        <v>46600</v>
      </c>
      <c r="W86" s="227">
        <f t="shared" si="20"/>
        <v>2017250.8682551286</v>
      </c>
      <c r="X86" s="227">
        <f t="shared" si="31"/>
        <v>11618.17718951299</v>
      </c>
      <c r="Y86" s="227">
        <f t="shared" si="13"/>
        <v>6575.0500188751676</v>
      </c>
      <c r="Z86" s="227">
        <f t="shared" si="32"/>
        <v>5043.127170637822</v>
      </c>
      <c r="AA86" s="227">
        <f t="shared" si="14"/>
        <v>2010675.8182362535</v>
      </c>
      <c r="AB86" s="201">
        <f t="shared" si="15"/>
        <v>2027</v>
      </c>
      <c r="AC86" s="201">
        <f t="shared" si="33"/>
        <v>7</v>
      </c>
    </row>
    <row r="87" spans="10:29" ht="14.4">
      <c r="J87" s="210">
        <v>74</v>
      </c>
      <c r="K87" s="226">
        <f t="shared" si="34"/>
        <v>46630</v>
      </c>
      <c r="L87" s="227">
        <f t="shared" si="16"/>
        <v>3860585.0525361197</v>
      </c>
      <c r="M87" s="227">
        <f t="shared" si="28"/>
        <v>25290.377747270501</v>
      </c>
      <c r="N87" s="227">
        <f t="shared" si="9"/>
        <v>10813.183800260053</v>
      </c>
      <c r="O87" s="227">
        <f t="shared" si="27"/>
        <v>14477.193947010448</v>
      </c>
      <c r="P87" s="227">
        <f t="shared" si="11"/>
        <v>3849771.8687358596</v>
      </c>
      <c r="Q87" s="201">
        <f t="shared" si="12"/>
        <v>2027</v>
      </c>
      <c r="R87" s="201">
        <f t="shared" si="29"/>
        <v>7</v>
      </c>
      <c r="U87" s="210">
        <v>74</v>
      </c>
      <c r="V87" s="226">
        <f t="shared" si="30"/>
        <v>46631</v>
      </c>
      <c r="W87" s="227">
        <f t="shared" si="20"/>
        <v>2010675.8182362535</v>
      </c>
      <c r="X87" s="227">
        <f t="shared" si="31"/>
        <v>11618.17718951299</v>
      </c>
      <c r="Y87" s="227">
        <f t="shared" si="13"/>
        <v>6591.4876439223563</v>
      </c>
      <c r="Z87" s="227">
        <f t="shared" si="32"/>
        <v>5026.6895455906333</v>
      </c>
      <c r="AA87" s="227">
        <f t="shared" si="14"/>
        <v>2004084.330592331</v>
      </c>
      <c r="AB87" s="201">
        <f t="shared" si="15"/>
        <v>2027</v>
      </c>
      <c r="AC87" s="201">
        <f t="shared" si="33"/>
        <v>7</v>
      </c>
    </row>
    <row r="88" spans="10:29" ht="14.4">
      <c r="J88" s="210">
        <v>75</v>
      </c>
      <c r="K88" s="226">
        <f t="shared" si="34"/>
        <v>46660</v>
      </c>
      <c r="L88" s="227">
        <f t="shared" si="16"/>
        <v>3849771.8687358596</v>
      </c>
      <c r="M88" s="227">
        <f t="shared" si="28"/>
        <v>25290.377747270501</v>
      </c>
      <c r="N88" s="227">
        <f t="shared" si="9"/>
        <v>10853.733239511028</v>
      </c>
      <c r="O88" s="227">
        <f t="shared" si="27"/>
        <v>14436.644507759473</v>
      </c>
      <c r="P88" s="227">
        <f t="shared" si="11"/>
        <v>3838918.1354963486</v>
      </c>
      <c r="Q88" s="201">
        <f t="shared" si="12"/>
        <v>2027</v>
      </c>
      <c r="R88" s="201">
        <f t="shared" si="29"/>
        <v>7</v>
      </c>
      <c r="U88" s="210">
        <v>75</v>
      </c>
      <c r="V88" s="226">
        <f t="shared" si="30"/>
        <v>46661</v>
      </c>
      <c r="W88" s="227">
        <f t="shared" si="20"/>
        <v>2004084.330592331</v>
      </c>
      <c r="X88" s="227">
        <f t="shared" si="31"/>
        <v>11618.17718951299</v>
      </c>
      <c r="Y88" s="227">
        <f t="shared" si="13"/>
        <v>6607.966363032162</v>
      </c>
      <c r="Z88" s="227">
        <f t="shared" si="32"/>
        <v>5010.2108264808276</v>
      </c>
      <c r="AA88" s="227">
        <f t="shared" si="14"/>
        <v>1997476.3642292989</v>
      </c>
      <c r="AB88" s="201">
        <f t="shared" si="15"/>
        <v>2027</v>
      </c>
      <c r="AC88" s="201">
        <f t="shared" si="33"/>
        <v>7</v>
      </c>
    </row>
    <row r="89" spans="10:29" ht="14.4">
      <c r="J89" s="210">
        <v>76</v>
      </c>
      <c r="K89" s="226">
        <f t="shared" si="34"/>
        <v>46691</v>
      </c>
      <c r="L89" s="227">
        <f t="shared" si="16"/>
        <v>3838918.1354963486</v>
      </c>
      <c r="M89" s="227">
        <f t="shared" si="28"/>
        <v>25290.377747270501</v>
      </c>
      <c r="N89" s="227">
        <f t="shared" si="9"/>
        <v>10894.434739159195</v>
      </c>
      <c r="O89" s="227">
        <f t="shared" si="27"/>
        <v>14395.943008111306</v>
      </c>
      <c r="P89" s="227">
        <f t="shared" si="11"/>
        <v>3828023.7007571892</v>
      </c>
      <c r="Q89" s="201">
        <f t="shared" si="12"/>
        <v>2027</v>
      </c>
      <c r="R89" s="201">
        <f t="shared" si="29"/>
        <v>7</v>
      </c>
      <c r="U89" s="210">
        <v>76</v>
      </c>
      <c r="V89" s="226">
        <f t="shared" si="30"/>
        <v>46692</v>
      </c>
      <c r="W89" s="227">
        <f t="shared" si="20"/>
        <v>1997476.3642292989</v>
      </c>
      <c r="X89" s="227">
        <f t="shared" si="31"/>
        <v>11618.17718951299</v>
      </c>
      <c r="Y89" s="227">
        <f t="shared" si="13"/>
        <v>6624.4862789397421</v>
      </c>
      <c r="Z89" s="227">
        <f t="shared" si="32"/>
        <v>4993.6909105732475</v>
      </c>
      <c r="AA89" s="227">
        <f t="shared" si="14"/>
        <v>1990851.8779503591</v>
      </c>
      <c r="AB89" s="201">
        <f t="shared" si="15"/>
        <v>2027</v>
      </c>
      <c r="AC89" s="201">
        <f t="shared" si="33"/>
        <v>7</v>
      </c>
    </row>
    <row r="90" spans="10:29" ht="14.4">
      <c r="J90" s="210">
        <v>77</v>
      </c>
      <c r="K90" s="226">
        <f t="shared" si="34"/>
        <v>46721</v>
      </c>
      <c r="L90" s="227">
        <f t="shared" si="16"/>
        <v>3828023.7007571892</v>
      </c>
      <c r="M90" s="227">
        <f t="shared" si="28"/>
        <v>25290.377747270501</v>
      </c>
      <c r="N90" s="227">
        <f t="shared" si="9"/>
        <v>10935.288869431042</v>
      </c>
      <c r="O90" s="227">
        <f t="shared" si="27"/>
        <v>14355.088877839458</v>
      </c>
      <c r="P90" s="227">
        <f t="shared" si="11"/>
        <v>3817088.4118877579</v>
      </c>
      <c r="Q90" s="201">
        <f t="shared" si="12"/>
        <v>2027</v>
      </c>
      <c r="R90" s="201">
        <f t="shared" si="29"/>
        <v>7</v>
      </c>
      <c r="U90" s="210">
        <v>77</v>
      </c>
      <c r="V90" s="226">
        <f t="shared" si="30"/>
        <v>46722</v>
      </c>
      <c r="W90" s="227">
        <f t="shared" si="20"/>
        <v>1990851.8779503591</v>
      </c>
      <c r="X90" s="227">
        <f t="shared" si="31"/>
        <v>11618.17718951299</v>
      </c>
      <c r="Y90" s="227">
        <f t="shared" si="13"/>
        <v>6641.0474946370914</v>
      </c>
      <c r="Z90" s="227">
        <f t="shared" si="32"/>
        <v>4977.1296948758982</v>
      </c>
      <c r="AA90" s="227">
        <f t="shared" si="14"/>
        <v>1984210.8304557221</v>
      </c>
      <c r="AB90" s="201">
        <f t="shared" si="15"/>
        <v>2027</v>
      </c>
      <c r="AC90" s="201">
        <f t="shared" si="33"/>
        <v>7</v>
      </c>
    </row>
    <row r="91" spans="10:29" ht="14.4">
      <c r="J91" s="210">
        <v>78</v>
      </c>
      <c r="K91" s="226">
        <f t="shared" si="34"/>
        <v>46752</v>
      </c>
      <c r="L91" s="227">
        <f t="shared" si="16"/>
        <v>3817088.4118877579</v>
      </c>
      <c r="M91" s="227">
        <f t="shared" si="28"/>
        <v>25290.377747270501</v>
      </c>
      <c r="N91" s="227">
        <f t="shared" si="9"/>
        <v>10976.296202691408</v>
      </c>
      <c r="O91" s="227">
        <f t="shared" si="27"/>
        <v>14314.081544579092</v>
      </c>
      <c r="P91" s="227">
        <f t="shared" si="11"/>
        <v>3806112.1156850667</v>
      </c>
      <c r="Q91" s="201">
        <f t="shared" si="12"/>
        <v>2027</v>
      </c>
      <c r="R91" s="201">
        <f t="shared" si="29"/>
        <v>7</v>
      </c>
      <c r="U91" s="210">
        <v>78</v>
      </c>
      <c r="V91" s="226">
        <f t="shared" si="30"/>
        <v>46753</v>
      </c>
      <c r="W91" s="227">
        <f t="shared" si="20"/>
        <v>1984210.8304557221</v>
      </c>
      <c r="X91" s="227">
        <f t="shared" si="31"/>
        <v>11618.17718951299</v>
      </c>
      <c r="Y91" s="227">
        <f t="shared" si="13"/>
        <v>6657.6501133736847</v>
      </c>
      <c r="Z91" s="227">
        <f t="shared" si="32"/>
        <v>4960.5270761393049</v>
      </c>
      <c r="AA91" s="227">
        <f t="shared" si="14"/>
        <v>1977553.1803423483</v>
      </c>
      <c r="AB91" s="201">
        <f t="shared" si="15"/>
        <v>2028</v>
      </c>
      <c r="AC91" s="201">
        <f t="shared" si="33"/>
        <v>7</v>
      </c>
    </row>
    <row r="92" spans="10:29" ht="14.4">
      <c r="J92" s="210">
        <v>79</v>
      </c>
      <c r="K92" s="226">
        <f t="shared" si="34"/>
        <v>46783</v>
      </c>
      <c r="L92" s="227">
        <f t="shared" si="16"/>
        <v>3806112.1156850667</v>
      </c>
      <c r="M92" s="227">
        <f t="shared" si="28"/>
        <v>25290.377747270501</v>
      </c>
      <c r="N92" s="227">
        <f t="shared" si="9"/>
        <v>11017.457313451501</v>
      </c>
      <c r="O92" s="227">
        <f t="shared" si="27"/>
        <v>14272.920433818999</v>
      </c>
      <c r="P92" s="227">
        <f t="shared" si="11"/>
        <v>3795094.6583716152</v>
      </c>
      <c r="Q92" s="201">
        <f t="shared" si="12"/>
        <v>2028</v>
      </c>
      <c r="R92" s="201">
        <f t="shared" si="29"/>
        <v>7</v>
      </c>
      <c r="U92" s="210">
        <v>79</v>
      </c>
      <c r="V92" s="226">
        <f t="shared" si="30"/>
        <v>46784</v>
      </c>
      <c r="W92" s="227">
        <f t="shared" si="20"/>
        <v>1977553.1803423483</v>
      </c>
      <c r="X92" s="227">
        <f t="shared" si="31"/>
        <v>11618.17718951299</v>
      </c>
      <c r="Y92" s="227">
        <f t="shared" si="13"/>
        <v>6674.2942386571185</v>
      </c>
      <c r="Z92" s="227">
        <f t="shared" si="32"/>
        <v>4943.8829508558711</v>
      </c>
      <c r="AA92" s="227">
        <f t="shared" si="14"/>
        <v>1970878.8861036911</v>
      </c>
      <c r="AB92" s="201">
        <f t="shared" si="15"/>
        <v>2028</v>
      </c>
      <c r="AC92" s="201">
        <f t="shared" si="33"/>
        <v>7</v>
      </c>
    </row>
    <row r="93" spans="10:29" ht="14.4">
      <c r="J93" s="210">
        <v>80</v>
      </c>
      <c r="K93" s="226">
        <f t="shared" si="34"/>
        <v>46812</v>
      </c>
      <c r="L93" s="227">
        <f t="shared" si="16"/>
        <v>3795094.6583716152</v>
      </c>
      <c r="M93" s="227">
        <f t="shared" si="28"/>
        <v>25290.377747270501</v>
      </c>
      <c r="N93" s="227">
        <f t="shared" si="9"/>
        <v>11058.772778376944</v>
      </c>
      <c r="O93" s="227">
        <f t="shared" si="27"/>
        <v>14231.604968893556</v>
      </c>
      <c r="P93" s="227">
        <f t="shared" si="11"/>
        <v>3784035.8855932383</v>
      </c>
      <c r="Q93" s="201">
        <f t="shared" si="12"/>
        <v>2028</v>
      </c>
      <c r="R93" s="201">
        <f t="shared" si="29"/>
        <v>7</v>
      </c>
      <c r="U93" s="210">
        <v>80</v>
      </c>
      <c r="V93" s="226">
        <f t="shared" si="30"/>
        <v>46813</v>
      </c>
      <c r="W93" s="227">
        <f t="shared" si="20"/>
        <v>1970878.8861036911</v>
      </c>
      <c r="X93" s="227">
        <f t="shared" si="31"/>
        <v>11618.17718951299</v>
      </c>
      <c r="Y93" s="227">
        <f t="shared" si="13"/>
        <v>6690.9799742537616</v>
      </c>
      <c r="Z93" s="227">
        <f t="shared" si="32"/>
        <v>4927.197215259228</v>
      </c>
      <c r="AA93" s="227">
        <f t="shared" si="14"/>
        <v>1964187.9061294373</v>
      </c>
      <c r="AB93" s="201">
        <f t="shared" si="15"/>
        <v>2028</v>
      </c>
      <c r="AC93" s="201">
        <f t="shared" si="33"/>
        <v>7</v>
      </c>
    </row>
    <row r="94" spans="10:29" ht="14.4">
      <c r="J94" s="210">
        <v>81</v>
      </c>
      <c r="K94" s="226">
        <f t="shared" si="34"/>
        <v>46843</v>
      </c>
      <c r="L94" s="227">
        <f t="shared" si="16"/>
        <v>3784035.8855932383</v>
      </c>
      <c r="M94" s="227">
        <f t="shared" si="28"/>
        <v>25290.377747270501</v>
      </c>
      <c r="N94" s="227">
        <f t="shared" si="9"/>
        <v>11100.243176295857</v>
      </c>
      <c r="O94" s="227">
        <f t="shared" si="27"/>
        <v>14190.134570974644</v>
      </c>
      <c r="P94" s="227">
        <f t="shared" si="11"/>
        <v>3772935.6424169424</v>
      </c>
      <c r="Q94" s="201">
        <f t="shared" si="12"/>
        <v>2028</v>
      </c>
      <c r="R94" s="201">
        <f t="shared" si="29"/>
        <v>7</v>
      </c>
      <c r="U94" s="210">
        <v>81</v>
      </c>
      <c r="V94" s="226">
        <f t="shared" si="30"/>
        <v>46844</v>
      </c>
      <c r="W94" s="227">
        <f t="shared" si="20"/>
        <v>1964187.9061294373</v>
      </c>
      <c r="X94" s="227">
        <f t="shared" si="31"/>
        <v>11618.17718951299</v>
      </c>
      <c r="Y94" s="227">
        <f t="shared" si="13"/>
        <v>6707.7074241893961</v>
      </c>
      <c r="Z94" s="227">
        <f t="shared" si="32"/>
        <v>4910.4697653235935</v>
      </c>
      <c r="AA94" s="227">
        <f t="shared" si="14"/>
        <v>1957480.1987052478</v>
      </c>
      <c r="AB94" s="201">
        <f t="shared" si="15"/>
        <v>2028</v>
      </c>
      <c r="AC94" s="201">
        <f t="shared" si="33"/>
        <v>7</v>
      </c>
    </row>
    <row r="95" spans="10:29" ht="14.4">
      <c r="J95" s="210">
        <v>82</v>
      </c>
      <c r="K95" s="226">
        <f t="shared" si="34"/>
        <v>46873</v>
      </c>
      <c r="L95" s="227">
        <f t="shared" si="16"/>
        <v>3772935.6424169424</v>
      </c>
      <c r="M95" s="227">
        <f t="shared" si="28"/>
        <v>25290.377747270501</v>
      </c>
      <c r="N95" s="227">
        <f t="shared" si="9"/>
        <v>11141.869088206968</v>
      </c>
      <c r="O95" s="227">
        <f t="shared" si="27"/>
        <v>14148.508659063533</v>
      </c>
      <c r="P95" s="227">
        <f t="shared" si="11"/>
        <v>3761793.7733287355</v>
      </c>
      <c r="Q95" s="201">
        <f t="shared" si="12"/>
        <v>2028</v>
      </c>
      <c r="R95" s="201">
        <f t="shared" si="29"/>
        <v>7</v>
      </c>
      <c r="U95" s="210">
        <v>82</v>
      </c>
      <c r="V95" s="226">
        <f t="shared" si="30"/>
        <v>46874</v>
      </c>
      <c r="W95" s="227">
        <f t="shared" si="20"/>
        <v>1957480.1987052478</v>
      </c>
      <c r="X95" s="227">
        <f t="shared" si="31"/>
        <v>11618.17718951299</v>
      </c>
      <c r="Y95" s="227">
        <f t="shared" si="13"/>
        <v>6724.4766927498695</v>
      </c>
      <c r="Z95" s="227">
        <f t="shared" si="32"/>
        <v>4893.7004967631201</v>
      </c>
      <c r="AA95" s="227">
        <f t="shared" si="14"/>
        <v>1950755.722012498</v>
      </c>
      <c r="AB95" s="201">
        <f t="shared" si="15"/>
        <v>2028</v>
      </c>
      <c r="AC95" s="201">
        <f t="shared" si="33"/>
        <v>7</v>
      </c>
    </row>
    <row r="96" spans="10:29" ht="14.4">
      <c r="J96" s="210">
        <v>83</v>
      </c>
      <c r="K96" s="226">
        <f t="shared" si="34"/>
        <v>46904</v>
      </c>
      <c r="L96" s="227">
        <f t="shared" si="16"/>
        <v>3761793.7733287355</v>
      </c>
      <c r="M96" s="227">
        <f t="shared" si="28"/>
        <v>25290.377747270501</v>
      </c>
      <c r="N96" s="227">
        <f t="shared" si="9"/>
        <v>11183.651097287742</v>
      </c>
      <c r="O96" s="227">
        <f t="shared" si="27"/>
        <v>14106.726649982758</v>
      </c>
      <c r="P96" s="227">
        <f t="shared" si="11"/>
        <v>3750610.1222314476</v>
      </c>
      <c r="Q96" s="201">
        <f t="shared" si="12"/>
        <v>2028</v>
      </c>
      <c r="R96" s="201">
        <f t="shared" si="29"/>
        <v>7</v>
      </c>
      <c r="U96" s="210">
        <v>83</v>
      </c>
      <c r="V96" s="226">
        <f t="shared" si="30"/>
        <v>46905</v>
      </c>
      <c r="W96" s="227">
        <f t="shared" si="20"/>
        <v>1950755.722012498</v>
      </c>
      <c r="X96" s="227">
        <f t="shared" si="31"/>
        <v>11618.17718951299</v>
      </c>
      <c r="Y96" s="227">
        <f t="shared" si="13"/>
        <v>6741.2878844817442</v>
      </c>
      <c r="Z96" s="227">
        <f t="shared" si="32"/>
        <v>4876.8893050312454</v>
      </c>
      <c r="AA96" s="227">
        <f t="shared" si="14"/>
        <v>1944014.4341280162</v>
      </c>
      <c r="AB96" s="201">
        <f t="shared" si="15"/>
        <v>2028</v>
      </c>
      <c r="AC96" s="201">
        <f t="shared" si="33"/>
        <v>7</v>
      </c>
    </row>
    <row r="97" spans="10:29" ht="14.4">
      <c r="J97" s="210">
        <v>84</v>
      </c>
      <c r="K97" s="226">
        <f t="shared" si="34"/>
        <v>46934</v>
      </c>
      <c r="L97" s="227">
        <f t="shared" si="16"/>
        <v>3750610.1222314476</v>
      </c>
      <c r="M97" s="227">
        <f t="shared" si="28"/>
        <v>25290.377747270501</v>
      </c>
      <c r="N97" s="227">
        <f t="shared" si="9"/>
        <v>11225.589788902573</v>
      </c>
      <c r="O97" s="227">
        <f t="shared" si="27"/>
        <v>14064.787958367928</v>
      </c>
      <c r="P97" s="227">
        <f t="shared" si="11"/>
        <v>3739384.5324425451</v>
      </c>
      <c r="Q97" s="201">
        <f t="shared" si="12"/>
        <v>2028</v>
      </c>
      <c r="R97" s="201">
        <f t="shared" si="29"/>
        <v>7</v>
      </c>
      <c r="U97" s="210">
        <v>84</v>
      </c>
      <c r="V97" s="226">
        <f t="shared" si="30"/>
        <v>46935</v>
      </c>
      <c r="W97" s="227">
        <f t="shared" si="20"/>
        <v>1944014.4341280162</v>
      </c>
      <c r="X97" s="227">
        <f t="shared" si="31"/>
        <v>11618.17718951299</v>
      </c>
      <c r="Y97" s="227">
        <f t="shared" si="13"/>
        <v>6758.1411041929487</v>
      </c>
      <c r="Z97" s="227">
        <f t="shared" si="32"/>
        <v>4860.0360853200409</v>
      </c>
      <c r="AA97" s="227">
        <f t="shared" si="14"/>
        <v>1937256.2930238233</v>
      </c>
      <c r="AB97" s="201">
        <f t="shared" si="15"/>
        <v>2028</v>
      </c>
      <c r="AC97" s="201">
        <f t="shared" si="33"/>
        <v>7</v>
      </c>
    </row>
    <row r="98" spans="10:29" ht="14.4">
      <c r="J98" s="210">
        <v>85</v>
      </c>
      <c r="K98" s="226">
        <f t="shared" si="34"/>
        <v>46965</v>
      </c>
      <c r="L98" s="227">
        <f t="shared" si="16"/>
        <v>3739384.5324425451</v>
      </c>
      <c r="M98" s="227">
        <f t="shared" si="28"/>
        <v>25290.377747270501</v>
      </c>
      <c r="N98" s="227">
        <f t="shared" si="9"/>
        <v>11267.685750610957</v>
      </c>
      <c r="O98" s="227">
        <f t="shared" si="27"/>
        <v>14022.691996659543</v>
      </c>
      <c r="P98" s="227">
        <f t="shared" si="11"/>
        <v>3728116.8466919339</v>
      </c>
      <c r="Q98" s="201">
        <f t="shared" si="12"/>
        <v>2028</v>
      </c>
      <c r="R98" s="201">
        <f t="shared" si="29"/>
        <v>8</v>
      </c>
      <c r="U98" s="210">
        <v>85</v>
      </c>
      <c r="V98" s="226">
        <f t="shared" si="30"/>
        <v>46966</v>
      </c>
      <c r="W98" s="227">
        <f t="shared" si="20"/>
        <v>1937256.2930238233</v>
      </c>
      <c r="X98" s="227">
        <f t="shared" si="31"/>
        <v>11618.17718951299</v>
      </c>
      <c r="Y98" s="227">
        <f t="shared" si="13"/>
        <v>6775.0364569534313</v>
      </c>
      <c r="Z98" s="227">
        <f t="shared" si="32"/>
        <v>4843.1407325595583</v>
      </c>
      <c r="AA98" s="227">
        <f t="shared" si="14"/>
        <v>1930481.2565668698</v>
      </c>
      <c r="AB98" s="201">
        <f t="shared" si="15"/>
        <v>2028</v>
      </c>
      <c r="AC98" s="201">
        <f t="shared" si="33"/>
        <v>8</v>
      </c>
    </row>
    <row r="99" spans="10:29" ht="14.4">
      <c r="J99" s="210">
        <v>86</v>
      </c>
      <c r="K99" s="226">
        <f t="shared" si="34"/>
        <v>46996</v>
      </c>
      <c r="L99" s="227">
        <f t="shared" si="16"/>
        <v>3728116.8466919339</v>
      </c>
      <c r="M99" s="227">
        <f t="shared" si="28"/>
        <v>25290.377747270501</v>
      </c>
      <c r="N99" s="227">
        <f t="shared" si="9"/>
        <v>11309.939572175748</v>
      </c>
      <c r="O99" s="227">
        <f t="shared" si="27"/>
        <v>13980.438175094752</v>
      </c>
      <c r="P99" s="227">
        <f t="shared" si="11"/>
        <v>3716806.907119758</v>
      </c>
      <c r="Q99" s="201">
        <f t="shared" si="12"/>
        <v>2028</v>
      </c>
      <c r="R99" s="201">
        <f t="shared" si="29"/>
        <v>8</v>
      </c>
      <c r="U99" s="210">
        <v>86</v>
      </c>
      <c r="V99" s="226">
        <f t="shared" si="30"/>
        <v>46997</v>
      </c>
      <c r="W99" s="227">
        <f t="shared" si="20"/>
        <v>1930481.2565668698</v>
      </c>
      <c r="X99" s="227">
        <f t="shared" si="31"/>
        <v>11618.17718951299</v>
      </c>
      <c r="Y99" s="227">
        <f t="shared" si="13"/>
        <v>6791.9740480958153</v>
      </c>
      <c r="Z99" s="227">
        <f t="shared" si="32"/>
        <v>4826.2031414171743</v>
      </c>
      <c r="AA99" s="227">
        <f t="shared" si="14"/>
        <v>1923689.282518774</v>
      </c>
      <c r="AB99" s="201">
        <f t="shared" si="15"/>
        <v>2028</v>
      </c>
      <c r="AC99" s="201">
        <f t="shared" si="33"/>
        <v>8</v>
      </c>
    </row>
    <row r="100" spans="10:29" ht="14.4">
      <c r="J100" s="210">
        <v>87</v>
      </c>
      <c r="K100" s="226">
        <f t="shared" si="34"/>
        <v>47026</v>
      </c>
      <c r="L100" s="227">
        <f t="shared" si="16"/>
        <v>3716806.907119758</v>
      </c>
      <c r="M100" s="227">
        <f t="shared" si="28"/>
        <v>25290.377747270501</v>
      </c>
      <c r="N100" s="227">
        <f t="shared" si="9"/>
        <v>11352.351845571409</v>
      </c>
      <c r="O100" s="227">
        <f t="shared" si="27"/>
        <v>13938.025901699091</v>
      </c>
      <c r="P100" s="227">
        <f t="shared" si="11"/>
        <v>3705454.5552741867</v>
      </c>
      <c r="Q100" s="201">
        <f t="shared" si="12"/>
        <v>2028</v>
      </c>
      <c r="R100" s="201">
        <f t="shared" si="29"/>
        <v>8</v>
      </c>
      <c r="U100" s="210">
        <v>87</v>
      </c>
      <c r="V100" s="226">
        <f t="shared" si="30"/>
        <v>47027</v>
      </c>
      <c r="W100" s="227">
        <f t="shared" si="20"/>
        <v>1923689.282518774</v>
      </c>
      <c r="X100" s="227">
        <f t="shared" si="31"/>
        <v>11618.17718951299</v>
      </c>
      <c r="Y100" s="227">
        <f t="shared" si="13"/>
        <v>6808.9539832160544</v>
      </c>
      <c r="Z100" s="227">
        <f t="shared" si="32"/>
        <v>4809.2232062969351</v>
      </c>
      <c r="AA100" s="227">
        <f t="shared" si="14"/>
        <v>1916880.328535558</v>
      </c>
      <c r="AB100" s="201">
        <f t="shared" si="15"/>
        <v>2028</v>
      </c>
      <c r="AC100" s="201">
        <f t="shared" si="33"/>
        <v>8</v>
      </c>
    </row>
    <row r="101" spans="10:29" ht="14.4">
      <c r="J101" s="210">
        <v>88</v>
      </c>
      <c r="K101" s="226">
        <f t="shared" si="34"/>
        <v>47057</v>
      </c>
      <c r="L101" s="227">
        <f t="shared" si="16"/>
        <v>3705454.5552741867</v>
      </c>
      <c r="M101" s="227">
        <f t="shared" si="28"/>
        <v>25290.377747270501</v>
      </c>
      <c r="N101" s="227">
        <f t="shared" si="9"/>
        <v>11394.9231649923</v>
      </c>
      <c r="O101" s="227">
        <f t="shared" si="27"/>
        <v>13895.4545822782</v>
      </c>
      <c r="P101" s="227">
        <f t="shared" si="11"/>
        <v>3694059.6321091945</v>
      </c>
      <c r="Q101" s="201">
        <f t="shared" si="12"/>
        <v>2028</v>
      </c>
      <c r="R101" s="201">
        <f t="shared" si="29"/>
        <v>8</v>
      </c>
      <c r="U101" s="210">
        <v>88</v>
      </c>
      <c r="V101" s="226">
        <f t="shared" si="30"/>
        <v>47058</v>
      </c>
      <c r="W101" s="227">
        <f t="shared" si="20"/>
        <v>1916880.328535558</v>
      </c>
      <c r="X101" s="227">
        <f t="shared" si="31"/>
        <v>11618.17718951299</v>
      </c>
      <c r="Y101" s="227">
        <f t="shared" si="13"/>
        <v>6825.9763681740942</v>
      </c>
      <c r="Z101" s="227">
        <f t="shared" si="32"/>
        <v>4792.2008213388954</v>
      </c>
      <c r="AA101" s="227">
        <f t="shared" si="14"/>
        <v>1910054.3521673838</v>
      </c>
      <c r="AB101" s="201">
        <f t="shared" si="15"/>
        <v>2028</v>
      </c>
      <c r="AC101" s="201">
        <f t="shared" si="33"/>
        <v>8</v>
      </c>
    </row>
    <row r="102" spans="10:29" ht="14.4">
      <c r="J102" s="210">
        <v>89</v>
      </c>
      <c r="K102" s="226">
        <f t="shared" si="34"/>
        <v>47087</v>
      </c>
      <c r="L102" s="227">
        <f t="shared" si="16"/>
        <v>3694059.6321091945</v>
      </c>
      <c r="M102" s="227">
        <f t="shared" si="28"/>
        <v>25290.377747270501</v>
      </c>
      <c r="N102" s="227">
        <f t="shared" si="9"/>
        <v>11437.654126861022</v>
      </c>
      <c r="O102" s="227">
        <f t="shared" si="27"/>
        <v>13852.723620409479</v>
      </c>
      <c r="P102" s="227">
        <f t="shared" si="11"/>
        <v>3682621.9779823334</v>
      </c>
      <c r="Q102" s="201">
        <f t="shared" si="12"/>
        <v>2028</v>
      </c>
      <c r="R102" s="201">
        <f t="shared" si="29"/>
        <v>8</v>
      </c>
      <c r="U102" s="210">
        <v>89</v>
      </c>
      <c r="V102" s="226">
        <f t="shared" si="30"/>
        <v>47088</v>
      </c>
      <c r="W102" s="227">
        <f t="shared" si="20"/>
        <v>1910054.3521673838</v>
      </c>
      <c r="X102" s="227">
        <f t="shared" si="31"/>
        <v>11618.17718951299</v>
      </c>
      <c r="Y102" s="227">
        <f t="shared" si="13"/>
        <v>6843.0413090945303</v>
      </c>
      <c r="Z102" s="227">
        <f t="shared" si="32"/>
        <v>4775.1358804184592</v>
      </c>
      <c r="AA102" s="227">
        <f t="shared" si="14"/>
        <v>1903211.3108582892</v>
      </c>
      <c r="AB102" s="201">
        <f t="shared" si="15"/>
        <v>2028</v>
      </c>
      <c r="AC102" s="201">
        <f t="shared" si="33"/>
        <v>8</v>
      </c>
    </row>
    <row r="103" spans="10:29" ht="14.4">
      <c r="J103" s="210">
        <v>90</v>
      </c>
      <c r="K103" s="226">
        <f t="shared" si="34"/>
        <v>47118</v>
      </c>
      <c r="L103" s="227">
        <f t="shared" si="16"/>
        <v>3682621.9779823334</v>
      </c>
      <c r="M103" s="227">
        <f t="shared" si="28"/>
        <v>25290.377747270501</v>
      </c>
      <c r="N103" s="227">
        <f t="shared" si="9"/>
        <v>11480.54532983675</v>
      </c>
      <c r="O103" s="227">
        <f t="shared" si="27"/>
        <v>13809.83241743375</v>
      </c>
      <c r="P103" s="227">
        <f t="shared" si="11"/>
        <v>3671141.4326524967</v>
      </c>
      <c r="Q103" s="201">
        <f t="shared" si="12"/>
        <v>2028</v>
      </c>
      <c r="R103" s="201">
        <f t="shared" si="29"/>
        <v>8</v>
      </c>
      <c r="U103" s="210">
        <v>90</v>
      </c>
      <c r="V103" s="226">
        <f t="shared" si="30"/>
        <v>47119</v>
      </c>
      <c r="W103" s="227">
        <f t="shared" si="20"/>
        <v>1903211.3108582892</v>
      </c>
      <c r="X103" s="227">
        <f t="shared" si="31"/>
        <v>11618.17718951299</v>
      </c>
      <c r="Y103" s="227">
        <f t="shared" si="13"/>
        <v>6860.1489123672663</v>
      </c>
      <c r="Z103" s="227">
        <f t="shared" si="32"/>
        <v>4758.0282771457232</v>
      </c>
      <c r="AA103" s="227">
        <f t="shared" si="14"/>
        <v>1896351.1619459221</v>
      </c>
      <c r="AB103" s="201">
        <f t="shared" si="15"/>
        <v>2029</v>
      </c>
      <c r="AC103" s="201">
        <f t="shared" si="33"/>
        <v>8</v>
      </c>
    </row>
    <row r="104" spans="10:29" ht="14.4">
      <c r="J104" s="210">
        <v>91</v>
      </c>
      <c r="K104" s="226">
        <f t="shared" si="34"/>
        <v>47149</v>
      </c>
      <c r="L104" s="227">
        <f t="shared" si="16"/>
        <v>3671141.4326524967</v>
      </c>
      <c r="M104" s="227">
        <f t="shared" si="28"/>
        <v>25290.377747270501</v>
      </c>
      <c r="N104" s="227">
        <f t="shared" si="9"/>
        <v>11523.597374823637</v>
      </c>
      <c r="O104" s="227">
        <f t="shared" si="27"/>
        <v>13766.780372446863</v>
      </c>
      <c r="P104" s="227">
        <f t="shared" si="11"/>
        <v>3659617.8352776733</v>
      </c>
      <c r="Q104" s="201">
        <f t="shared" si="12"/>
        <v>2029</v>
      </c>
      <c r="R104" s="201">
        <f t="shared" si="29"/>
        <v>8</v>
      </c>
      <c r="U104" s="210">
        <v>91</v>
      </c>
      <c r="V104" s="226">
        <f t="shared" si="30"/>
        <v>47150</v>
      </c>
      <c r="W104" s="227">
        <f t="shared" si="20"/>
        <v>1896351.1619459221</v>
      </c>
      <c r="X104" s="227">
        <f t="shared" si="31"/>
        <v>11618.17718951299</v>
      </c>
      <c r="Y104" s="227">
        <f t="shared" si="13"/>
        <v>6877.2992846481839</v>
      </c>
      <c r="Z104" s="227">
        <f t="shared" si="32"/>
        <v>4740.8779048648057</v>
      </c>
      <c r="AA104" s="227">
        <f t="shared" si="14"/>
        <v>1889473.8626612739</v>
      </c>
      <c r="AB104" s="201">
        <f t="shared" si="15"/>
        <v>2029</v>
      </c>
      <c r="AC104" s="201">
        <f t="shared" si="33"/>
        <v>8</v>
      </c>
    </row>
    <row r="105" spans="10:29" ht="14.4">
      <c r="J105" s="210">
        <v>92</v>
      </c>
      <c r="K105" s="226">
        <f t="shared" si="34"/>
        <v>47177</v>
      </c>
      <c r="L105" s="227">
        <f t="shared" si="16"/>
        <v>3659617.8352776733</v>
      </c>
      <c r="M105" s="227">
        <f t="shared" si="28"/>
        <v>25290.377747270501</v>
      </c>
      <c r="N105" s="227">
        <f t="shared" si="9"/>
        <v>11566.810864979227</v>
      </c>
      <c r="O105" s="227">
        <f t="shared" si="27"/>
        <v>13723.566882291274</v>
      </c>
      <c r="P105" s="227">
        <f t="shared" si="11"/>
        <v>3648051.0244126939</v>
      </c>
      <c r="Q105" s="201">
        <f t="shared" si="12"/>
        <v>2029</v>
      </c>
      <c r="R105" s="201">
        <f t="shared" si="29"/>
        <v>8</v>
      </c>
      <c r="U105" s="210">
        <v>92</v>
      </c>
      <c r="V105" s="226">
        <f t="shared" si="30"/>
        <v>47178</v>
      </c>
      <c r="W105" s="227">
        <f t="shared" si="20"/>
        <v>1889473.8626612739</v>
      </c>
      <c r="X105" s="227">
        <f t="shared" si="31"/>
        <v>11618.17718951299</v>
      </c>
      <c r="Y105" s="227">
        <f t="shared" si="13"/>
        <v>6894.4925328598047</v>
      </c>
      <c r="Z105" s="227">
        <f t="shared" si="32"/>
        <v>4723.6846566531849</v>
      </c>
      <c r="AA105" s="227">
        <f t="shared" si="14"/>
        <v>1882579.3701284141</v>
      </c>
      <c r="AB105" s="201">
        <f t="shared" si="15"/>
        <v>2029</v>
      </c>
      <c r="AC105" s="201">
        <f t="shared" si="33"/>
        <v>8</v>
      </c>
    </row>
    <row r="106" spans="10:29" ht="14.4">
      <c r="J106" s="210">
        <v>93</v>
      </c>
      <c r="K106" s="226">
        <f t="shared" si="34"/>
        <v>47208</v>
      </c>
      <c r="L106" s="227">
        <f t="shared" si="16"/>
        <v>3648051.0244126939</v>
      </c>
      <c r="M106" s="227">
        <f t="shared" si="28"/>
        <v>25290.377747270501</v>
      </c>
      <c r="N106" s="227">
        <f t="shared" si="9"/>
        <v>11610.1864057229</v>
      </c>
      <c r="O106" s="227">
        <f t="shared" si="27"/>
        <v>13680.191341547601</v>
      </c>
      <c r="P106" s="227">
        <f t="shared" si="11"/>
        <v>3636440.8380069709</v>
      </c>
      <c r="Q106" s="201">
        <f t="shared" si="12"/>
        <v>2029</v>
      </c>
      <c r="R106" s="201">
        <f t="shared" si="29"/>
        <v>8</v>
      </c>
      <c r="U106" s="210">
        <v>93</v>
      </c>
      <c r="V106" s="226">
        <f t="shared" si="30"/>
        <v>47209</v>
      </c>
      <c r="W106" s="227">
        <f t="shared" si="20"/>
        <v>1882579.3701284141</v>
      </c>
      <c r="X106" s="227">
        <f t="shared" si="31"/>
        <v>11618.17718951299</v>
      </c>
      <c r="Y106" s="227">
        <f t="shared" si="13"/>
        <v>6911.7287641919538</v>
      </c>
      <c r="Z106" s="227">
        <f t="shared" si="32"/>
        <v>4706.4484253210358</v>
      </c>
      <c r="AA106" s="227">
        <f t="shared" si="14"/>
        <v>1875667.6413642222</v>
      </c>
      <c r="AB106" s="201">
        <f t="shared" si="15"/>
        <v>2029</v>
      </c>
      <c r="AC106" s="201">
        <f t="shared" si="33"/>
        <v>8</v>
      </c>
    </row>
    <row r="107" spans="10:29" ht="14.4">
      <c r="J107" s="210">
        <v>94</v>
      </c>
      <c r="K107" s="226">
        <f t="shared" si="34"/>
        <v>47238</v>
      </c>
      <c r="L107" s="227">
        <f t="shared" si="16"/>
        <v>3636440.8380069709</v>
      </c>
      <c r="M107" s="227">
        <f t="shared" si="28"/>
        <v>25290.377747270501</v>
      </c>
      <c r="N107" s="227">
        <f t="shared" si="9"/>
        <v>11653.72460474436</v>
      </c>
      <c r="O107" s="227">
        <f t="shared" si="27"/>
        <v>13636.65314252614</v>
      </c>
      <c r="P107" s="227">
        <f t="shared" si="11"/>
        <v>3624787.1134022265</v>
      </c>
      <c r="Q107" s="201">
        <f t="shared" si="12"/>
        <v>2029</v>
      </c>
      <c r="R107" s="201">
        <f t="shared" si="29"/>
        <v>8</v>
      </c>
      <c r="U107" s="210">
        <v>94</v>
      </c>
      <c r="V107" s="226">
        <f t="shared" si="30"/>
        <v>47239</v>
      </c>
      <c r="W107" s="227">
        <f t="shared" si="20"/>
        <v>1875667.6413642222</v>
      </c>
      <c r="X107" s="227">
        <f t="shared" si="31"/>
        <v>11618.17718951299</v>
      </c>
      <c r="Y107" s="227">
        <f t="shared" si="13"/>
        <v>6929.0080861024344</v>
      </c>
      <c r="Z107" s="227">
        <f t="shared" si="32"/>
        <v>4689.1691034105552</v>
      </c>
      <c r="AA107" s="227">
        <f t="shared" si="14"/>
        <v>1868738.6332781196</v>
      </c>
      <c r="AB107" s="201">
        <f t="shared" si="15"/>
        <v>2029</v>
      </c>
      <c r="AC107" s="201">
        <f t="shared" si="33"/>
        <v>8</v>
      </c>
    </row>
    <row r="108" spans="10:29" ht="14.4">
      <c r="J108" s="210">
        <v>95</v>
      </c>
      <c r="K108" s="226">
        <f t="shared" si="34"/>
        <v>47269</v>
      </c>
      <c r="L108" s="227">
        <f t="shared" si="16"/>
        <v>3624787.1134022265</v>
      </c>
      <c r="M108" s="227">
        <f t="shared" si="28"/>
        <v>25290.377747270501</v>
      </c>
      <c r="N108" s="227">
        <f t="shared" si="9"/>
        <v>11697.426072012151</v>
      </c>
      <c r="O108" s="227">
        <f t="shared" si="27"/>
        <v>13592.951675258349</v>
      </c>
      <c r="P108" s="227">
        <f t="shared" si="11"/>
        <v>3613089.6873302143</v>
      </c>
      <c r="Q108" s="201">
        <f t="shared" si="12"/>
        <v>2029</v>
      </c>
      <c r="R108" s="201">
        <f t="shared" si="29"/>
        <v>8</v>
      </c>
      <c r="U108" s="210">
        <v>95</v>
      </c>
      <c r="V108" s="226">
        <f t="shared" si="30"/>
        <v>47270</v>
      </c>
      <c r="W108" s="227">
        <f t="shared" si="20"/>
        <v>1868738.6332781196</v>
      </c>
      <c r="X108" s="227">
        <f t="shared" si="31"/>
        <v>11618.17718951299</v>
      </c>
      <c r="Y108" s="227">
        <f t="shared" si="13"/>
        <v>6946.3306063176906</v>
      </c>
      <c r="Z108" s="227">
        <f t="shared" si="32"/>
        <v>4671.846583195299</v>
      </c>
      <c r="AA108" s="227">
        <f t="shared" si="14"/>
        <v>1861792.302671802</v>
      </c>
      <c r="AB108" s="201">
        <f t="shared" si="15"/>
        <v>2029</v>
      </c>
      <c r="AC108" s="201">
        <f t="shared" si="33"/>
        <v>8</v>
      </c>
    </row>
    <row r="109" spans="10:29" ht="14.4">
      <c r="J109" s="210">
        <v>96</v>
      </c>
      <c r="K109" s="226">
        <f t="shared" si="34"/>
        <v>47299</v>
      </c>
      <c r="L109" s="227">
        <f t="shared" si="16"/>
        <v>3613089.6873302143</v>
      </c>
      <c r="M109" s="227">
        <f t="shared" si="28"/>
        <v>25290.377747270501</v>
      </c>
      <c r="N109" s="227">
        <f t="shared" si="9"/>
        <v>11741.291419782197</v>
      </c>
      <c r="O109" s="227">
        <f t="shared" si="27"/>
        <v>13549.086327488303</v>
      </c>
      <c r="P109" s="227">
        <f t="shared" si="11"/>
        <v>3601348.3959104321</v>
      </c>
      <c r="Q109" s="201">
        <f t="shared" si="12"/>
        <v>2029</v>
      </c>
      <c r="R109" s="201">
        <f t="shared" si="29"/>
        <v>8</v>
      </c>
      <c r="U109" s="210">
        <v>96</v>
      </c>
      <c r="V109" s="226">
        <f t="shared" si="30"/>
        <v>47300</v>
      </c>
      <c r="W109" s="227">
        <f t="shared" si="20"/>
        <v>1861792.302671802</v>
      </c>
      <c r="X109" s="227">
        <f t="shared" si="31"/>
        <v>11618.17718951299</v>
      </c>
      <c r="Y109" s="227">
        <f t="shared" si="13"/>
        <v>6963.6964328334843</v>
      </c>
      <c r="Z109" s="227">
        <f t="shared" si="32"/>
        <v>4654.4807566795052</v>
      </c>
      <c r="AA109" s="227">
        <f t="shared" si="14"/>
        <v>1854828.6062389684</v>
      </c>
      <c r="AB109" s="201">
        <f t="shared" si="15"/>
        <v>2029</v>
      </c>
      <c r="AC109" s="201">
        <f t="shared" si="33"/>
        <v>8</v>
      </c>
    </row>
    <row r="110" spans="10:29" ht="14.4">
      <c r="J110" s="210">
        <v>97</v>
      </c>
      <c r="K110" s="226">
        <f t="shared" si="34"/>
        <v>47330</v>
      </c>
      <c r="L110" s="227">
        <f t="shared" si="16"/>
        <v>3601348.3959104321</v>
      </c>
      <c r="M110" s="227">
        <f t="shared" si="28"/>
        <v>25290.377747270501</v>
      </c>
      <c r="N110" s="227">
        <f t="shared" si="9"/>
        <v>11785.321262606381</v>
      </c>
      <c r="O110" s="227">
        <f t="shared" ref="O110:O141" si="35">L110*$K$6</f>
        <v>13505.056484664119</v>
      </c>
      <c r="P110" s="227">
        <f t="shared" si="11"/>
        <v>3589563.0746478257</v>
      </c>
      <c r="Q110" s="201">
        <f t="shared" si="12"/>
        <v>2029</v>
      </c>
      <c r="R110" s="201">
        <f t="shared" si="29"/>
        <v>9</v>
      </c>
      <c r="U110" s="210">
        <v>97</v>
      </c>
      <c r="V110" s="226">
        <f t="shared" si="30"/>
        <v>47331</v>
      </c>
      <c r="W110" s="227">
        <f t="shared" si="20"/>
        <v>1854828.6062389684</v>
      </c>
      <c r="X110" s="227">
        <f t="shared" si="31"/>
        <v>11618.17718951299</v>
      </c>
      <c r="Y110" s="227">
        <f t="shared" si="13"/>
        <v>6981.1056739155683</v>
      </c>
      <c r="Z110" s="227">
        <f t="shared" si="32"/>
        <v>4637.0715155974212</v>
      </c>
      <c r="AA110" s="227">
        <f t="shared" si="14"/>
        <v>1847847.500565053</v>
      </c>
      <c r="AB110" s="201">
        <f t="shared" si="15"/>
        <v>2029</v>
      </c>
      <c r="AC110" s="201">
        <f t="shared" si="33"/>
        <v>9</v>
      </c>
    </row>
    <row r="111" spans="10:29" ht="14.4">
      <c r="J111" s="210">
        <v>98</v>
      </c>
      <c r="K111" s="226">
        <f t="shared" si="34"/>
        <v>47361</v>
      </c>
      <c r="L111" s="227">
        <f t="shared" si="16"/>
        <v>3589563.0746478257</v>
      </c>
      <c r="M111" s="227">
        <f t="shared" si="28"/>
        <v>25290.377747270501</v>
      </c>
      <c r="N111" s="227">
        <f t="shared" si="9"/>
        <v>11829.516217341155</v>
      </c>
      <c r="O111" s="227">
        <f t="shared" si="35"/>
        <v>13460.861529929345</v>
      </c>
      <c r="P111" s="227">
        <f t="shared" si="11"/>
        <v>3577733.5584304845</v>
      </c>
      <c r="Q111" s="201">
        <f t="shared" si="12"/>
        <v>2029</v>
      </c>
      <c r="R111" s="201">
        <f t="shared" si="29"/>
        <v>9</v>
      </c>
      <c r="U111" s="210">
        <v>98</v>
      </c>
      <c r="V111" s="226">
        <f t="shared" si="30"/>
        <v>47362</v>
      </c>
      <c r="W111" s="227">
        <f t="shared" si="20"/>
        <v>1847847.500565053</v>
      </c>
      <c r="X111" s="227">
        <f t="shared" si="31"/>
        <v>11618.17718951299</v>
      </c>
      <c r="Y111" s="227">
        <f t="shared" si="13"/>
        <v>6998.5584381003573</v>
      </c>
      <c r="Z111" s="227">
        <f t="shared" si="32"/>
        <v>4619.6187514126323</v>
      </c>
      <c r="AA111" s="227">
        <f t="shared" si="14"/>
        <v>1840848.9421269526</v>
      </c>
      <c r="AB111" s="201">
        <f t="shared" si="15"/>
        <v>2029</v>
      </c>
      <c r="AC111" s="201">
        <f t="shared" si="33"/>
        <v>9</v>
      </c>
    </row>
    <row r="112" spans="10:29" ht="14.4">
      <c r="J112" s="210">
        <v>99</v>
      </c>
      <c r="K112" s="226">
        <f t="shared" si="34"/>
        <v>47391</v>
      </c>
      <c r="L112" s="227">
        <f t="shared" si="16"/>
        <v>3577733.5584304845</v>
      </c>
      <c r="M112" s="227">
        <f t="shared" si="28"/>
        <v>25290.377747270501</v>
      </c>
      <c r="N112" s="227">
        <f t="shared" si="9"/>
        <v>11873.876903156184</v>
      </c>
      <c r="O112" s="227">
        <f t="shared" si="35"/>
        <v>13416.500844114316</v>
      </c>
      <c r="P112" s="227">
        <f t="shared" si="11"/>
        <v>3565859.6815273282</v>
      </c>
      <c r="Q112" s="201">
        <f t="shared" si="12"/>
        <v>2029</v>
      </c>
      <c r="R112" s="201">
        <f t="shared" si="29"/>
        <v>9</v>
      </c>
      <c r="U112" s="210">
        <v>99</v>
      </c>
      <c r="V112" s="226">
        <f t="shared" si="30"/>
        <v>47392</v>
      </c>
      <c r="W112" s="227">
        <f t="shared" si="20"/>
        <v>1840848.9421269526</v>
      </c>
      <c r="X112" s="227">
        <f t="shared" si="31"/>
        <v>11618.17718951299</v>
      </c>
      <c r="Y112" s="227">
        <f t="shared" si="13"/>
        <v>7016.0548341956082</v>
      </c>
      <c r="Z112" s="227">
        <f t="shared" si="32"/>
        <v>4602.1223553173813</v>
      </c>
      <c r="AA112" s="227">
        <f t="shared" si="14"/>
        <v>1833832.8872927569</v>
      </c>
      <c r="AB112" s="201">
        <f t="shared" si="15"/>
        <v>2029</v>
      </c>
      <c r="AC112" s="201">
        <f t="shared" si="33"/>
        <v>9</v>
      </c>
    </row>
    <row r="113" spans="10:29" ht="14.4">
      <c r="J113" s="210">
        <v>100</v>
      </c>
      <c r="K113" s="226">
        <f t="shared" si="34"/>
        <v>47422</v>
      </c>
      <c r="L113" s="227">
        <f t="shared" si="16"/>
        <v>3565859.6815273282</v>
      </c>
      <c r="M113" s="227">
        <f t="shared" si="28"/>
        <v>25290.377747270501</v>
      </c>
      <c r="N113" s="227">
        <f t="shared" si="9"/>
        <v>11918.40394154302</v>
      </c>
      <c r="O113" s="227">
        <f t="shared" si="35"/>
        <v>13371.973805727481</v>
      </c>
      <c r="P113" s="227">
        <f t="shared" si="11"/>
        <v>3553941.2775857854</v>
      </c>
      <c r="Q113" s="201">
        <f t="shared" si="12"/>
        <v>2029</v>
      </c>
      <c r="R113" s="201">
        <f t="shared" si="29"/>
        <v>9</v>
      </c>
      <c r="U113" s="210">
        <v>100</v>
      </c>
      <c r="V113" s="226">
        <f t="shared" si="30"/>
        <v>47423</v>
      </c>
      <c r="W113" s="227">
        <f t="shared" si="20"/>
        <v>1833832.8872927569</v>
      </c>
      <c r="X113" s="227">
        <f t="shared" si="31"/>
        <v>11618.17718951299</v>
      </c>
      <c r="Y113" s="227">
        <f t="shared" si="13"/>
        <v>7033.5949712810971</v>
      </c>
      <c r="Z113" s="227">
        <f t="shared" si="32"/>
        <v>4584.5822182318925</v>
      </c>
      <c r="AA113" s="227">
        <f t="shared" si="14"/>
        <v>1826799.2923214759</v>
      </c>
      <c r="AB113" s="201">
        <f t="shared" si="15"/>
        <v>2029</v>
      </c>
      <c r="AC113" s="201">
        <f t="shared" si="33"/>
        <v>9</v>
      </c>
    </row>
    <row r="114" spans="10:29" ht="14.4">
      <c r="J114" s="210">
        <v>101</v>
      </c>
      <c r="K114" s="226">
        <f t="shared" si="34"/>
        <v>47452</v>
      </c>
      <c r="L114" s="227">
        <f t="shared" si="16"/>
        <v>3553941.2775857854</v>
      </c>
      <c r="M114" s="227">
        <f t="shared" si="28"/>
        <v>25290.377747270501</v>
      </c>
      <c r="N114" s="227">
        <f t="shared" si="9"/>
        <v>11963.097956323805</v>
      </c>
      <c r="O114" s="227">
        <f t="shared" si="35"/>
        <v>13327.279790946695</v>
      </c>
      <c r="P114" s="227">
        <f t="shared" si="11"/>
        <v>3541978.1796294614</v>
      </c>
      <c r="Q114" s="201">
        <f t="shared" si="12"/>
        <v>2029</v>
      </c>
      <c r="R114" s="201">
        <f t="shared" si="29"/>
        <v>9</v>
      </c>
      <c r="U114" s="210">
        <v>101</v>
      </c>
      <c r="V114" s="226">
        <f t="shared" si="30"/>
        <v>47453</v>
      </c>
      <c r="W114" s="227">
        <f t="shared" si="20"/>
        <v>1826799.2923214759</v>
      </c>
      <c r="X114" s="227">
        <f t="shared" si="31"/>
        <v>11618.17718951299</v>
      </c>
      <c r="Y114" s="227">
        <f t="shared" si="13"/>
        <v>7051.1789587092999</v>
      </c>
      <c r="Z114" s="227">
        <f t="shared" si="32"/>
        <v>4566.9982308036897</v>
      </c>
      <c r="AA114" s="227">
        <f t="shared" si="14"/>
        <v>1819748.1133627666</v>
      </c>
      <c r="AB114" s="201">
        <f t="shared" si="15"/>
        <v>2029</v>
      </c>
      <c r="AC114" s="201">
        <f t="shared" si="33"/>
        <v>9</v>
      </c>
    </row>
    <row r="115" spans="10:29" ht="14.4">
      <c r="J115" s="210">
        <v>102</v>
      </c>
      <c r="K115" s="226">
        <f t="shared" si="34"/>
        <v>47483</v>
      </c>
      <c r="L115" s="227">
        <f t="shared" si="16"/>
        <v>3541978.1796294614</v>
      </c>
      <c r="M115" s="227">
        <f t="shared" si="28"/>
        <v>25290.377747270501</v>
      </c>
      <c r="N115" s="227">
        <f t="shared" si="9"/>
        <v>12007.95957366002</v>
      </c>
      <c r="O115" s="227">
        <f t="shared" si="35"/>
        <v>13282.41817361048</v>
      </c>
      <c r="P115" s="227">
        <f t="shared" si="11"/>
        <v>3529970.2200558013</v>
      </c>
      <c r="Q115" s="201">
        <f t="shared" si="12"/>
        <v>2029</v>
      </c>
      <c r="R115" s="201">
        <f t="shared" si="29"/>
        <v>9</v>
      </c>
      <c r="U115" s="210">
        <v>102</v>
      </c>
      <c r="V115" s="226">
        <f t="shared" si="30"/>
        <v>47484</v>
      </c>
      <c r="W115" s="227">
        <f t="shared" si="20"/>
        <v>1819748.1133627666</v>
      </c>
      <c r="X115" s="227">
        <f t="shared" si="31"/>
        <v>11618.17718951299</v>
      </c>
      <c r="Y115" s="227">
        <f t="shared" si="13"/>
        <v>7068.8069061060733</v>
      </c>
      <c r="Z115" s="227">
        <f t="shared" si="32"/>
        <v>4549.3702834069163</v>
      </c>
      <c r="AA115" s="227">
        <f t="shared" si="14"/>
        <v>1812679.3064566604</v>
      </c>
      <c r="AB115" s="201">
        <f t="shared" si="15"/>
        <v>2030</v>
      </c>
      <c r="AC115" s="201">
        <f t="shared" si="33"/>
        <v>9</v>
      </c>
    </row>
    <row r="116" spans="10:29" ht="14.4">
      <c r="J116" s="210">
        <v>103</v>
      </c>
      <c r="K116" s="226">
        <f t="shared" si="34"/>
        <v>47514</v>
      </c>
      <c r="L116" s="227">
        <f t="shared" si="16"/>
        <v>3529970.2200558013</v>
      </c>
      <c r="M116" s="227">
        <f t="shared" si="28"/>
        <v>25290.377747270501</v>
      </c>
      <c r="N116" s="227">
        <f t="shared" si="9"/>
        <v>12052.989422061246</v>
      </c>
      <c r="O116" s="227">
        <f t="shared" si="35"/>
        <v>13237.388325209255</v>
      </c>
      <c r="P116" s="227">
        <f t="shared" si="11"/>
        <v>3517917.2306337403</v>
      </c>
      <c r="Q116" s="201">
        <f t="shared" si="12"/>
        <v>2030</v>
      </c>
      <c r="R116" s="201">
        <f t="shared" si="29"/>
        <v>9</v>
      </c>
      <c r="U116" s="210">
        <v>103</v>
      </c>
      <c r="V116" s="226">
        <f t="shared" si="30"/>
        <v>47515</v>
      </c>
      <c r="W116" s="227">
        <f t="shared" si="20"/>
        <v>1812679.3064566604</v>
      </c>
      <c r="X116" s="227">
        <f t="shared" si="31"/>
        <v>11618.17718951299</v>
      </c>
      <c r="Y116" s="227">
        <f t="shared" si="13"/>
        <v>7086.4789233713382</v>
      </c>
      <c r="Z116" s="227">
        <f t="shared" si="32"/>
        <v>4531.6982661416514</v>
      </c>
      <c r="AA116" s="227">
        <f t="shared" si="14"/>
        <v>1805592.8275332891</v>
      </c>
      <c r="AB116" s="201">
        <f t="shared" si="15"/>
        <v>2030</v>
      </c>
      <c r="AC116" s="201">
        <f t="shared" si="33"/>
        <v>9</v>
      </c>
    </row>
    <row r="117" spans="10:29" ht="14.4">
      <c r="J117" s="210">
        <v>104</v>
      </c>
      <c r="K117" s="226">
        <f t="shared" si="34"/>
        <v>47542</v>
      </c>
      <c r="L117" s="227">
        <f t="shared" si="16"/>
        <v>3517917.2306337403</v>
      </c>
      <c r="M117" s="227">
        <f t="shared" si="28"/>
        <v>25290.377747270501</v>
      </c>
      <c r="N117" s="227">
        <f t="shared" si="9"/>
        <v>12098.188132393974</v>
      </c>
      <c r="O117" s="227">
        <f t="shared" si="35"/>
        <v>13192.189614876526</v>
      </c>
      <c r="P117" s="227">
        <f t="shared" si="11"/>
        <v>3505819.0425013462</v>
      </c>
      <c r="Q117" s="201">
        <f t="shared" si="12"/>
        <v>2030</v>
      </c>
      <c r="R117" s="201">
        <f t="shared" si="29"/>
        <v>9</v>
      </c>
      <c r="U117" s="210">
        <v>104</v>
      </c>
      <c r="V117" s="226">
        <f t="shared" si="30"/>
        <v>47543</v>
      </c>
      <c r="W117" s="227">
        <f t="shared" si="20"/>
        <v>1805592.8275332891</v>
      </c>
      <c r="X117" s="227">
        <f t="shared" si="31"/>
        <v>11618.17718951299</v>
      </c>
      <c r="Y117" s="227">
        <f t="shared" si="13"/>
        <v>7104.1951206797667</v>
      </c>
      <c r="Z117" s="227">
        <f t="shared" si="32"/>
        <v>4513.9820688332229</v>
      </c>
      <c r="AA117" s="227">
        <f t="shared" si="14"/>
        <v>1798488.6324126094</v>
      </c>
      <c r="AB117" s="201">
        <f t="shared" si="15"/>
        <v>2030</v>
      </c>
      <c r="AC117" s="201">
        <f t="shared" si="33"/>
        <v>9</v>
      </c>
    </row>
    <row r="118" spans="10:29" ht="14.4">
      <c r="J118" s="210">
        <v>105</v>
      </c>
      <c r="K118" s="226">
        <f t="shared" si="34"/>
        <v>47573</v>
      </c>
      <c r="L118" s="227">
        <f t="shared" si="16"/>
        <v>3505819.0425013462</v>
      </c>
      <c r="M118" s="227">
        <f t="shared" si="28"/>
        <v>25290.377747270501</v>
      </c>
      <c r="N118" s="227">
        <f t="shared" si="9"/>
        <v>12143.556337890454</v>
      </c>
      <c r="O118" s="227">
        <f t="shared" si="35"/>
        <v>13146.821409380047</v>
      </c>
      <c r="P118" s="227">
        <f t="shared" si="11"/>
        <v>3493675.4861634555</v>
      </c>
      <c r="Q118" s="201">
        <f t="shared" si="12"/>
        <v>2030</v>
      </c>
      <c r="R118" s="201">
        <f t="shared" si="29"/>
        <v>9</v>
      </c>
      <c r="U118" s="210">
        <v>105</v>
      </c>
      <c r="V118" s="226">
        <f t="shared" si="30"/>
        <v>47574</v>
      </c>
      <c r="W118" s="227">
        <f t="shared" si="20"/>
        <v>1798488.6324126094</v>
      </c>
      <c r="X118" s="227">
        <f t="shared" si="31"/>
        <v>11618.17718951299</v>
      </c>
      <c r="Y118" s="227">
        <f t="shared" si="13"/>
        <v>7121.9556084814658</v>
      </c>
      <c r="Z118" s="227">
        <f t="shared" si="32"/>
        <v>4496.2215810315238</v>
      </c>
      <c r="AA118" s="227">
        <f t="shared" si="14"/>
        <v>1791366.6768041279</v>
      </c>
      <c r="AB118" s="201">
        <f t="shared" si="15"/>
        <v>2030</v>
      </c>
      <c r="AC118" s="201">
        <f t="shared" si="33"/>
        <v>9</v>
      </c>
    </row>
    <row r="119" spans="10:29" ht="14.4">
      <c r="J119" s="210">
        <v>106</v>
      </c>
      <c r="K119" s="226">
        <f t="shared" si="34"/>
        <v>47603</v>
      </c>
      <c r="L119" s="227">
        <f t="shared" si="16"/>
        <v>3493675.4861634555</v>
      </c>
      <c r="M119" s="227">
        <f t="shared" si="28"/>
        <v>25290.377747270501</v>
      </c>
      <c r="N119" s="227">
        <f t="shared" si="9"/>
        <v>12189.094674157543</v>
      </c>
      <c r="O119" s="227">
        <f t="shared" si="35"/>
        <v>13101.283073112958</v>
      </c>
      <c r="P119" s="227">
        <f t="shared" si="11"/>
        <v>3481486.3914892981</v>
      </c>
      <c r="Q119" s="201">
        <f t="shared" si="12"/>
        <v>2030</v>
      </c>
      <c r="R119" s="201">
        <f t="shared" si="29"/>
        <v>9</v>
      </c>
      <c r="U119" s="210">
        <v>106</v>
      </c>
      <c r="V119" s="226">
        <f t="shared" si="30"/>
        <v>47604</v>
      </c>
      <c r="W119" s="227">
        <f t="shared" si="20"/>
        <v>1791366.6768041279</v>
      </c>
      <c r="X119" s="227">
        <f t="shared" si="31"/>
        <v>11618.17718951299</v>
      </c>
      <c r="Y119" s="227">
        <f t="shared" si="13"/>
        <v>7139.7604975026698</v>
      </c>
      <c r="Z119" s="227">
        <f t="shared" si="32"/>
        <v>4478.4166920103198</v>
      </c>
      <c r="AA119" s="227">
        <f t="shared" si="14"/>
        <v>1784226.9163066251</v>
      </c>
      <c r="AB119" s="201">
        <f t="shared" si="15"/>
        <v>2030</v>
      </c>
      <c r="AC119" s="201">
        <f t="shared" si="33"/>
        <v>9</v>
      </c>
    </row>
    <row r="120" spans="10:29" ht="14.4">
      <c r="J120" s="210">
        <v>107</v>
      </c>
      <c r="K120" s="226">
        <f t="shared" si="34"/>
        <v>47634</v>
      </c>
      <c r="L120" s="227">
        <f t="shared" si="16"/>
        <v>3481486.3914892981</v>
      </c>
      <c r="M120" s="227">
        <f t="shared" si="28"/>
        <v>25290.377747270501</v>
      </c>
      <c r="N120" s="227">
        <f t="shared" si="9"/>
        <v>12234.803779185633</v>
      </c>
      <c r="O120" s="227">
        <f t="shared" si="35"/>
        <v>13055.573968084867</v>
      </c>
      <c r="P120" s="227">
        <f t="shared" si="11"/>
        <v>3469251.5877101123</v>
      </c>
      <c r="Q120" s="201">
        <f t="shared" si="12"/>
        <v>2030</v>
      </c>
      <c r="R120" s="201">
        <f t="shared" si="29"/>
        <v>9</v>
      </c>
      <c r="U120" s="210">
        <v>107</v>
      </c>
      <c r="V120" s="226">
        <f t="shared" si="30"/>
        <v>47635</v>
      </c>
      <c r="W120" s="227">
        <f t="shared" si="20"/>
        <v>1784226.9163066251</v>
      </c>
      <c r="X120" s="227">
        <f t="shared" si="31"/>
        <v>11618.17718951299</v>
      </c>
      <c r="Y120" s="227">
        <f t="shared" si="13"/>
        <v>7157.6098987464266</v>
      </c>
      <c r="Z120" s="227">
        <f t="shared" si="32"/>
        <v>4460.567290766563</v>
      </c>
      <c r="AA120" s="227">
        <f t="shared" si="14"/>
        <v>1777069.3064078786</v>
      </c>
      <c r="AB120" s="201">
        <f t="shared" si="15"/>
        <v>2030</v>
      </c>
      <c r="AC120" s="201">
        <f t="shared" si="33"/>
        <v>9</v>
      </c>
    </row>
    <row r="121" spans="10:29" ht="14.4">
      <c r="J121" s="210">
        <v>108</v>
      </c>
      <c r="K121" s="226">
        <f t="shared" si="34"/>
        <v>47664</v>
      </c>
      <c r="L121" s="227">
        <f t="shared" si="16"/>
        <v>3469251.5877101123</v>
      </c>
      <c r="M121" s="227">
        <f t="shared" si="28"/>
        <v>25290.377747270501</v>
      </c>
      <c r="N121" s="227">
        <f t="shared" si="9"/>
        <v>12280.684293357579</v>
      </c>
      <c r="O121" s="227">
        <f t="shared" si="35"/>
        <v>13009.693453912922</v>
      </c>
      <c r="P121" s="227">
        <f t="shared" si="11"/>
        <v>3456970.9034167547</v>
      </c>
      <c r="Q121" s="201">
        <f t="shared" si="12"/>
        <v>2030</v>
      </c>
      <c r="R121" s="201">
        <f t="shared" si="29"/>
        <v>9</v>
      </c>
      <c r="U121" s="210">
        <v>108</v>
      </c>
      <c r="V121" s="226">
        <f t="shared" si="30"/>
        <v>47665</v>
      </c>
      <c r="W121" s="227">
        <f t="shared" si="20"/>
        <v>1777069.3064078786</v>
      </c>
      <c r="X121" s="227">
        <f t="shared" si="31"/>
        <v>11618.17718951299</v>
      </c>
      <c r="Y121" s="227">
        <f t="shared" si="13"/>
        <v>7175.5039234932929</v>
      </c>
      <c r="Z121" s="227">
        <f t="shared" si="32"/>
        <v>4442.6732660196967</v>
      </c>
      <c r="AA121" s="227">
        <f t="shared" si="14"/>
        <v>1769893.8024843854</v>
      </c>
      <c r="AB121" s="201">
        <f t="shared" si="15"/>
        <v>2030</v>
      </c>
      <c r="AC121" s="201">
        <f t="shared" si="33"/>
        <v>9</v>
      </c>
    </row>
    <row r="122" spans="10:29" ht="14.4">
      <c r="J122" s="210">
        <v>109</v>
      </c>
      <c r="K122" s="226">
        <f t="shared" si="34"/>
        <v>47695</v>
      </c>
      <c r="L122" s="227">
        <f t="shared" si="16"/>
        <v>3456970.9034167547</v>
      </c>
      <c r="M122" s="227">
        <f t="shared" si="28"/>
        <v>25290.377747270501</v>
      </c>
      <c r="N122" s="227">
        <f t="shared" si="9"/>
        <v>12326.736859457671</v>
      </c>
      <c r="O122" s="227">
        <f t="shared" si="35"/>
        <v>12963.64088781283</v>
      </c>
      <c r="P122" s="227">
        <f t="shared" si="11"/>
        <v>3444644.1665572971</v>
      </c>
      <c r="Q122" s="201">
        <f t="shared" si="12"/>
        <v>2030</v>
      </c>
      <c r="R122" s="201">
        <f t="shared" si="29"/>
        <v>10</v>
      </c>
      <c r="U122" s="210">
        <v>109</v>
      </c>
      <c r="V122" s="226">
        <f t="shared" si="30"/>
        <v>47696</v>
      </c>
      <c r="W122" s="227">
        <f t="shared" si="20"/>
        <v>1769893.8024843854</v>
      </c>
      <c r="X122" s="227">
        <f t="shared" si="31"/>
        <v>11618.17718951299</v>
      </c>
      <c r="Y122" s="227">
        <f t="shared" si="13"/>
        <v>7193.4426833020261</v>
      </c>
      <c r="Z122" s="227">
        <f t="shared" si="32"/>
        <v>4424.7345062109634</v>
      </c>
      <c r="AA122" s="227">
        <f t="shared" si="14"/>
        <v>1762700.3598010833</v>
      </c>
      <c r="AB122" s="201">
        <f t="shared" si="15"/>
        <v>2030</v>
      </c>
      <c r="AC122" s="201">
        <f t="shared" si="33"/>
        <v>10</v>
      </c>
    </row>
    <row r="123" spans="10:29" ht="14.4">
      <c r="J123" s="210">
        <v>110</v>
      </c>
      <c r="K123" s="226">
        <f t="shared" si="34"/>
        <v>47726</v>
      </c>
      <c r="L123" s="227">
        <f t="shared" si="16"/>
        <v>3444644.1665572971</v>
      </c>
      <c r="M123" s="227">
        <f t="shared" si="28"/>
        <v>25290.377747270501</v>
      </c>
      <c r="N123" s="227">
        <f t="shared" si="9"/>
        <v>12372.962122680638</v>
      </c>
      <c r="O123" s="227">
        <f t="shared" si="35"/>
        <v>12917.415624589863</v>
      </c>
      <c r="P123" s="227">
        <f t="shared" si="11"/>
        <v>3432271.2044346165</v>
      </c>
      <c r="Q123" s="201">
        <f t="shared" si="12"/>
        <v>2030</v>
      </c>
      <c r="R123" s="201">
        <f t="shared" si="29"/>
        <v>10</v>
      </c>
      <c r="U123" s="210">
        <v>110</v>
      </c>
      <c r="V123" s="226">
        <f t="shared" si="30"/>
        <v>47727</v>
      </c>
      <c r="W123" s="227">
        <f t="shared" si="20"/>
        <v>1762700.3598010833</v>
      </c>
      <c r="X123" s="227">
        <f t="shared" si="31"/>
        <v>11618.17718951299</v>
      </c>
      <c r="Y123" s="227">
        <f t="shared" si="13"/>
        <v>7211.4262900102813</v>
      </c>
      <c r="Z123" s="227">
        <f t="shared" si="32"/>
        <v>4406.7508995027083</v>
      </c>
      <c r="AA123" s="227">
        <f t="shared" si="14"/>
        <v>1755488.933511073</v>
      </c>
      <c r="AB123" s="201">
        <f t="shared" si="15"/>
        <v>2030</v>
      </c>
      <c r="AC123" s="201">
        <f t="shared" si="33"/>
        <v>10</v>
      </c>
    </row>
    <row r="124" spans="10:29" ht="14.4">
      <c r="J124" s="210">
        <v>111</v>
      </c>
      <c r="K124" s="226">
        <f t="shared" si="34"/>
        <v>47756</v>
      </c>
      <c r="L124" s="227">
        <f t="shared" si="16"/>
        <v>3432271.2044346165</v>
      </c>
      <c r="M124" s="227">
        <f t="shared" si="28"/>
        <v>25290.377747270501</v>
      </c>
      <c r="N124" s="227">
        <f t="shared" si="9"/>
        <v>12419.360730640688</v>
      </c>
      <c r="O124" s="227">
        <f t="shared" si="35"/>
        <v>12871.017016629812</v>
      </c>
      <c r="P124" s="227">
        <f t="shared" si="11"/>
        <v>3419851.8437039759</v>
      </c>
      <c r="Q124" s="201">
        <f t="shared" si="12"/>
        <v>2030</v>
      </c>
      <c r="R124" s="201">
        <f t="shared" si="29"/>
        <v>10</v>
      </c>
      <c r="U124" s="210">
        <v>111</v>
      </c>
      <c r="V124" s="226">
        <f t="shared" si="30"/>
        <v>47757</v>
      </c>
      <c r="W124" s="227">
        <f t="shared" si="20"/>
        <v>1755488.933511073</v>
      </c>
      <c r="X124" s="227">
        <f t="shared" si="31"/>
        <v>11618.17718951299</v>
      </c>
      <c r="Y124" s="227">
        <f t="shared" si="13"/>
        <v>7229.4548557353073</v>
      </c>
      <c r="Z124" s="227">
        <f t="shared" si="32"/>
        <v>4388.7223337776823</v>
      </c>
      <c r="AA124" s="227">
        <f t="shared" si="14"/>
        <v>1748259.4786553376</v>
      </c>
      <c r="AB124" s="201">
        <f t="shared" si="15"/>
        <v>2030</v>
      </c>
      <c r="AC124" s="201">
        <f t="shared" si="33"/>
        <v>10</v>
      </c>
    </row>
    <row r="125" spans="10:29" ht="14.4">
      <c r="J125" s="210">
        <v>112</v>
      </c>
      <c r="K125" s="226">
        <f t="shared" si="34"/>
        <v>47787</v>
      </c>
      <c r="L125" s="227">
        <f t="shared" si="16"/>
        <v>3419851.8437039759</v>
      </c>
      <c r="M125" s="227">
        <f t="shared" si="28"/>
        <v>25290.377747270501</v>
      </c>
      <c r="N125" s="227">
        <f t="shared" si="9"/>
        <v>12465.933333380592</v>
      </c>
      <c r="O125" s="227">
        <f t="shared" si="35"/>
        <v>12824.444413889909</v>
      </c>
      <c r="P125" s="227">
        <f t="shared" si="11"/>
        <v>3407385.9103705953</v>
      </c>
      <c r="Q125" s="201">
        <f t="shared" si="12"/>
        <v>2030</v>
      </c>
      <c r="R125" s="201">
        <f t="shared" si="29"/>
        <v>10</v>
      </c>
      <c r="U125" s="210">
        <v>112</v>
      </c>
      <c r="V125" s="226">
        <f t="shared" si="30"/>
        <v>47788</v>
      </c>
      <c r="W125" s="227">
        <f t="shared" si="20"/>
        <v>1748259.4786553376</v>
      </c>
      <c r="X125" s="227">
        <f t="shared" si="31"/>
        <v>11618.17718951299</v>
      </c>
      <c r="Y125" s="227">
        <f t="shared" si="13"/>
        <v>7247.528492874646</v>
      </c>
      <c r="Z125" s="227">
        <f t="shared" si="32"/>
        <v>4370.6486966383436</v>
      </c>
      <c r="AA125" s="227">
        <f t="shared" si="14"/>
        <v>1741011.9501624629</v>
      </c>
      <c r="AB125" s="201">
        <f t="shared" si="15"/>
        <v>2030</v>
      </c>
      <c r="AC125" s="201">
        <f t="shared" si="33"/>
        <v>10</v>
      </c>
    </row>
    <row r="126" spans="10:29" ht="14.4">
      <c r="J126" s="210">
        <v>113</v>
      </c>
      <c r="K126" s="226">
        <f t="shared" si="34"/>
        <v>47817</v>
      </c>
      <c r="L126" s="227">
        <f t="shared" si="16"/>
        <v>3407385.9103705953</v>
      </c>
      <c r="M126" s="227">
        <f t="shared" si="28"/>
        <v>25290.377747270501</v>
      </c>
      <c r="N126" s="227">
        <f t="shared" si="9"/>
        <v>12512.680583380768</v>
      </c>
      <c r="O126" s="227">
        <f t="shared" si="35"/>
        <v>12777.697163889732</v>
      </c>
      <c r="P126" s="227">
        <f t="shared" si="11"/>
        <v>3394873.2297872147</v>
      </c>
      <c r="Q126" s="201">
        <f t="shared" si="12"/>
        <v>2030</v>
      </c>
      <c r="R126" s="201">
        <f t="shared" si="29"/>
        <v>10</v>
      </c>
      <c r="U126" s="210">
        <v>113</v>
      </c>
      <c r="V126" s="226">
        <f t="shared" si="30"/>
        <v>47818</v>
      </c>
      <c r="W126" s="227">
        <f t="shared" si="20"/>
        <v>1741011.9501624629</v>
      </c>
      <c r="X126" s="227">
        <f t="shared" si="31"/>
        <v>11618.17718951299</v>
      </c>
      <c r="Y126" s="227">
        <f t="shared" si="13"/>
        <v>7265.6473141068327</v>
      </c>
      <c r="Z126" s="227">
        <f t="shared" si="32"/>
        <v>4352.5298754061569</v>
      </c>
      <c r="AA126" s="227">
        <f t="shared" si="14"/>
        <v>1733746.3028483561</v>
      </c>
      <c r="AB126" s="201">
        <f t="shared" si="15"/>
        <v>2030</v>
      </c>
      <c r="AC126" s="201">
        <f t="shared" si="33"/>
        <v>10</v>
      </c>
    </row>
    <row r="127" spans="10:29" ht="14.4">
      <c r="J127" s="210">
        <v>114</v>
      </c>
      <c r="K127" s="226">
        <f t="shared" si="34"/>
        <v>47848</v>
      </c>
      <c r="L127" s="227">
        <f t="shared" si="16"/>
        <v>3394873.2297872147</v>
      </c>
      <c r="M127" s="227">
        <f t="shared" si="28"/>
        <v>25290.377747270501</v>
      </c>
      <c r="N127" s="227">
        <f t="shared" si="9"/>
        <v>12559.603135568446</v>
      </c>
      <c r="O127" s="227">
        <f t="shared" si="35"/>
        <v>12730.774611702054</v>
      </c>
      <c r="P127" s="227">
        <f t="shared" si="11"/>
        <v>3382313.6266516461</v>
      </c>
      <c r="Q127" s="201">
        <f t="shared" si="12"/>
        <v>2030</v>
      </c>
      <c r="R127" s="201">
        <f t="shared" si="29"/>
        <v>10</v>
      </c>
      <c r="U127" s="210">
        <v>114</v>
      </c>
      <c r="V127" s="226">
        <f t="shared" si="30"/>
        <v>47849</v>
      </c>
      <c r="W127" s="227">
        <f t="shared" si="20"/>
        <v>1733746.3028483561</v>
      </c>
      <c r="X127" s="227">
        <f t="shared" si="31"/>
        <v>11618.17718951299</v>
      </c>
      <c r="Y127" s="227">
        <f t="shared" si="13"/>
        <v>7283.8114323920991</v>
      </c>
      <c r="Z127" s="227">
        <f t="shared" si="32"/>
        <v>4334.3657571208905</v>
      </c>
      <c r="AA127" s="227">
        <f t="shared" si="14"/>
        <v>1726462.491415964</v>
      </c>
      <c r="AB127" s="201">
        <f t="shared" si="15"/>
        <v>2031</v>
      </c>
      <c r="AC127" s="201">
        <f t="shared" si="33"/>
        <v>10</v>
      </c>
    </row>
    <row r="128" spans="10:29" ht="14.4">
      <c r="J128" s="210">
        <v>115</v>
      </c>
      <c r="K128" s="226">
        <f t="shared" si="34"/>
        <v>47879</v>
      </c>
      <c r="L128" s="227">
        <f t="shared" si="16"/>
        <v>3382313.6266516461</v>
      </c>
      <c r="M128" s="227">
        <f t="shared" si="28"/>
        <v>25290.377747270501</v>
      </c>
      <c r="N128" s="227">
        <f t="shared" si="9"/>
        <v>12606.701647326829</v>
      </c>
      <c r="O128" s="227">
        <f t="shared" si="35"/>
        <v>12683.676099943672</v>
      </c>
      <c r="P128" s="227">
        <f t="shared" si="11"/>
        <v>3369706.9250043193</v>
      </c>
      <c r="Q128" s="201">
        <f t="shared" si="12"/>
        <v>2031</v>
      </c>
      <c r="R128" s="201">
        <f t="shared" si="29"/>
        <v>10</v>
      </c>
      <c r="U128" s="210">
        <v>115</v>
      </c>
      <c r="V128" s="226">
        <f t="shared" si="30"/>
        <v>47880</v>
      </c>
      <c r="W128" s="227">
        <f t="shared" si="20"/>
        <v>1726462.491415964</v>
      </c>
      <c r="X128" s="227">
        <f t="shared" si="31"/>
        <v>11618.17718951299</v>
      </c>
      <c r="Y128" s="227">
        <f t="shared" si="13"/>
        <v>7302.0209609730791</v>
      </c>
      <c r="Z128" s="227">
        <f t="shared" si="32"/>
        <v>4316.1562285399104</v>
      </c>
      <c r="AA128" s="227">
        <f t="shared" si="14"/>
        <v>1719160.4704549909</v>
      </c>
      <c r="AB128" s="201">
        <f t="shared" si="15"/>
        <v>2031</v>
      </c>
      <c r="AC128" s="201">
        <f t="shared" si="33"/>
        <v>10</v>
      </c>
    </row>
    <row r="129" spans="10:29" ht="14.4">
      <c r="J129" s="210">
        <v>116</v>
      </c>
      <c r="K129" s="226">
        <f t="shared" si="34"/>
        <v>47907</v>
      </c>
      <c r="L129" s="227">
        <f t="shared" si="16"/>
        <v>3369706.9250043193</v>
      </c>
      <c r="M129" s="227">
        <f t="shared" si="28"/>
        <v>25290.377747270501</v>
      </c>
      <c r="N129" s="227">
        <f t="shared" si="9"/>
        <v>12653.976778504304</v>
      </c>
      <c r="O129" s="227">
        <f t="shared" si="35"/>
        <v>12636.400968766196</v>
      </c>
      <c r="P129" s="227">
        <f t="shared" si="11"/>
        <v>3357052.9482258148</v>
      </c>
      <c r="Q129" s="201">
        <f t="shared" si="12"/>
        <v>2031</v>
      </c>
      <c r="R129" s="201">
        <f t="shared" si="29"/>
        <v>10</v>
      </c>
      <c r="U129" s="210">
        <v>116</v>
      </c>
      <c r="V129" s="226">
        <f t="shared" si="30"/>
        <v>47908</v>
      </c>
      <c r="W129" s="227">
        <f t="shared" si="20"/>
        <v>1719160.4704549909</v>
      </c>
      <c r="X129" s="227">
        <f t="shared" si="31"/>
        <v>11618.17718951299</v>
      </c>
      <c r="Y129" s="227">
        <f t="shared" si="13"/>
        <v>7320.2760133755128</v>
      </c>
      <c r="Z129" s="227">
        <f t="shared" si="32"/>
        <v>4297.9011761374768</v>
      </c>
      <c r="AA129" s="227">
        <f t="shared" si="14"/>
        <v>1711840.1944416154</v>
      </c>
      <c r="AB129" s="201">
        <f t="shared" si="15"/>
        <v>2031</v>
      </c>
      <c r="AC129" s="201">
        <f t="shared" si="33"/>
        <v>10</v>
      </c>
    </row>
    <row r="130" spans="10:29" ht="14.4">
      <c r="J130" s="210">
        <v>117</v>
      </c>
      <c r="K130" s="226">
        <f t="shared" si="34"/>
        <v>47938</v>
      </c>
      <c r="L130" s="227">
        <f t="shared" si="16"/>
        <v>3357052.9482258148</v>
      </c>
      <c r="M130" s="227">
        <f t="shared" si="28"/>
        <v>25290.377747270501</v>
      </c>
      <c r="N130" s="227">
        <f t="shared" si="9"/>
        <v>12701.429191423695</v>
      </c>
      <c r="O130" s="227">
        <f t="shared" si="35"/>
        <v>12588.948555846806</v>
      </c>
      <c r="P130" s="227">
        <f t="shared" si="11"/>
        <v>3344351.5190343913</v>
      </c>
      <c r="Q130" s="201">
        <f t="shared" si="12"/>
        <v>2031</v>
      </c>
      <c r="R130" s="201">
        <f t="shared" si="29"/>
        <v>10</v>
      </c>
      <c r="U130" s="210">
        <v>117</v>
      </c>
      <c r="V130" s="226">
        <f t="shared" si="30"/>
        <v>47939</v>
      </c>
      <c r="W130" s="227">
        <f t="shared" si="20"/>
        <v>1711840.1944416154</v>
      </c>
      <c r="X130" s="227">
        <f t="shared" si="31"/>
        <v>11618.17718951299</v>
      </c>
      <c r="Y130" s="227">
        <f t="shared" si="13"/>
        <v>7338.5767034089513</v>
      </c>
      <c r="Z130" s="227">
        <f t="shared" si="32"/>
        <v>4279.6004861040383</v>
      </c>
      <c r="AA130" s="227">
        <f t="shared" si="14"/>
        <v>1704501.6177382064</v>
      </c>
      <c r="AB130" s="201">
        <f t="shared" si="15"/>
        <v>2031</v>
      </c>
      <c r="AC130" s="201">
        <f t="shared" si="33"/>
        <v>10</v>
      </c>
    </row>
    <row r="131" spans="10:29" ht="14.4">
      <c r="J131" s="210">
        <v>118</v>
      </c>
      <c r="K131" s="226">
        <f t="shared" si="34"/>
        <v>47968</v>
      </c>
      <c r="L131" s="227">
        <f t="shared" si="16"/>
        <v>3344351.5190343913</v>
      </c>
      <c r="M131" s="227">
        <f t="shared" si="28"/>
        <v>25290.377747270501</v>
      </c>
      <c r="N131" s="227">
        <f t="shared" si="9"/>
        <v>12749.059550891534</v>
      </c>
      <c r="O131" s="227">
        <f t="shared" si="35"/>
        <v>12541.318196378967</v>
      </c>
      <c r="P131" s="227">
        <f t="shared" si="11"/>
        <v>3331602.4594834996</v>
      </c>
      <c r="Q131" s="201">
        <f t="shared" si="12"/>
        <v>2031</v>
      </c>
      <c r="R131" s="201">
        <f t="shared" si="29"/>
        <v>10</v>
      </c>
      <c r="U131" s="210">
        <v>118</v>
      </c>
      <c r="V131" s="226">
        <f t="shared" si="30"/>
        <v>47969</v>
      </c>
      <c r="W131" s="227">
        <f t="shared" si="20"/>
        <v>1704501.6177382064</v>
      </c>
      <c r="X131" s="227">
        <f t="shared" si="31"/>
        <v>11618.17718951299</v>
      </c>
      <c r="Y131" s="227">
        <f t="shared" si="13"/>
        <v>7356.9231451674732</v>
      </c>
      <c r="Z131" s="227">
        <f t="shared" si="32"/>
        <v>4261.2540443455164</v>
      </c>
      <c r="AA131" s="227">
        <f t="shared" si="14"/>
        <v>1697144.6945930389</v>
      </c>
      <c r="AB131" s="201">
        <f t="shared" si="15"/>
        <v>2031</v>
      </c>
      <c r="AC131" s="201">
        <f t="shared" si="33"/>
        <v>10</v>
      </c>
    </row>
    <row r="132" spans="10:29" ht="14.4">
      <c r="J132" s="210">
        <v>119</v>
      </c>
      <c r="K132" s="226">
        <f t="shared" si="34"/>
        <v>47999</v>
      </c>
      <c r="L132" s="227">
        <f t="shared" si="16"/>
        <v>3331602.4594834996</v>
      </c>
      <c r="M132" s="227">
        <f t="shared" si="28"/>
        <v>25290.377747270501</v>
      </c>
      <c r="N132" s="227">
        <f t="shared" si="9"/>
        <v>12796.868524207377</v>
      </c>
      <c r="O132" s="227">
        <f t="shared" si="35"/>
        <v>12493.509223063123</v>
      </c>
      <c r="P132" s="227">
        <f t="shared" si="11"/>
        <v>3318805.5909592924</v>
      </c>
      <c r="Q132" s="201">
        <f t="shared" si="12"/>
        <v>2031</v>
      </c>
      <c r="R132" s="201">
        <f t="shared" si="29"/>
        <v>10</v>
      </c>
      <c r="U132" s="210">
        <v>119</v>
      </c>
      <c r="V132" s="226">
        <f t="shared" si="30"/>
        <v>48000</v>
      </c>
      <c r="W132" s="227">
        <f t="shared" si="20"/>
        <v>1697144.6945930389</v>
      </c>
      <c r="X132" s="227">
        <f t="shared" si="31"/>
        <v>11618.17718951299</v>
      </c>
      <c r="Y132" s="227">
        <f t="shared" si="13"/>
        <v>7375.3154530303927</v>
      </c>
      <c r="Z132" s="227">
        <f t="shared" si="32"/>
        <v>4242.8617364825968</v>
      </c>
      <c r="AA132" s="227">
        <f t="shared" si="14"/>
        <v>1689769.3791400085</v>
      </c>
      <c r="AB132" s="201">
        <f t="shared" si="15"/>
        <v>2031</v>
      </c>
      <c r="AC132" s="201">
        <f t="shared" si="33"/>
        <v>10</v>
      </c>
    </row>
    <row r="133" spans="10:29" ht="14.4">
      <c r="J133" s="210">
        <v>120</v>
      </c>
      <c r="K133" s="226">
        <f t="shared" si="34"/>
        <v>48029</v>
      </c>
      <c r="L133" s="227">
        <f t="shared" si="16"/>
        <v>3318805.5909592924</v>
      </c>
      <c r="M133" s="227">
        <f t="shared" si="28"/>
        <v>25290.377747270501</v>
      </c>
      <c r="N133" s="227">
        <f t="shared" si="9"/>
        <v>12844.856781173155</v>
      </c>
      <c r="O133" s="227">
        <f t="shared" si="35"/>
        <v>12445.520966097345</v>
      </c>
      <c r="P133" s="227">
        <f t="shared" si="11"/>
        <v>3305960.7341781193</v>
      </c>
      <c r="Q133" s="201">
        <f t="shared" si="12"/>
        <v>2031</v>
      </c>
      <c r="R133" s="201">
        <f t="shared" si="29"/>
        <v>10</v>
      </c>
      <c r="U133" s="210">
        <v>120</v>
      </c>
      <c r="V133" s="226">
        <f t="shared" si="30"/>
        <v>48030</v>
      </c>
      <c r="W133" s="227">
        <f t="shared" si="20"/>
        <v>1689769.3791400085</v>
      </c>
      <c r="X133" s="227">
        <f t="shared" si="31"/>
        <v>11618.17718951299</v>
      </c>
      <c r="Y133" s="227">
        <f t="shared" si="13"/>
        <v>7393.7537416629684</v>
      </c>
      <c r="Z133" s="227">
        <f t="shared" si="32"/>
        <v>4224.4234478500211</v>
      </c>
      <c r="AA133" s="227">
        <f t="shared" si="14"/>
        <v>1682375.6253983455</v>
      </c>
      <c r="AB133" s="201">
        <f t="shared" si="15"/>
        <v>2031</v>
      </c>
      <c r="AC133" s="201">
        <f t="shared" si="33"/>
        <v>10</v>
      </c>
    </row>
    <row r="134" spans="10:29" ht="14.4">
      <c r="J134" s="210">
        <v>121</v>
      </c>
      <c r="K134" s="226">
        <f t="shared" si="34"/>
        <v>48060</v>
      </c>
      <c r="L134" s="227">
        <f t="shared" si="16"/>
        <v>3305960.7341781193</v>
      </c>
      <c r="M134" s="227">
        <f t="shared" si="28"/>
        <v>25290.377747270501</v>
      </c>
      <c r="N134" s="227">
        <f t="shared" si="9"/>
        <v>12893.024994102554</v>
      </c>
      <c r="O134" s="227">
        <f t="shared" si="35"/>
        <v>12397.352753167947</v>
      </c>
      <c r="P134" s="227">
        <f t="shared" si="11"/>
        <v>3293067.7091840166</v>
      </c>
      <c r="Q134" s="201">
        <f t="shared" si="12"/>
        <v>2031</v>
      </c>
      <c r="R134" s="201">
        <f t="shared" si="29"/>
        <v>11</v>
      </c>
      <c r="U134" s="210">
        <v>121</v>
      </c>
      <c r="V134" s="226">
        <f t="shared" si="30"/>
        <v>48061</v>
      </c>
      <c r="W134" s="227">
        <f t="shared" si="20"/>
        <v>1682375.6253983455</v>
      </c>
      <c r="X134" s="227">
        <f t="shared" si="31"/>
        <v>11618.17718951299</v>
      </c>
      <c r="Y134" s="227">
        <f t="shared" si="13"/>
        <v>7412.238126017126</v>
      </c>
      <c r="Z134" s="227">
        <f t="shared" si="32"/>
        <v>4205.9390634958636</v>
      </c>
      <c r="AA134" s="227">
        <f t="shared" si="14"/>
        <v>1674963.3872723284</v>
      </c>
      <c r="AB134" s="201">
        <f t="shared" si="15"/>
        <v>2031</v>
      </c>
      <c r="AC134" s="201">
        <f t="shared" si="33"/>
        <v>11</v>
      </c>
    </row>
    <row r="135" spans="10:29" ht="14.4">
      <c r="J135" s="210">
        <v>122</v>
      </c>
      <c r="K135" s="226">
        <f t="shared" si="34"/>
        <v>48091</v>
      </c>
      <c r="L135" s="227">
        <f t="shared" si="16"/>
        <v>3293067.7091840166</v>
      </c>
      <c r="M135" s="227">
        <f t="shared" si="28"/>
        <v>25290.377747270501</v>
      </c>
      <c r="N135" s="227">
        <f t="shared" si="9"/>
        <v>12941.373837830439</v>
      </c>
      <c r="O135" s="227">
        <f t="shared" si="35"/>
        <v>12349.003909440062</v>
      </c>
      <c r="P135" s="227">
        <f t="shared" si="11"/>
        <v>3280126.3353461861</v>
      </c>
      <c r="Q135" s="201">
        <f t="shared" si="12"/>
        <v>2031</v>
      </c>
      <c r="R135" s="201">
        <f t="shared" si="29"/>
        <v>11</v>
      </c>
      <c r="U135" s="210">
        <v>122</v>
      </c>
      <c r="V135" s="226">
        <f t="shared" si="30"/>
        <v>48092</v>
      </c>
      <c r="W135" s="227">
        <f t="shared" si="20"/>
        <v>1674963.3872723284</v>
      </c>
      <c r="X135" s="227">
        <f t="shared" si="31"/>
        <v>11618.17718951299</v>
      </c>
      <c r="Y135" s="227">
        <f t="shared" si="13"/>
        <v>7430.7687213321688</v>
      </c>
      <c r="Z135" s="227">
        <f t="shared" si="32"/>
        <v>4187.4084681808208</v>
      </c>
      <c r="AA135" s="227">
        <f t="shared" si="14"/>
        <v>1667532.6185509963</v>
      </c>
      <c r="AB135" s="201">
        <f t="shared" si="15"/>
        <v>2031</v>
      </c>
      <c r="AC135" s="201">
        <f t="shared" si="33"/>
        <v>11</v>
      </c>
    </row>
    <row r="136" spans="10:29" ht="14.4">
      <c r="J136" s="210">
        <v>123</v>
      </c>
      <c r="K136" s="226">
        <f t="shared" si="34"/>
        <v>48121</v>
      </c>
      <c r="L136" s="227">
        <f t="shared" si="16"/>
        <v>3280126.3353461861</v>
      </c>
      <c r="M136" s="227">
        <f t="shared" si="28"/>
        <v>25290.377747270501</v>
      </c>
      <c r="N136" s="227">
        <f t="shared" si="9"/>
        <v>12989.903989722303</v>
      </c>
      <c r="O136" s="227">
        <f t="shared" si="35"/>
        <v>12300.473757548198</v>
      </c>
      <c r="P136" s="227">
        <f t="shared" si="11"/>
        <v>3267136.4313564636</v>
      </c>
      <c r="Q136" s="201">
        <f t="shared" si="12"/>
        <v>2031</v>
      </c>
      <c r="R136" s="201">
        <f t="shared" si="29"/>
        <v>11</v>
      </c>
      <c r="U136" s="210">
        <v>123</v>
      </c>
      <c r="V136" s="226">
        <f t="shared" si="30"/>
        <v>48122</v>
      </c>
      <c r="W136" s="227">
        <f t="shared" si="20"/>
        <v>1667532.6185509963</v>
      </c>
      <c r="X136" s="227">
        <f t="shared" si="31"/>
        <v>11618.17718951299</v>
      </c>
      <c r="Y136" s="227">
        <f t="shared" si="13"/>
        <v>7449.3456431354989</v>
      </c>
      <c r="Z136" s="227">
        <f t="shared" si="32"/>
        <v>4168.8315463774907</v>
      </c>
      <c r="AA136" s="227">
        <f t="shared" si="14"/>
        <v>1660083.2729078608</v>
      </c>
      <c r="AB136" s="201">
        <f t="shared" si="15"/>
        <v>2031</v>
      </c>
      <c r="AC136" s="201">
        <f t="shared" si="33"/>
        <v>11</v>
      </c>
    </row>
    <row r="137" spans="10:29" ht="14.4">
      <c r="J137" s="210">
        <v>124</v>
      </c>
      <c r="K137" s="226">
        <f t="shared" si="34"/>
        <v>48152</v>
      </c>
      <c r="L137" s="227">
        <f t="shared" si="16"/>
        <v>3267136.4313564636</v>
      </c>
      <c r="M137" s="227">
        <f t="shared" si="28"/>
        <v>25290.377747270501</v>
      </c>
      <c r="N137" s="227">
        <f t="shared" si="9"/>
        <v>13038.616129683762</v>
      </c>
      <c r="O137" s="227">
        <f t="shared" si="35"/>
        <v>12251.761617586739</v>
      </c>
      <c r="P137" s="227">
        <f t="shared" si="11"/>
        <v>3254097.8152267798</v>
      </c>
      <c r="Q137" s="201">
        <f t="shared" si="12"/>
        <v>2031</v>
      </c>
      <c r="R137" s="201">
        <f t="shared" si="29"/>
        <v>11</v>
      </c>
      <c r="U137" s="210">
        <v>124</v>
      </c>
      <c r="V137" s="226">
        <f t="shared" si="30"/>
        <v>48153</v>
      </c>
      <c r="W137" s="227">
        <f t="shared" si="20"/>
        <v>1660083.2729078608</v>
      </c>
      <c r="X137" s="227">
        <f t="shared" si="31"/>
        <v>11618.17718951299</v>
      </c>
      <c r="Y137" s="227">
        <f t="shared" si="13"/>
        <v>7467.9690072433377</v>
      </c>
      <c r="Z137" s="227">
        <f t="shared" si="32"/>
        <v>4150.2081822696518</v>
      </c>
      <c r="AA137" s="227">
        <f t="shared" si="14"/>
        <v>1652615.3039006174</v>
      </c>
      <c r="AB137" s="201">
        <f t="shared" si="15"/>
        <v>2031</v>
      </c>
      <c r="AC137" s="201">
        <f t="shared" si="33"/>
        <v>11</v>
      </c>
    </row>
    <row r="138" spans="10:29" ht="14.4">
      <c r="J138" s="210">
        <v>125</v>
      </c>
      <c r="K138" s="226">
        <f t="shared" si="34"/>
        <v>48182</v>
      </c>
      <c r="L138" s="227">
        <f t="shared" si="16"/>
        <v>3254097.8152267798</v>
      </c>
      <c r="M138" s="227">
        <f t="shared" si="28"/>
        <v>25290.377747270501</v>
      </c>
      <c r="N138" s="227">
        <f t="shared" si="9"/>
        <v>13087.510940170077</v>
      </c>
      <c r="O138" s="227">
        <f t="shared" si="35"/>
        <v>12202.866807100423</v>
      </c>
      <c r="P138" s="227">
        <f t="shared" si="11"/>
        <v>3241010.3042866099</v>
      </c>
      <c r="Q138" s="201">
        <f t="shared" si="12"/>
        <v>2031</v>
      </c>
      <c r="R138" s="201">
        <f t="shared" si="29"/>
        <v>11</v>
      </c>
      <c r="U138" s="210">
        <v>125</v>
      </c>
      <c r="V138" s="226">
        <f t="shared" si="30"/>
        <v>48183</v>
      </c>
      <c r="W138" s="227">
        <f t="shared" si="20"/>
        <v>1652615.3039006174</v>
      </c>
      <c r="X138" s="227">
        <f t="shared" si="31"/>
        <v>11618.17718951299</v>
      </c>
      <c r="Y138" s="227">
        <f t="shared" si="13"/>
        <v>7486.638929761446</v>
      </c>
      <c r="Z138" s="227">
        <f t="shared" si="32"/>
        <v>4131.5382597515436</v>
      </c>
      <c r="AA138" s="227">
        <f t="shared" si="14"/>
        <v>1645128.6649708559</v>
      </c>
      <c r="AB138" s="201">
        <f t="shared" si="15"/>
        <v>2031</v>
      </c>
      <c r="AC138" s="201">
        <f t="shared" si="33"/>
        <v>11</v>
      </c>
    </row>
    <row r="139" spans="10:29" ht="14.4">
      <c r="J139" s="210">
        <v>126</v>
      </c>
      <c r="K139" s="226">
        <f t="shared" si="34"/>
        <v>48213</v>
      </c>
      <c r="L139" s="227">
        <f t="shared" si="16"/>
        <v>3241010.3042866099</v>
      </c>
      <c r="M139" s="227">
        <f t="shared" si="28"/>
        <v>25290.377747270501</v>
      </c>
      <c r="N139" s="227">
        <f t="shared" si="9"/>
        <v>13136.589106195714</v>
      </c>
      <c r="O139" s="227">
        <f t="shared" si="35"/>
        <v>12153.788641074787</v>
      </c>
      <c r="P139" s="227">
        <f t="shared" si="11"/>
        <v>3227873.7151804143</v>
      </c>
      <c r="Q139" s="201">
        <f t="shared" si="12"/>
        <v>2031</v>
      </c>
      <c r="R139" s="201">
        <f t="shared" si="29"/>
        <v>11</v>
      </c>
      <c r="U139" s="210">
        <v>126</v>
      </c>
      <c r="V139" s="226">
        <f t="shared" si="30"/>
        <v>48214</v>
      </c>
      <c r="W139" s="227">
        <f t="shared" si="20"/>
        <v>1645128.6649708559</v>
      </c>
      <c r="X139" s="227">
        <f t="shared" si="31"/>
        <v>11618.17718951299</v>
      </c>
      <c r="Y139" s="227">
        <f t="shared" si="13"/>
        <v>7505.3555270858496</v>
      </c>
      <c r="Z139" s="227">
        <f t="shared" si="32"/>
        <v>4112.8216624271399</v>
      </c>
      <c r="AA139" s="227">
        <f t="shared" si="14"/>
        <v>1637623.30944377</v>
      </c>
      <c r="AB139" s="201">
        <f t="shared" si="15"/>
        <v>2032</v>
      </c>
      <c r="AC139" s="201">
        <f t="shared" si="33"/>
        <v>11</v>
      </c>
    </row>
    <row r="140" spans="10:29" ht="14.4">
      <c r="J140" s="210">
        <v>127</v>
      </c>
      <c r="K140" s="226">
        <f t="shared" si="34"/>
        <v>48244</v>
      </c>
      <c r="L140" s="227">
        <f t="shared" si="16"/>
        <v>3227873.7151804143</v>
      </c>
      <c r="M140" s="227">
        <f t="shared" si="28"/>
        <v>25290.377747270501</v>
      </c>
      <c r="N140" s="227">
        <f t="shared" si="9"/>
        <v>13185.851315343947</v>
      </c>
      <c r="O140" s="227">
        <f t="shared" si="35"/>
        <v>12104.526431926553</v>
      </c>
      <c r="P140" s="227">
        <f t="shared" si="11"/>
        <v>3214687.8638650705</v>
      </c>
      <c r="Q140" s="201">
        <f t="shared" si="12"/>
        <v>2032</v>
      </c>
      <c r="R140" s="201">
        <f t="shared" si="29"/>
        <v>11</v>
      </c>
      <c r="U140" s="210">
        <v>127</v>
      </c>
      <c r="V140" s="226">
        <f t="shared" si="30"/>
        <v>48245</v>
      </c>
      <c r="W140" s="227">
        <f t="shared" si="20"/>
        <v>1637623.30944377</v>
      </c>
      <c r="X140" s="227">
        <f t="shared" si="31"/>
        <v>11618.17718951299</v>
      </c>
      <c r="Y140" s="227">
        <f t="shared" si="13"/>
        <v>7524.1189159035639</v>
      </c>
      <c r="Z140" s="227">
        <f t="shared" si="32"/>
        <v>4094.0582736094252</v>
      </c>
      <c r="AA140" s="227">
        <f t="shared" si="14"/>
        <v>1630099.1905278664</v>
      </c>
      <c r="AB140" s="201">
        <f t="shared" si="15"/>
        <v>2032</v>
      </c>
      <c r="AC140" s="201">
        <f t="shared" si="33"/>
        <v>11</v>
      </c>
    </row>
    <row r="141" spans="10:29" ht="14.4">
      <c r="J141" s="210">
        <v>128</v>
      </c>
      <c r="K141" s="226">
        <f t="shared" si="34"/>
        <v>48273</v>
      </c>
      <c r="L141" s="227">
        <f t="shared" si="16"/>
        <v>3214687.8638650705</v>
      </c>
      <c r="M141" s="227">
        <f t="shared" si="28"/>
        <v>25290.377747270501</v>
      </c>
      <c r="N141" s="227">
        <f t="shared" si="9"/>
        <v>13235.298257776487</v>
      </c>
      <c r="O141" s="227">
        <f t="shared" si="35"/>
        <v>12055.079489494014</v>
      </c>
      <c r="P141" s="227">
        <f t="shared" si="11"/>
        <v>3201452.565607294</v>
      </c>
      <c r="Q141" s="201">
        <f t="shared" si="12"/>
        <v>2032</v>
      </c>
      <c r="R141" s="201">
        <f t="shared" si="29"/>
        <v>11</v>
      </c>
      <c r="U141" s="210">
        <v>128</v>
      </c>
      <c r="V141" s="226">
        <f t="shared" si="30"/>
        <v>48274</v>
      </c>
      <c r="W141" s="227">
        <f t="shared" si="20"/>
        <v>1630099.1905278664</v>
      </c>
      <c r="X141" s="227">
        <f t="shared" si="31"/>
        <v>11618.17718951299</v>
      </c>
      <c r="Y141" s="227">
        <f t="shared" si="13"/>
        <v>7542.9292131933234</v>
      </c>
      <c r="Z141" s="227">
        <f t="shared" si="32"/>
        <v>4075.2479763196661</v>
      </c>
      <c r="AA141" s="227">
        <f t="shared" si="14"/>
        <v>1622556.2613146731</v>
      </c>
      <c r="AB141" s="201">
        <f t="shared" si="15"/>
        <v>2032</v>
      </c>
      <c r="AC141" s="201">
        <f t="shared" si="33"/>
        <v>11</v>
      </c>
    </row>
    <row r="142" spans="10:29" ht="14.4">
      <c r="J142" s="210">
        <v>129</v>
      </c>
      <c r="K142" s="226">
        <f t="shared" si="34"/>
        <v>48304</v>
      </c>
      <c r="L142" s="227">
        <f t="shared" si="16"/>
        <v>3201452.565607294</v>
      </c>
      <c r="M142" s="227">
        <f t="shared" si="28"/>
        <v>25290.377747270501</v>
      </c>
      <c r="N142" s="227">
        <f t="shared" si="9"/>
        <v>13284.930626243149</v>
      </c>
      <c r="O142" s="227">
        <f t="shared" ref="O142:O173" si="36">L142*$K$6</f>
        <v>12005.447121027351</v>
      </c>
      <c r="P142" s="227">
        <f t="shared" si="11"/>
        <v>3188167.6349810506</v>
      </c>
      <c r="Q142" s="201">
        <f t="shared" si="12"/>
        <v>2032</v>
      </c>
      <c r="R142" s="201">
        <f t="shared" si="29"/>
        <v>11</v>
      </c>
      <c r="U142" s="210">
        <v>129</v>
      </c>
      <c r="V142" s="226">
        <f t="shared" si="30"/>
        <v>48305</v>
      </c>
      <c r="W142" s="227">
        <f t="shared" si="20"/>
        <v>1622556.2613146731</v>
      </c>
      <c r="X142" s="227">
        <f t="shared" si="31"/>
        <v>11618.17718951299</v>
      </c>
      <c r="Y142" s="227">
        <f t="shared" si="13"/>
        <v>7561.7865362263074</v>
      </c>
      <c r="Z142" s="227">
        <f t="shared" si="32"/>
        <v>4056.3906532866827</v>
      </c>
      <c r="AA142" s="227">
        <f t="shared" si="14"/>
        <v>1614994.4747784468</v>
      </c>
      <c r="AB142" s="201">
        <f t="shared" si="15"/>
        <v>2032</v>
      </c>
      <c r="AC142" s="201">
        <f t="shared" si="33"/>
        <v>11</v>
      </c>
    </row>
    <row r="143" spans="10:29" ht="14.4">
      <c r="J143" s="210">
        <v>130</v>
      </c>
      <c r="K143" s="226">
        <f t="shared" si="34"/>
        <v>48334</v>
      </c>
      <c r="L143" s="227">
        <f t="shared" si="16"/>
        <v>3188167.6349810506</v>
      </c>
      <c r="M143" s="227">
        <f t="shared" ref="M143:M193" si="37">M142</f>
        <v>25290.377747270501</v>
      </c>
      <c r="N143" s="227">
        <f t="shared" si="9"/>
        <v>13334.749116091562</v>
      </c>
      <c r="O143" s="227">
        <f t="shared" si="36"/>
        <v>11955.628631178939</v>
      </c>
      <c r="P143" s="227">
        <f t="shared" si="11"/>
        <v>3174832.8858649591</v>
      </c>
      <c r="Q143" s="201">
        <f t="shared" si="12"/>
        <v>2032</v>
      </c>
      <c r="R143" s="201">
        <f t="shared" ref="R143:R193" si="38">IF(K143&lt;=EOMONTH($K$11,0),1,IF(K143&lt;=EOMONTH($K$11,12),2,IF(K143&lt;=EOMONTH($K$11,24),3,IF(K143&lt;=EOMONTH($K$11,3*12),4,IF(K143&lt;=EOMONTH($K$11,4*12),5,IF(K143&lt;=EOMONTH($K$11,5*12),6,IF(K143&lt;=EOMONTH($K$11,6*12),7,IF(K143&lt;=EOMONTH($K$11,7*12),8,IF(K143&lt;=EOMONTH($K$11,8*12),9,IF(K143&lt;=EOMONTH($K$11,9*12),10,IF(K143&lt;=EOMONTH($K$11,10*12),11,IF(K143&lt;=EOMONTH($K$11,11*12),12,IF(K143&lt;=EOMONTH($K$11,12*12),13,IF(K143&lt;=EOMONTH($K$11,13*12),14,IF(K143&lt;=EOMONTH($K$11,14*12),15,IF(K143&lt;=EOMONTH($K$11,15*12),16,17))))))))))))))))</f>
        <v>11</v>
      </c>
      <c r="U143" s="210">
        <v>130</v>
      </c>
      <c r="V143" s="226">
        <f t="shared" ref="V143:V193" si="39">DATE(YEAR(V142),MONTH(V142)+1,DAY(V142))</f>
        <v>48335</v>
      </c>
      <c r="W143" s="227">
        <f t="shared" si="20"/>
        <v>1614994.4747784468</v>
      </c>
      <c r="X143" s="227">
        <f t="shared" ref="X143:X193" si="40">X142</f>
        <v>11618.17718951299</v>
      </c>
      <c r="Y143" s="227">
        <f t="shared" si="13"/>
        <v>7580.6910025668731</v>
      </c>
      <c r="Z143" s="227">
        <f t="shared" ref="Z143:Z193" si="41">W143*$V$6</f>
        <v>4037.486186946117</v>
      </c>
      <c r="AA143" s="227">
        <f t="shared" si="14"/>
        <v>1607413.78377588</v>
      </c>
      <c r="AB143" s="201">
        <f t="shared" si="15"/>
        <v>2032</v>
      </c>
      <c r="AC143" s="201">
        <f t="shared" ref="AC143:AC193" si="42">+R143</f>
        <v>11</v>
      </c>
    </row>
    <row r="144" spans="10:29" ht="14.4">
      <c r="J144" s="210">
        <v>131</v>
      </c>
      <c r="K144" s="226">
        <f t="shared" si="34"/>
        <v>48365</v>
      </c>
      <c r="L144" s="227">
        <f t="shared" si="16"/>
        <v>3174832.8858649591</v>
      </c>
      <c r="M144" s="227">
        <f t="shared" si="37"/>
        <v>25290.377747270501</v>
      </c>
      <c r="N144" s="227">
        <f t="shared" si="9"/>
        <v>13384.754425276904</v>
      </c>
      <c r="O144" s="227">
        <f t="shared" si="36"/>
        <v>11905.623321993597</v>
      </c>
      <c r="P144" s="227">
        <f t="shared" si="11"/>
        <v>3161448.1314396821</v>
      </c>
      <c r="Q144" s="201">
        <f t="shared" si="12"/>
        <v>2032</v>
      </c>
      <c r="R144" s="201">
        <f t="shared" si="38"/>
        <v>11</v>
      </c>
      <c r="U144" s="210">
        <v>131</v>
      </c>
      <c r="V144" s="226">
        <f t="shared" si="39"/>
        <v>48366</v>
      </c>
      <c r="W144" s="227">
        <f t="shared" si="20"/>
        <v>1607413.78377588</v>
      </c>
      <c r="X144" s="227">
        <f t="shared" si="40"/>
        <v>11618.17718951299</v>
      </c>
      <c r="Y144" s="227">
        <f t="shared" si="13"/>
        <v>7599.6427300732894</v>
      </c>
      <c r="Z144" s="227">
        <f t="shared" si="41"/>
        <v>4018.5344594397002</v>
      </c>
      <c r="AA144" s="227">
        <f t="shared" si="14"/>
        <v>1599814.1410458067</v>
      </c>
      <c r="AB144" s="201">
        <f t="shared" si="15"/>
        <v>2032</v>
      </c>
      <c r="AC144" s="201">
        <f t="shared" si="42"/>
        <v>11</v>
      </c>
    </row>
    <row r="145" spans="10:29" ht="14.4">
      <c r="J145" s="210">
        <v>132</v>
      </c>
      <c r="K145" s="226">
        <f t="shared" si="34"/>
        <v>48395</v>
      </c>
      <c r="L145" s="227">
        <f t="shared" si="16"/>
        <v>3161448.1314396821</v>
      </c>
      <c r="M145" s="227">
        <f t="shared" si="37"/>
        <v>25290.377747270501</v>
      </c>
      <c r="N145" s="227">
        <f t="shared" si="9"/>
        <v>13434.947254371693</v>
      </c>
      <c r="O145" s="227">
        <f t="shared" si="36"/>
        <v>11855.430492898808</v>
      </c>
      <c r="P145" s="227">
        <f t="shared" si="11"/>
        <v>3148013.1841853103</v>
      </c>
      <c r="Q145" s="201">
        <f t="shared" si="12"/>
        <v>2032</v>
      </c>
      <c r="R145" s="201">
        <f t="shared" si="38"/>
        <v>11</v>
      </c>
      <c r="U145" s="210">
        <v>132</v>
      </c>
      <c r="V145" s="226">
        <f t="shared" si="39"/>
        <v>48396</v>
      </c>
      <c r="W145" s="227">
        <f t="shared" si="20"/>
        <v>1599814.1410458067</v>
      </c>
      <c r="X145" s="227">
        <f t="shared" si="40"/>
        <v>11618.17718951299</v>
      </c>
      <c r="Y145" s="227">
        <f t="shared" si="13"/>
        <v>7618.6418368984723</v>
      </c>
      <c r="Z145" s="227">
        <f t="shared" si="41"/>
        <v>3999.5353526145168</v>
      </c>
      <c r="AA145" s="227">
        <f t="shared" si="14"/>
        <v>1592195.4992089083</v>
      </c>
      <c r="AB145" s="201">
        <f t="shared" si="15"/>
        <v>2032</v>
      </c>
      <c r="AC145" s="201">
        <f t="shared" si="42"/>
        <v>11</v>
      </c>
    </row>
    <row r="146" spans="10:29" ht="14.4">
      <c r="J146" s="210">
        <v>133</v>
      </c>
      <c r="K146" s="226">
        <f t="shared" si="34"/>
        <v>48426</v>
      </c>
      <c r="L146" s="227">
        <f t="shared" si="16"/>
        <v>3148013.1841853103</v>
      </c>
      <c r="M146" s="227">
        <f t="shared" si="37"/>
        <v>25290.377747270501</v>
      </c>
      <c r="N146" s="227">
        <f t="shared" si="9"/>
        <v>13485.328306575588</v>
      </c>
      <c r="O146" s="227">
        <f t="shared" si="36"/>
        <v>11805.049440694913</v>
      </c>
      <c r="P146" s="227">
        <f t="shared" si="11"/>
        <v>3134527.8558787345</v>
      </c>
      <c r="Q146" s="201">
        <f t="shared" si="12"/>
        <v>2032</v>
      </c>
      <c r="R146" s="201">
        <f t="shared" si="38"/>
        <v>12</v>
      </c>
      <c r="U146" s="210">
        <v>133</v>
      </c>
      <c r="V146" s="226">
        <f t="shared" si="39"/>
        <v>48427</v>
      </c>
      <c r="W146" s="227">
        <f t="shared" si="20"/>
        <v>1592195.4992089083</v>
      </c>
      <c r="X146" s="227">
        <f t="shared" si="40"/>
        <v>11618.17718951299</v>
      </c>
      <c r="Y146" s="227">
        <f t="shared" si="13"/>
        <v>7637.6884414907181</v>
      </c>
      <c r="Z146" s="227">
        <f t="shared" si="41"/>
        <v>3980.488748022271</v>
      </c>
      <c r="AA146" s="227">
        <f t="shared" si="14"/>
        <v>1584557.8107674175</v>
      </c>
      <c r="AB146" s="201">
        <f t="shared" si="15"/>
        <v>2032</v>
      </c>
      <c r="AC146" s="201">
        <f t="shared" si="42"/>
        <v>12</v>
      </c>
    </row>
    <row r="147" spans="10:29" ht="14.4">
      <c r="J147" s="210">
        <v>134</v>
      </c>
      <c r="K147" s="226">
        <f t="shared" ref="K147:K193" si="43">EOMONTH(K146,1)</f>
        <v>48457</v>
      </c>
      <c r="L147" s="227">
        <f t="shared" si="16"/>
        <v>3134527.8558787345</v>
      </c>
      <c r="M147" s="227">
        <f t="shared" si="37"/>
        <v>25290.377747270501</v>
      </c>
      <c r="N147" s="227">
        <f t="shared" si="9"/>
        <v>13535.898287725247</v>
      </c>
      <c r="O147" s="227">
        <f t="shared" si="36"/>
        <v>11754.479459545253</v>
      </c>
      <c r="P147" s="227">
        <f t="shared" si="11"/>
        <v>3120991.9575910093</v>
      </c>
      <c r="Q147" s="201">
        <f t="shared" si="12"/>
        <v>2032</v>
      </c>
      <c r="R147" s="201">
        <f t="shared" si="38"/>
        <v>12</v>
      </c>
      <c r="U147" s="210">
        <v>134</v>
      </c>
      <c r="V147" s="226">
        <f t="shared" si="39"/>
        <v>48458</v>
      </c>
      <c r="W147" s="227">
        <f t="shared" si="20"/>
        <v>1584557.8107674175</v>
      </c>
      <c r="X147" s="227">
        <f t="shared" si="40"/>
        <v>11618.17718951299</v>
      </c>
      <c r="Y147" s="227">
        <f t="shared" si="13"/>
        <v>7656.7826625944454</v>
      </c>
      <c r="Z147" s="227">
        <f t="shared" si="41"/>
        <v>3961.3945269185438</v>
      </c>
      <c r="AA147" s="227">
        <f t="shared" si="14"/>
        <v>1576901.0281048231</v>
      </c>
      <c r="AB147" s="201">
        <f t="shared" si="15"/>
        <v>2032</v>
      </c>
      <c r="AC147" s="201">
        <f t="shared" si="42"/>
        <v>12</v>
      </c>
    </row>
    <row r="148" spans="10:29" ht="14.4">
      <c r="J148" s="210">
        <v>135</v>
      </c>
      <c r="K148" s="226">
        <f t="shared" si="43"/>
        <v>48487</v>
      </c>
      <c r="L148" s="227">
        <f t="shared" si="16"/>
        <v>3120991.9575910093</v>
      </c>
      <c r="M148" s="227">
        <f t="shared" si="37"/>
        <v>25290.377747270501</v>
      </c>
      <c r="N148" s="227">
        <f t="shared" si="9"/>
        <v>13586.657906304215</v>
      </c>
      <c r="O148" s="227">
        <f t="shared" si="36"/>
        <v>11703.719840966285</v>
      </c>
      <c r="P148" s="227">
        <f t="shared" si="11"/>
        <v>3107405.2996847052</v>
      </c>
      <c r="Q148" s="201">
        <f t="shared" si="12"/>
        <v>2032</v>
      </c>
      <c r="R148" s="201">
        <f t="shared" si="38"/>
        <v>12</v>
      </c>
      <c r="U148" s="210">
        <v>135</v>
      </c>
      <c r="V148" s="226">
        <f t="shared" si="39"/>
        <v>48488</v>
      </c>
      <c r="W148" s="227">
        <f t="shared" si="20"/>
        <v>1576901.0281048231</v>
      </c>
      <c r="X148" s="227">
        <f t="shared" si="40"/>
        <v>11618.17718951299</v>
      </c>
      <c r="Y148" s="227">
        <f t="shared" si="13"/>
        <v>7675.9246192509318</v>
      </c>
      <c r="Z148" s="227">
        <f t="shared" si="41"/>
        <v>3942.2525702620578</v>
      </c>
      <c r="AA148" s="227">
        <f t="shared" si="14"/>
        <v>1569225.1034855722</v>
      </c>
      <c r="AB148" s="201">
        <f t="shared" si="15"/>
        <v>2032</v>
      </c>
      <c r="AC148" s="201">
        <f t="shared" si="42"/>
        <v>12</v>
      </c>
    </row>
    <row r="149" spans="10:29" ht="14.4">
      <c r="J149" s="210">
        <v>136</v>
      </c>
      <c r="K149" s="226">
        <f t="shared" si="43"/>
        <v>48518</v>
      </c>
      <c r="L149" s="227">
        <f t="shared" si="16"/>
        <v>3107405.2996847052</v>
      </c>
      <c r="M149" s="227">
        <f t="shared" si="37"/>
        <v>25290.377747270501</v>
      </c>
      <c r="N149" s="227">
        <f t="shared" si="9"/>
        <v>13637.607873452856</v>
      </c>
      <c r="O149" s="227">
        <f t="shared" si="36"/>
        <v>11652.769873817644</v>
      </c>
      <c r="P149" s="227">
        <f t="shared" si="11"/>
        <v>3093767.6918112524</v>
      </c>
      <c r="Q149" s="201">
        <f t="shared" si="12"/>
        <v>2032</v>
      </c>
      <c r="R149" s="201">
        <f t="shared" si="38"/>
        <v>12</v>
      </c>
      <c r="U149" s="210">
        <v>136</v>
      </c>
      <c r="V149" s="226">
        <f t="shared" si="39"/>
        <v>48519</v>
      </c>
      <c r="W149" s="227">
        <f t="shared" si="20"/>
        <v>1569225.1034855722</v>
      </c>
      <c r="X149" s="227">
        <f t="shared" si="40"/>
        <v>11618.17718951299</v>
      </c>
      <c r="Y149" s="227">
        <f t="shared" si="13"/>
        <v>7695.1144307990589</v>
      </c>
      <c r="Z149" s="227">
        <f t="shared" si="41"/>
        <v>3923.0627587139306</v>
      </c>
      <c r="AA149" s="227">
        <f t="shared" si="14"/>
        <v>1561529.989054773</v>
      </c>
      <c r="AB149" s="201">
        <f t="shared" si="15"/>
        <v>2032</v>
      </c>
      <c r="AC149" s="201">
        <f t="shared" si="42"/>
        <v>12</v>
      </c>
    </row>
    <row r="150" spans="10:29" ht="14.4">
      <c r="J150" s="210">
        <v>137</v>
      </c>
      <c r="K150" s="226">
        <f t="shared" si="43"/>
        <v>48548</v>
      </c>
      <c r="L150" s="227">
        <f t="shared" si="16"/>
        <v>3093767.6918112524</v>
      </c>
      <c r="M150" s="227">
        <f t="shared" si="37"/>
        <v>25290.377747270501</v>
      </c>
      <c r="N150" s="227">
        <f t="shared" si="9"/>
        <v>13688.748902978305</v>
      </c>
      <c r="O150" s="227">
        <f t="shared" si="36"/>
        <v>11601.628844292196</v>
      </c>
      <c r="P150" s="227">
        <f t="shared" si="11"/>
        <v>3080078.942908274</v>
      </c>
      <c r="Q150" s="201">
        <f t="shared" si="12"/>
        <v>2032</v>
      </c>
      <c r="R150" s="201">
        <f t="shared" si="38"/>
        <v>12</v>
      </c>
      <c r="U150" s="210">
        <v>137</v>
      </c>
      <c r="V150" s="226">
        <f t="shared" si="39"/>
        <v>48549</v>
      </c>
      <c r="W150" s="227">
        <f t="shared" si="20"/>
        <v>1561529.989054773</v>
      </c>
      <c r="X150" s="227">
        <f t="shared" si="40"/>
        <v>11618.17718951299</v>
      </c>
      <c r="Y150" s="227">
        <f t="shared" si="13"/>
        <v>7714.3522168760574</v>
      </c>
      <c r="Z150" s="227">
        <f t="shared" si="41"/>
        <v>3903.8249726369327</v>
      </c>
      <c r="AA150" s="227">
        <f t="shared" si="14"/>
        <v>1553815.6368378969</v>
      </c>
      <c r="AB150" s="201">
        <f t="shared" si="15"/>
        <v>2032</v>
      </c>
      <c r="AC150" s="201">
        <f t="shared" si="42"/>
        <v>12</v>
      </c>
    </row>
    <row r="151" spans="10:29" ht="14.4">
      <c r="J151" s="210">
        <v>138</v>
      </c>
      <c r="K151" s="226">
        <f t="shared" si="43"/>
        <v>48579</v>
      </c>
      <c r="L151" s="227">
        <f t="shared" si="16"/>
        <v>3080078.942908274</v>
      </c>
      <c r="M151" s="227">
        <f t="shared" si="37"/>
        <v>25290.377747270501</v>
      </c>
      <c r="N151" s="227">
        <f t="shared" si="9"/>
        <v>13740.081711364473</v>
      </c>
      <c r="O151" s="227">
        <f t="shared" si="36"/>
        <v>11550.296035906027</v>
      </c>
      <c r="P151" s="227">
        <f t="shared" si="11"/>
        <v>3066338.8611969096</v>
      </c>
      <c r="Q151" s="201">
        <f t="shared" si="12"/>
        <v>2032</v>
      </c>
      <c r="R151" s="201">
        <f t="shared" si="38"/>
        <v>12</v>
      </c>
      <c r="U151" s="210">
        <v>138</v>
      </c>
      <c r="V151" s="226">
        <f t="shared" si="39"/>
        <v>48580</v>
      </c>
      <c r="W151" s="227">
        <f t="shared" si="20"/>
        <v>1553815.6368378969</v>
      </c>
      <c r="X151" s="227">
        <f t="shared" si="40"/>
        <v>11618.17718951299</v>
      </c>
      <c r="Y151" s="227">
        <f t="shared" si="13"/>
        <v>7733.6380974182466</v>
      </c>
      <c r="Z151" s="227">
        <f t="shared" si="41"/>
        <v>3884.5390920947425</v>
      </c>
      <c r="AA151" s="227">
        <f t="shared" si="14"/>
        <v>1546081.9987404787</v>
      </c>
      <c r="AB151" s="201">
        <f t="shared" si="15"/>
        <v>2033</v>
      </c>
      <c r="AC151" s="201">
        <f t="shared" si="42"/>
        <v>12</v>
      </c>
    </row>
    <row r="152" spans="10:29" ht="14.4">
      <c r="J152" s="210">
        <v>139</v>
      </c>
      <c r="K152" s="226">
        <f t="shared" si="43"/>
        <v>48610</v>
      </c>
      <c r="L152" s="227">
        <f t="shared" si="16"/>
        <v>3066338.8611969096</v>
      </c>
      <c r="M152" s="227">
        <f t="shared" si="37"/>
        <v>25290.377747270501</v>
      </c>
      <c r="N152" s="227">
        <f t="shared" si="9"/>
        <v>13791.607017782089</v>
      </c>
      <c r="O152" s="227">
        <f t="shared" si="36"/>
        <v>11498.770729488411</v>
      </c>
      <c r="P152" s="227">
        <f t="shared" si="11"/>
        <v>3052547.2541791275</v>
      </c>
      <c r="Q152" s="201">
        <f t="shared" si="12"/>
        <v>2033</v>
      </c>
      <c r="R152" s="201">
        <f t="shared" si="38"/>
        <v>12</v>
      </c>
      <c r="U152" s="210">
        <v>139</v>
      </c>
      <c r="V152" s="226">
        <f t="shared" si="39"/>
        <v>48611</v>
      </c>
      <c r="W152" s="227">
        <f t="shared" si="20"/>
        <v>1546081.9987404787</v>
      </c>
      <c r="X152" s="227">
        <f t="shared" si="40"/>
        <v>11618.17718951299</v>
      </c>
      <c r="Y152" s="227">
        <f t="shared" si="13"/>
        <v>7752.9721926617931</v>
      </c>
      <c r="Z152" s="227">
        <f t="shared" si="41"/>
        <v>3865.2049968511965</v>
      </c>
      <c r="AA152" s="227">
        <f t="shared" si="14"/>
        <v>1538329.0265478168</v>
      </c>
      <c r="AB152" s="201">
        <f t="shared" si="15"/>
        <v>2033</v>
      </c>
      <c r="AC152" s="201">
        <f t="shared" si="42"/>
        <v>12</v>
      </c>
    </row>
    <row r="153" spans="10:29" ht="14.4">
      <c r="J153" s="210">
        <v>140</v>
      </c>
      <c r="K153" s="226">
        <f t="shared" si="43"/>
        <v>48638</v>
      </c>
      <c r="L153" s="227">
        <f t="shared" si="16"/>
        <v>3052547.2541791275</v>
      </c>
      <c r="M153" s="227">
        <f t="shared" si="37"/>
        <v>25290.377747270501</v>
      </c>
      <c r="N153" s="227">
        <f t="shared" si="9"/>
        <v>13843.325544098772</v>
      </c>
      <c r="O153" s="227">
        <f t="shared" si="36"/>
        <v>11447.052203171728</v>
      </c>
      <c r="P153" s="227">
        <f t="shared" si="11"/>
        <v>3038703.9286350287</v>
      </c>
      <c r="Q153" s="201">
        <f t="shared" si="12"/>
        <v>2033</v>
      </c>
      <c r="R153" s="201">
        <f t="shared" si="38"/>
        <v>12</v>
      </c>
      <c r="U153" s="210">
        <v>140</v>
      </c>
      <c r="V153" s="226">
        <f t="shared" si="39"/>
        <v>48639</v>
      </c>
      <c r="W153" s="227">
        <f t="shared" si="20"/>
        <v>1538329.0265478168</v>
      </c>
      <c r="X153" s="227">
        <f t="shared" si="40"/>
        <v>11618.17718951299</v>
      </c>
      <c r="Y153" s="227">
        <f t="shared" si="13"/>
        <v>7772.3546231434475</v>
      </c>
      <c r="Z153" s="227">
        <f t="shared" si="41"/>
        <v>3845.8225663695421</v>
      </c>
      <c r="AA153" s="227">
        <f t="shared" si="14"/>
        <v>1530556.6719246733</v>
      </c>
      <c r="AB153" s="201">
        <f t="shared" si="15"/>
        <v>2033</v>
      </c>
      <c r="AC153" s="201">
        <f t="shared" si="42"/>
        <v>12</v>
      </c>
    </row>
    <row r="154" spans="10:29" ht="14.4">
      <c r="J154" s="210">
        <v>141</v>
      </c>
      <c r="K154" s="226">
        <f t="shared" si="43"/>
        <v>48669</v>
      </c>
      <c r="L154" s="227">
        <f t="shared" si="16"/>
        <v>3038703.9286350287</v>
      </c>
      <c r="M154" s="227">
        <f t="shared" si="37"/>
        <v>25290.377747270501</v>
      </c>
      <c r="N154" s="227">
        <f t="shared" si="9"/>
        <v>13895.238014889144</v>
      </c>
      <c r="O154" s="227">
        <f t="shared" si="36"/>
        <v>11395.139732381356</v>
      </c>
      <c r="P154" s="227">
        <f t="shared" si="11"/>
        <v>3024808.6906201397</v>
      </c>
      <c r="Q154" s="201">
        <f t="shared" si="12"/>
        <v>2033</v>
      </c>
      <c r="R154" s="201">
        <f t="shared" si="38"/>
        <v>12</v>
      </c>
      <c r="U154" s="210">
        <v>141</v>
      </c>
      <c r="V154" s="226">
        <f t="shared" si="39"/>
        <v>48670</v>
      </c>
      <c r="W154" s="227">
        <f t="shared" si="20"/>
        <v>1530556.6719246733</v>
      </c>
      <c r="X154" s="227">
        <f t="shared" si="40"/>
        <v>11618.17718951299</v>
      </c>
      <c r="Y154" s="227">
        <f t="shared" si="13"/>
        <v>7791.7855097013062</v>
      </c>
      <c r="Z154" s="227">
        <f t="shared" si="41"/>
        <v>3826.3916798116834</v>
      </c>
      <c r="AA154" s="227">
        <f t="shared" si="14"/>
        <v>1522764.8864149719</v>
      </c>
      <c r="AB154" s="201">
        <f t="shared" si="15"/>
        <v>2033</v>
      </c>
      <c r="AC154" s="201">
        <f t="shared" si="42"/>
        <v>12</v>
      </c>
    </row>
    <row r="155" spans="10:29" ht="14.4">
      <c r="J155" s="210">
        <v>142</v>
      </c>
      <c r="K155" s="226">
        <f t="shared" si="43"/>
        <v>48699</v>
      </c>
      <c r="L155" s="227">
        <f t="shared" si="16"/>
        <v>3024808.6906201397</v>
      </c>
      <c r="M155" s="227">
        <f t="shared" si="37"/>
        <v>25290.377747270501</v>
      </c>
      <c r="N155" s="227">
        <f t="shared" si="9"/>
        <v>13947.345157444977</v>
      </c>
      <c r="O155" s="227">
        <f t="shared" si="36"/>
        <v>11343.032589825523</v>
      </c>
      <c r="P155" s="227">
        <f t="shared" si="11"/>
        <v>3010861.3454626948</v>
      </c>
      <c r="Q155" s="201">
        <f t="shared" si="12"/>
        <v>2033</v>
      </c>
      <c r="R155" s="201">
        <f t="shared" si="38"/>
        <v>12</v>
      </c>
      <c r="U155" s="210">
        <v>142</v>
      </c>
      <c r="V155" s="226">
        <f t="shared" si="39"/>
        <v>48700</v>
      </c>
      <c r="W155" s="227">
        <f t="shared" si="20"/>
        <v>1522764.8864149719</v>
      </c>
      <c r="X155" s="227">
        <f t="shared" si="40"/>
        <v>11618.17718951299</v>
      </c>
      <c r="Y155" s="227">
        <f t="shared" si="13"/>
        <v>7811.2649734755596</v>
      </c>
      <c r="Z155" s="227">
        <f t="shared" si="41"/>
        <v>3806.91221603743</v>
      </c>
      <c r="AA155" s="227">
        <f t="shared" si="14"/>
        <v>1514953.6214414963</v>
      </c>
      <c r="AB155" s="201">
        <f t="shared" si="15"/>
        <v>2033</v>
      </c>
      <c r="AC155" s="201">
        <f t="shared" si="42"/>
        <v>12</v>
      </c>
    </row>
    <row r="156" spans="10:29" ht="14.4">
      <c r="J156" s="210">
        <v>143</v>
      </c>
      <c r="K156" s="226">
        <f t="shared" si="43"/>
        <v>48730</v>
      </c>
      <c r="L156" s="227">
        <f t="shared" si="16"/>
        <v>3010861.3454626948</v>
      </c>
      <c r="M156" s="227">
        <f t="shared" si="37"/>
        <v>25290.377747270501</v>
      </c>
      <c r="N156" s="227">
        <f t="shared" si="9"/>
        <v>13999.647701785396</v>
      </c>
      <c r="O156" s="227">
        <f t="shared" si="36"/>
        <v>11290.730045485105</v>
      </c>
      <c r="P156" s="227">
        <f t="shared" si="11"/>
        <v>2996861.6977609093</v>
      </c>
      <c r="Q156" s="201">
        <f t="shared" si="12"/>
        <v>2033</v>
      </c>
      <c r="R156" s="201">
        <f t="shared" si="38"/>
        <v>12</v>
      </c>
      <c r="U156" s="210">
        <v>143</v>
      </c>
      <c r="V156" s="226">
        <f t="shared" si="39"/>
        <v>48731</v>
      </c>
      <c r="W156" s="227">
        <f t="shared" si="20"/>
        <v>1514953.6214414963</v>
      </c>
      <c r="X156" s="227">
        <f t="shared" si="40"/>
        <v>11618.17718951299</v>
      </c>
      <c r="Y156" s="227">
        <f t="shared" si="13"/>
        <v>7830.793135909249</v>
      </c>
      <c r="Z156" s="227">
        <f t="shared" si="41"/>
        <v>3787.384053603741</v>
      </c>
      <c r="AA156" s="227">
        <f t="shared" si="14"/>
        <v>1507122.8283055869</v>
      </c>
      <c r="AB156" s="201">
        <f t="shared" si="15"/>
        <v>2033</v>
      </c>
      <c r="AC156" s="201">
        <f t="shared" si="42"/>
        <v>12</v>
      </c>
    </row>
    <row r="157" spans="10:29" ht="14.4">
      <c r="J157" s="210">
        <v>144</v>
      </c>
      <c r="K157" s="226">
        <f t="shared" si="43"/>
        <v>48760</v>
      </c>
      <c r="L157" s="227">
        <f t="shared" si="16"/>
        <v>2996861.6977609093</v>
      </c>
      <c r="M157" s="227">
        <f t="shared" si="37"/>
        <v>25290.377747270501</v>
      </c>
      <c r="N157" s="227">
        <f t="shared" si="9"/>
        <v>14052.146380667091</v>
      </c>
      <c r="O157" s="227">
        <f t="shared" si="36"/>
        <v>11238.23136660341</v>
      </c>
      <c r="P157" s="227">
        <f t="shared" si="11"/>
        <v>2982809.5513802422</v>
      </c>
      <c r="Q157" s="201">
        <f t="shared" si="12"/>
        <v>2033</v>
      </c>
      <c r="R157" s="201">
        <f t="shared" si="38"/>
        <v>12</v>
      </c>
      <c r="U157" s="210">
        <v>144</v>
      </c>
      <c r="V157" s="226">
        <f t="shared" si="39"/>
        <v>48761</v>
      </c>
      <c r="W157" s="227">
        <f t="shared" si="20"/>
        <v>1507122.8283055869</v>
      </c>
      <c r="X157" s="227">
        <f t="shared" si="40"/>
        <v>11618.17718951299</v>
      </c>
      <c r="Y157" s="227">
        <f t="shared" si="13"/>
        <v>7850.3701187490224</v>
      </c>
      <c r="Z157" s="227">
        <f t="shared" si="41"/>
        <v>3767.8070707639672</v>
      </c>
      <c r="AA157" s="227">
        <f t="shared" si="14"/>
        <v>1499272.4581868378</v>
      </c>
      <c r="AB157" s="201">
        <f t="shared" si="15"/>
        <v>2033</v>
      </c>
      <c r="AC157" s="201">
        <f t="shared" si="42"/>
        <v>12</v>
      </c>
    </row>
    <row r="158" spans="10:29" ht="14.4">
      <c r="J158" s="210">
        <v>145</v>
      </c>
      <c r="K158" s="226">
        <f t="shared" si="43"/>
        <v>48791</v>
      </c>
      <c r="L158" s="227">
        <f t="shared" si="16"/>
        <v>2982809.5513802422</v>
      </c>
      <c r="M158" s="227">
        <f t="shared" si="37"/>
        <v>25290.377747270501</v>
      </c>
      <c r="N158" s="227">
        <f t="shared" si="9"/>
        <v>14104.841929594593</v>
      </c>
      <c r="O158" s="227">
        <f t="shared" si="36"/>
        <v>11185.535817675907</v>
      </c>
      <c r="P158" s="227">
        <f t="shared" si="11"/>
        <v>2968704.7094506477</v>
      </c>
      <c r="Q158" s="201">
        <f t="shared" si="12"/>
        <v>2033</v>
      </c>
      <c r="R158" s="201">
        <f t="shared" si="38"/>
        <v>13</v>
      </c>
      <c r="U158" s="210">
        <v>145</v>
      </c>
      <c r="V158" s="226">
        <f t="shared" si="39"/>
        <v>48792</v>
      </c>
      <c r="W158" s="227">
        <f t="shared" si="20"/>
        <v>1499272.4581868378</v>
      </c>
      <c r="X158" s="227">
        <f t="shared" si="40"/>
        <v>11618.17718951299</v>
      </c>
      <c r="Y158" s="227">
        <f t="shared" si="13"/>
        <v>7869.9960440458945</v>
      </c>
      <c r="Z158" s="227">
        <f t="shared" si="41"/>
        <v>3748.1811454670947</v>
      </c>
      <c r="AA158" s="227">
        <f t="shared" si="14"/>
        <v>1491402.4621427921</v>
      </c>
      <c r="AB158" s="201">
        <f t="shared" si="15"/>
        <v>2033</v>
      </c>
      <c r="AC158" s="201">
        <f t="shared" si="42"/>
        <v>13</v>
      </c>
    </row>
    <row r="159" spans="10:29" ht="14.4">
      <c r="J159" s="210">
        <v>146</v>
      </c>
      <c r="K159" s="226">
        <f t="shared" si="43"/>
        <v>48822</v>
      </c>
      <c r="L159" s="227">
        <f t="shared" si="16"/>
        <v>2968704.7094506477</v>
      </c>
      <c r="M159" s="227">
        <f t="shared" si="37"/>
        <v>25290.377747270501</v>
      </c>
      <c r="N159" s="227">
        <f t="shared" si="9"/>
        <v>14157.735086830573</v>
      </c>
      <c r="O159" s="227">
        <f t="shared" si="36"/>
        <v>11132.642660439928</v>
      </c>
      <c r="P159" s="227">
        <f t="shared" si="11"/>
        <v>2954546.9743638169</v>
      </c>
      <c r="Q159" s="201">
        <f t="shared" si="12"/>
        <v>2033</v>
      </c>
      <c r="R159" s="201">
        <f t="shared" si="38"/>
        <v>13</v>
      </c>
      <c r="U159" s="210">
        <v>146</v>
      </c>
      <c r="V159" s="226">
        <f t="shared" si="39"/>
        <v>48823</v>
      </c>
      <c r="W159" s="227">
        <f t="shared" si="20"/>
        <v>1491402.4621427921</v>
      </c>
      <c r="X159" s="227">
        <f t="shared" si="40"/>
        <v>11618.17718951299</v>
      </c>
      <c r="Y159" s="227">
        <f t="shared" si="13"/>
        <v>7889.6710341560092</v>
      </c>
      <c r="Z159" s="227">
        <f t="shared" si="41"/>
        <v>3728.5061553569803</v>
      </c>
      <c r="AA159" s="227">
        <f t="shared" si="14"/>
        <v>1483512.791108636</v>
      </c>
      <c r="AB159" s="201">
        <f t="shared" si="15"/>
        <v>2033</v>
      </c>
      <c r="AC159" s="201">
        <f t="shared" si="42"/>
        <v>13</v>
      </c>
    </row>
    <row r="160" spans="10:29" ht="14.4">
      <c r="J160" s="210">
        <v>147</v>
      </c>
      <c r="K160" s="226">
        <f t="shared" si="43"/>
        <v>48852</v>
      </c>
      <c r="L160" s="227">
        <f t="shared" si="16"/>
        <v>2954546.9743638169</v>
      </c>
      <c r="M160" s="227">
        <f t="shared" si="37"/>
        <v>25290.377747270501</v>
      </c>
      <c r="N160" s="227">
        <f t="shared" si="9"/>
        <v>14210.826593406187</v>
      </c>
      <c r="O160" s="227">
        <f t="shared" si="36"/>
        <v>11079.551153864313</v>
      </c>
      <c r="P160" s="227">
        <f t="shared" si="11"/>
        <v>2940336.1477704109</v>
      </c>
      <c r="Q160" s="201">
        <f t="shared" si="12"/>
        <v>2033</v>
      </c>
      <c r="R160" s="201">
        <f t="shared" si="38"/>
        <v>13</v>
      </c>
      <c r="U160" s="210">
        <v>147</v>
      </c>
      <c r="V160" s="226">
        <f t="shared" si="39"/>
        <v>48853</v>
      </c>
      <c r="W160" s="227">
        <f t="shared" si="20"/>
        <v>1483512.791108636</v>
      </c>
      <c r="X160" s="227">
        <f t="shared" si="40"/>
        <v>11618.17718951299</v>
      </c>
      <c r="Y160" s="227">
        <f t="shared" si="13"/>
        <v>7909.3952117413992</v>
      </c>
      <c r="Z160" s="227">
        <f t="shared" si="41"/>
        <v>3708.7819777715899</v>
      </c>
      <c r="AA160" s="227">
        <f t="shared" si="14"/>
        <v>1475603.3958968946</v>
      </c>
      <c r="AB160" s="201">
        <f t="shared" si="15"/>
        <v>2033</v>
      </c>
      <c r="AC160" s="201">
        <f t="shared" si="42"/>
        <v>13</v>
      </c>
    </row>
    <row r="161" spans="10:29" ht="14.4">
      <c r="J161" s="210">
        <v>148</v>
      </c>
      <c r="K161" s="226">
        <f t="shared" si="43"/>
        <v>48883</v>
      </c>
      <c r="L161" s="227">
        <f t="shared" si="16"/>
        <v>2940336.1477704109</v>
      </c>
      <c r="M161" s="227">
        <f t="shared" si="37"/>
        <v>25290.377747270501</v>
      </c>
      <c r="N161" s="227">
        <f t="shared" si="9"/>
        <v>14264.11719313146</v>
      </c>
      <c r="O161" s="227">
        <f t="shared" si="36"/>
        <v>11026.26055413904</v>
      </c>
      <c r="P161" s="227">
        <f t="shared" si="11"/>
        <v>2926072.0305772796</v>
      </c>
      <c r="Q161" s="201">
        <f t="shared" si="12"/>
        <v>2033</v>
      </c>
      <c r="R161" s="201">
        <f t="shared" si="38"/>
        <v>13</v>
      </c>
      <c r="U161" s="210">
        <v>148</v>
      </c>
      <c r="V161" s="226">
        <f t="shared" si="39"/>
        <v>48884</v>
      </c>
      <c r="W161" s="227">
        <f t="shared" si="20"/>
        <v>1475603.3958968946</v>
      </c>
      <c r="X161" s="227">
        <f t="shared" si="40"/>
        <v>11618.17718951299</v>
      </c>
      <c r="Y161" s="227">
        <f t="shared" si="13"/>
        <v>7929.1686997707529</v>
      </c>
      <c r="Z161" s="227">
        <f t="shared" si="41"/>
        <v>3689.0084897422366</v>
      </c>
      <c r="AA161" s="227">
        <f t="shared" si="14"/>
        <v>1467674.2271971239</v>
      </c>
      <c r="AB161" s="201">
        <f t="shared" si="15"/>
        <v>2033</v>
      </c>
      <c r="AC161" s="201">
        <f t="shared" si="42"/>
        <v>13</v>
      </c>
    </row>
    <row r="162" spans="10:29" ht="14.4">
      <c r="J162" s="210">
        <v>149</v>
      </c>
      <c r="K162" s="226">
        <f t="shared" si="43"/>
        <v>48913</v>
      </c>
      <c r="L162" s="227">
        <f t="shared" si="16"/>
        <v>2926072.0305772796</v>
      </c>
      <c r="M162" s="227">
        <f t="shared" si="37"/>
        <v>25290.377747270501</v>
      </c>
      <c r="N162" s="227">
        <f t="shared" si="9"/>
        <v>14317.607632605703</v>
      </c>
      <c r="O162" s="227">
        <f t="shared" si="36"/>
        <v>10972.770114664798</v>
      </c>
      <c r="P162" s="227">
        <f t="shared" si="11"/>
        <v>2911754.4229446738</v>
      </c>
      <c r="Q162" s="201">
        <f t="shared" si="12"/>
        <v>2033</v>
      </c>
      <c r="R162" s="201">
        <f t="shared" si="38"/>
        <v>13</v>
      </c>
      <c r="U162" s="210">
        <v>149</v>
      </c>
      <c r="V162" s="226">
        <f t="shared" si="39"/>
        <v>48914</v>
      </c>
      <c r="W162" s="227">
        <f t="shared" si="20"/>
        <v>1467674.2271971239</v>
      </c>
      <c r="X162" s="227">
        <f t="shared" si="40"/>
        <v>11618.17718951299</v>
      </c>
      <c r="Y162" s="227">
        <f t="shared" si="13"/>
        <v>7948.9916215201793</v>
      </c>
      <c r="Z162" s="227">
        <f t="shared" si="41"/>
        <v>3669.1855679928099</v>
      </c>
      <c r="AA162" s="227">
        <f t="shared" si="14"/>
        <v>1459725.2355756038</v>
      </c>
      <c r="AB162" s="201">
        <f t="shared" si="15"/>
        <v>2033</v>
      </c>
      <c r="AC162" s="201">
        <f t="shared" si="42"/>
        <v>13</v>
      </c>
    </row>
    <row r="163" spans="10:29" ht="14.4">
      <c r="J163" s="210">
        <v>150</v>
      </c>
      <c r="K163" s="226">
        <f t="shared" si="43"/>
        <v>48944</v>
      </c>
      <c r="L163" s="227">
        <f t="shared" si="16"/>
        <v>2911754.4229446738</v>
      </c>
      <c r="M163" s="227">
        <f t="shared" si="37"/>
        <v>25290.377747270501</v>
      </c>
      <c r="N163" s="227">
        <f t="shared" si="9"/>
        <v>14371.298661227975</v>
      </c>
      <c r="O163" s="227">
        <f t="shared" si="36"/>
        <v>10919.079086042526</v>
      </c>
      <c r="P163" s="227">
        <f t="shared" si="11"/>
        <v>2897383.124283446</v>
      </c>
      <c r="Q163" s="201">
        <f t="shared" si="12"/>
        <v>2033</v>
      </c>
      <c r="R163" s="201">
        <f t="shared" si="38"/>
        <v>13</v>
      </c>
      <c r="U163" s="210">
        <v>150</v>
      </c>
      <c r="V163" s="226">
        <f t="shared" si="39"/>
        <v>48945</v>
      </c>
      <c r="W163" s="227">
        <f t="shared" si="20"/>
        <v>1459725.2355756038</v>
      </c>
      <c r="X163" s="227">
        <f t="shared" si="40"/>
        <v>11618.17718951299</v>
      </c>
      <c r="Y163" s="227">
        <f t="shared" si="13"/>
        <v>7968.8641005739801</v>
      </c>
      <c r="Z163" s="227">
        <f t="shared" si="41"/>
        <v>3649.3130889390095</v>
      </c>
      <c r="AA163" s="227">
        <f t="shared" si="14"/>
        <v>1451756.3714750297</v>
      </c>
      <c r="AB163" s="201">
        <f t="shared" si="15"/>
        <v>2034</v>
      </c>
      <c r="AC163" s="201">
        <f t="shared" si="42"/>
        <v>13</v>
      </c>
    </row>
    <row r="164" spans="10:29" ht="14.4">
      <c r="J164" s="210">
        <v>151</v>
      </c>
      <c r="K164" s="226">
        <f t="shared" si="43"/>
        <v>48975</v>
      </c>
      <c r="L164" s="227">
        <f t="shared" si="16"/>
        <v>2897383.124283446</v>
      </c>
      <c r="M164" s="227">
        <f t="shared" si="37"/>
        <v>25290.377747270501</v>
      </c>
      <c r="N164" s="227">
        <f t="shared" si="9"/>
        <v>14425.191031207578</v>
      </c>
      <c r="O164" s="227">
        <f t="shared" si="36"/>
        <v>10865.186716062923</v>
      </c>
      <c r="P164" s="227">
        <f t="shared" si="11"/>
        <v>2882957.9332522382</v>
      </c>
      <c r="Q164" s="201">
        <f t="shared" si="12"/>
        <v>2034</v>
      </c>
      <c r="R164" s="201">
        <f t="shared" si="38"/>
        <v>13</v>
      </c>
      <c r="U164" s="210">
        <v>151</v>
      </c>
      <c r="V164" s="226">
        <f t="shared" si="39"/>
        <v>48976</v>
      </c>
      <c r="W164" s="227">
        <f t="shared" si="20"/>
        <v>1451756.3714750297</v>
      </c>
      <c r="X164" s="227">
        <f t="shared" si="40"/>
        <v>11618.17718951299</v>
      </c>
      <c r="Y164" s="227">
        <f t="shared" si="13"/>
        <v>7988.7862608254145</v>
      </c>
      <c r="Z164" s="227">
        <f t="shared" si="41"/>
        <v>3629.3909286875746</v>
      </c>
      <c r="AA164" s="227">
        <f t="shared" si="14"/>
        <v>1443767.5852142044</v>
      </c>
      <c r="AB164" s="201">
        <f t="shared" si="15"/>
        <v>2034</v>
      </c>
      <c r="AC164" s="201">
        <f t="shared" si="42"/>
        <v>13</v>
      </c>
    </row>
    <row r="165" spans="10:29" ht="14.4">
      <c r="J165" s="210">
        <v>152</v>
      </c>
      <c r="K165" s="226">
        <f t="shared" si="43"/>
        <v>49003</v>
      </c>
      <c r="L165" s="227">
        <f t="shared" si="16"/>
        <v>2882957.9332522382</v>
      </c>
      <c r="M165" s="227">
        <f t="shared" si="37"/>
        <v>25290.377747270501</v>
      </c>
      <c r="N165" s="227">
        <f t="shared" si="9"/>
        <v>14479.285497574609</v>
      </c>
      <c r="O165" s="227">
        <f t="shared" si="36"/>
        <v>10811.092249695892</v>
      </c>
      <c r="P165" s="227">
        <f t="shared" si="11"/>
        <v>2868478.6477546636</v>
      </c>
      <c r="Q165" s="201">
        <f t="shared" si="12"/>
        <v>2034</v>
      </c>
      <c r="R165" s="201">
        <f t="shared" si="38"/>
        <v>13</v>
      </c>
      <c r="U165" s="210">
        <v>152</v>
      </c>
      <c r="V165" s="226">
        <f t="shared" si="39"/>
        <v>49004</v>
      </c>
      <c r="W165" s="227">
        <f t="shared" si="20"/>
        <v>1443767.5852142044</v>
      </c>
      <c r="X165" s="227">
        <f t="shared" si="40"/>
        <v>11618.17718951299</v>
      </c>
      <c r="Y165" s="227">
        <f t="shared" si="13"/>
        <v>8008.7582264774792</v>
      </c>
      <c r="Z165" s="227">
        <f t="shared" si="41"/>
        <v>3609.4189630355108</v>
      </c>
      <c r="AA165" s="227">
        <f t="shared" si="14"/>
        <v>1435758.8269877268</v>
      </c>
      <c r="AB165" s="201">
        <f t="shared" si="15"/>
        <v>2034</v>
      </c>
      <c r="AC165" s="201">
        <f t="shared" si="42"/>
        <v>13</v>
      </c>
    </row>
    <row r="166" spans="10:29" ht="14.4">
      <c r="J166" s="210">
        <v>153</v>
      </c>
      <c r="K166" s="226">
        <f t="shared" si="43"/>
        <v>49034</v>
      </c>
      <c r="L166" s="227">
        <f t="shared" si="16"/>
        <v>2868478.6477546636</v>
      </c>
      <c r="M166" s="227">
        <f t="shared" si="37"/>
        <v>25290.377747270501</v>
      </c>
      <c r="N166" s="227">
        <f t="shared" si="9"/>
        <v>14533.582818190513</v>
      </c>
      <c r="O166" s="227">
        <f t="shared" si="36"/>
        <v>10756.794929079988</v>
      </c>
      <c r="P166" s="227">
        <f t="shared" si="11"/>
        <v>2853945.064936473</v>
      </c>
      <c r="Q166" s="201">
        <f t="shared" si="12"/>
        <v>2034</v>
      </c>
      <c r="R166" s="201">
        <f t="shared" si="38"/>
        <v>13</v>
      </c>
      <c r="U166" s="210">
        <v>153</v>
      </c>
      <c r="V166" s="226">
        <f t="shared" si="39"/>
        <v>49035</v>
      </c>
      <c r="W166" s="227">
        <f t="shared" si="20"/>
        <v>1435758.8269877268</v>
      </c>
      <c r="X166" s="227">
        <f t="shared" si="40"/>
        <v>11618.17718951299</v>
      </c>
      <c r="Y166" s="227">
        <f t="shared" si="13"/>
        <v>8028.7801220436722</v>
      </c>
      <c r="Z166" s="227">
        <f t="shared" si="41"/>
        <v>3589.3970674693173</v>
      </c>
      <c r="AA166" s="227">
        <f t="shared" si="14"/>
        <v>1427730.0468656833</v>
      </c>
      <c r="AB166" s="201">
        <f t="shared" si="15"/>
        <v>2034</v>
      </c>
      <c r="AC166" s="201">
        <f t="shared" si="42"/>
        <v>13</v>
      </c>
    </row>
    <row r="167" spans="10:29" ht="14.4">
      <c r="J167" s="210">
        <v>154</v>
      </c>
      <c r="K167" s="226">
        <f t="shared" si="43"/>
        <v>49064</v>
      </c>
      <c r="L167" s="227">
        <f t="shared" si="16"/>
        <v>2853945.064936473</v>
      </c>
      <c r="M167" s="227">
        <f t="shared" si="37"/>
        <v>25290.377747270501</v>
      </c>
      <c r="N167" s="227">
        <f t="shared" si="9"/>
        <v>14588.083753758727</v>
      </c>
      <c r="O167" s="227">
        <f t="shared" si="36"/>
        <v>10702.293993511774</v>
      </c>
      <c r="P167" s="227">
        <f t="shared" si="11"/>
        <v>2839356.9811827145</v>
      </c>
      <c r="Q167" s="201">
        <f t="shared" si="12"/>
        <v>2034</v>
      </c>
      <c r="R167" s="201">
        <f t="shared" si="38"/>
        <v>13</v>
      </c>
      <c r="U167" s="210">
        <v>154</v>
      </c>
      <c r="V167" s="226">
        <f t="shared" si="39"/>
        <v>49065</v>
      </c>
      <c r="W167" s="227">
        <f t="shared" si="20"/>
        <v>1427730.0468656833</v>
      </c>
      <c r="X167" s="227">
        <f t="shared" si="40"/>
        <v>11618.17718951299</v>
      </c>
      <c r="Y167" s="227">
        <f t="shared" si="13"/>
        <v>8048.8520723487818</v>
      </c>
      <c r="Z167" s="227">
        <f t="shared" si="41"/>
        <v>3569.3251171642082</v>
      </c>
      <c r="AA167" s="227">
        <f t="shared" si="14"/>
        <v>1419681.1947933345</v>
      </c>
      <c r="AB167" s="201">
        <f t="shared" si="15"/>
        <v>2034</v>
      </c>
      <c r="AC167" s="201">
        <f t="shared" si="42"/>
        <v>13</v>
      </c>
    </row>
    <row r="168" spans="10:29" ht="14.4">
      <c r="J168" s="210">
        <v>155</v>
      </c>
      <c r="K168" s="226">
        <f t="shared" si="43"/>
        <v>49095</v>
      </c>
      <c r="L168" s="227">
        <f t="shared" si="16"/>
        <v>2839356.9811827145</v>
      </c>
      <c r="M168" s="227">
        <f t="shared" si="37"/>
        <v>25290.377747270501</v>
      </c>
      <c r="N168" s="227">
        <f t="shared" si="9"/>
        <v>14642.789067835321</v>
      </c>
      <c r="O168" s="227">
        <f t="shared" si="36"/>
        <v>10647.588679435179</v>
      </c>
      <c r="P168" s="227">
        <f t="shared" si="11"/>
        <v>2824714.1921148789</v>
      </c>
      <c r="Q168" s="201">
        <f t="shared" si="12"/>
        <v>2034</v>
      </c>
      <c r="R168" s="201">
        <f t="shared" si="38"/>
        <v>13</v>
      </c>
      <c r="U168" s="210">
        <v>155</v>
      </c>
      <c r="V168" s="226">
        <f t="shared" si="39"/>
        <v>49096</v>
      </c>
      <c r="W168" s="227">
        <f t="shared" si="20"/>
        <v>1419681.1947933345</v>
      </c>
      <c r="X168" s="227">
        <f t="shared" si="40"/>
        <v>11618.17718951299</v>
      </c>
      <c r="Y168" s="227">
        <f t="shared" si="13"/>
        <v>8068.9742025296528</v>
      </c>
      <c r="Z168" s="227">
        <f t="shared" si="41"/>
        <v>3549.2029869833364</v>
      </c>
      <c r="AA168" s="227">
        <f t="shared" si="14"/>
        <v>1411612.2205908047</v>
      </c>
      <c r="AB168" s="201">
        <f t="shared" si="15"/>
        <v>2034</v>
      </c>
      <c r="AC168" s="201">
        <f t="shared" si="42"/>
        <v>13</v>
      </c>
    </row>
    <row r="169" spans="10:29" ht="14.4">
      <c r="J169" s="210">
        <v>156</v>
      </c>
      <c r="K169" s="226">
        <f t="shared" si="43"/>
        <v>49125</v>
      </c>
      <c r="L169" s="227">
        <f t="shared" si="16"/>
        <v>2824714.1921148789</v>
      </c>
      <c r="M169" s="227">
        <f t="shared" si="37"/>
        <v>25290.377747270501</v>
      </c>
      <c r="N169" s="227">
        <f t="shared" si="9"/>
        <v>14697.699526839706</v>
      </c>
      <c r="O169" s="227">
        <f t="shared" si="36"/>
        <v>10592.678220430795</v>
      </c>
      <c r="P169" s="227">
        <f t="shared" si="11"/>
        <v>2810016.492588039</v>
      </c>
      <c r="Q169" s="201">
        <f t="shared" si="12"/>
        <v>2034</v>
      </c>
      <c r="R169" s="201">
        <f t="shared" si="38"/>
        <v>13</v>
      </c>
      <c r="U169" s="210">
        <v>156</v>
      </c>
      <c r="V169" s="226">
        <f t="shared" si="39"/>
        <v>49126</v>
      </c>
      <c r="W169" s="227">
        <f t="shared" si="20"/>
        <v>1411612.2205908047</v>
      </c>
      <c r="X169" s="227">
        <f t="shared" si="40"/>
        <v>11618.17718951299</v>
      </c>
      <c r="Y169" s="227">
        <f t="shared" si="13"/>
        <v>8089.146638035978</v>
      </c>
      <c r="Z169" s="227">
        <f t="shared" si="41"/>
        <v>3529.0305514770116</v>
      </c>
      <c r="AA169" s="227">
        <f t="shared" si="14"/>
        <v>1403523.0739527687</v>
      </c>
      <c r="AB169" s="201">
        <f t="shared" si="15"/>
        <v>2034</v>
      </c>
      <c r="AC169" s="201">
        <f t="shared" si="42"/>
        <v>13</v>
      </c>
    </row>
    <row r="170" spans="10:29" ht="14.4">
      <c r="J170" s="210">
        <v>157</v>
      </c>
      <c r="K170" s="226">
        <f t="shared" si="43"/>
        <v>49156</v>
      </c>
      <c r="L170" s="227">
        <f t="shared" si="16"/>
        <v>2810016.492588039</v>
      </c>
      <c r="M170" s="227">
        <f t="shared" si="37"/>
        <v>25290.377747270501</v>
      </c>
      <c r="N170" s="227">
        <f t="shared" si="9"/>
        <v>14752.815900065354</v>
      </c>
      <c r="O170" s="227">
        <f t="shared" si="36"/>
        <v>10537.561847205146</v>
      </c>
      <c r="P170" s="227">
        <f t="shared" si="11"/>
        <v>2795263.6766879736</v>
      </c>
      <c r="Q170" s="201">
        <f t="shared" si="12"/>
        <v>2034</v>
      </c>
      <c r="R170" s="201">
        <f t="shared" si="38"/>
        <v>14</v>
      </c>
      <c r="U170" s="210">
        <v>157</v>
      </c>
      <c r="V170" s="226">
        <f t="shared" si="39"/>
        <v>49157</v>
      </c>
      <c r="W170" s="227">
        <f t="shared" si="20"/>
        <v>1403523.0739527687</v>
      </c>
      <c r="X170" s="227">
        <f t="shared" si="40"/>
        <v>11618.17718951299</v>
      </c>
      <c r="Y170" s="227">
        <f t="shared" si="13"/>
        <v>8109.3695046310677</v>
      </c>
      <c r="Z170" s="227">
        <f t="shared" si="41"/>
        <v>3508.8076848819219</v>
      </c>
      <c r="AA170" s="227">
        <f t="shared" si="14"/>
        <v>1395413.7044481377</v>
      </c>
      <c r="AB170" s="201">
        <f t="shared" si="15"/>
        <v>2034</v>
      </c>
      <c r="AC170" s="201">
        <f t="shared" si="42"/>
        <v>14</v>
      </c>
    </row>
    <row r="171" spans="10:29" ht="14.4">
      <c r="J171" s="210">
        <v>158</v>
      </c>
      <c r="K171" s="226">
        <f t="shared" si="43"/>
        <v>49187</v>
      </c>
      <c r="L171" s="227">
        <f t="shared" si="16"/>
        <v>2795263.6766879736</v>
      </c>
      <c r="M171" s="227">
        <f t="shared" si="37"/>
        <v>25290.377747270501</v>
      </c>
      <c r="N171" s="227">
        <f t="shared" si="9"/>
        <v>14808.138959690599</v>
      </c>
      <c r="O171" s="227">
        <f t="shared" si="36"/>
        <v>10482.238787579901</v>
      </c>
      <c r="P171" s="227">
        <f t="shared" si="11"/>
        <v>2780455.5377282831</v>
      </c>
      <c r="Q171" s="201">
        <f t="shared" si="12"/>
        <v>2034</v>
      </c>
      <c r="R171" s="201">
        <f t="shared" si="38"/>
        <v>14</v>
      </c>
      <c r="U171" s="210">
        <v>158</v>
      </c>
      <c r="V171" s="226">
        <f t="shared" si="39"/>
        <v>49188</v>
      </c>
      <c r="W171" s="227">
        <f t="shared" si="20"/>
        <v>1395413.7044481377</v>
      </c>
      <c r="X171" s="227">
        <f t="shared" si="40"/>
        <v>11618.17718951299</v>
      </c>
      <c r="Y171" s="227">
        <f t="shared" si="13"/>
        <v>8129.6429283926454</v>
      </c>
      <c r="Z171" s="227">
        <f t="shared" si="41"/>
        <v>3488.5342611203441</v>
      </c>
      <c r="AA171" s="227">
        <f t="shared" si="14"/>
        <v>1387284.061519745</v>
      </c>
      <c r="AB171" s="201">
        <f t="shared" si="15"/>
        <v>2034</v>
      </c>
      <c r="AC171" s="201">
        <f t="shared" si="42"/>
        <v>14</v>
      </c>
    </row>
    <row r="172" spans="10:29" ht="14.4">
      <c r="J172" s="210">
        <v>159</v>
      </c>
      <c r="K172" s="226">
        <f t="shared" si="43"/>
        <v>49217</v>
      </c>
      <c r="L172" s="227">
        <f t="shared" si="16"/>
        <v>2780455.5377282831</v>
      </c>
      <c r="M172" s="227">
        <f t="shared" si="37"/>
        <v>25290.377747270501</v>
      </c>
      <c r="N172" s="227">
        <f t="shared" si="9"/>
        <v>14863.66948078944</v>
      </c>
      <c r="O172" s="227">
        <f t="shared" si="36"/>
        <v>10426.70826648106</v>
      </c>
      <c r="P172" s="227">
        <f t="shared" si="11"/>
        <v>2765591.8682474936</v>
      </c>
      <c r="Q172" s="201">
        <f t="shared" si="12"/>
        <v>2034</v>
      </c>
      <c r="R172" s="201">
        <f t="shared" si="38"/>
        <v>14</v>
      </c>
      <c r="U172" s="210">
        <v>159</v>
      </c>
      <c r="V172" s="226">
        <f t="shared" si="39"/>
        <v>49218</v>
      </c>
      <c r="W172" s="227">
        <f t="shared" si="20"/>
        <v>1387284.061519745</v>
      </c>
      <c r="X172" s="227">
        <f t="shared" si="40"/>
        <v>11618.17718951299</v>
      </c>
      <c r="Y172" s="227">
        <f t="shared" si="13"/>
        <v>8149.9670357136274</v>
      </c>
      <c r="Z172" s="227">
        <f t="shared" si="41"/>
        <v>3468.2101537993626</v>
      </c>
      <c r="AA172" s="227">
        <f t="shared" si="14"/>
        <v>1379134.0944840314</v>
      </c>
      <c r="AB172" s="201">
        <f t="shared" si="15"/>
        <v>2034</v>
      </c>
      <c r="AC172" s="201">
        <f t="shared" si="42"/>
        <v>14</v>
      </c>
    </row>
    <row r="173" spans="10:29" ht="14.4">
      <c r="J173" s="210">
        <v>160</v>
      </c>
      <c r="K173" s="226">
        <f t="shared" si="43"/>
        <v>49248</v>
      </c>
      <c r="L173" s="227">
        <f t="shared" si="16"/>
        <v>2765591.8682474936</v>
      </c>
      <c r="M173" s="227">
        <f t="shared" si="37"/>
        <v>25290.377747270501</v>
      </c>
      <c r="N173" s="227">
        <f t="shared" si="9"/>
        <v>14919.4082413424</v>
      </c>
      <c r="O173" s="227">
        <f t="shared" si="36"/>
        <v>10370.9695059281</v>
      </c>
      <c r="P173" s="227">
        <f t="shared" si="11"/>
        <v>2750672.4600061513</v>
      </c>
      <c r="Q173" s="201">
        <f t="shared" si="12"/>
        <v>2034</v>
      </c>
      <c r="R173" s="201">
        <f t="shared" si="38"/>
        <v>14</v>
      </c>
      <c r="U173" s="210">
        <v>160</v>
      </c>
      <c r="V173" s="226">
        <f t="shared" si="39"/>
        <v>49249</v>
      </c>
      <c r="W173" s="227">
        <f t="shared" si="20"/>
        <v>1379134.0944840314</v>
      </c>
      <c r="X173" s="227">
        <f t="shared" si="40"/>
        <v>11618.17718951299</v>
      </c>
      <c r="Y173" s="227">
        <f t="shared" si="13"/>
        <v>8170.341953302911</v>
      </c>
      <c r="Z173" s="227">
        <f t="shared" si="41"/>
        <v>3447.8352362100786</v>
      </c>
      <c r="AA173" s="227">
        <f t="shared" si="14"/>
        <v>1370963.7525307285</v>
      </c>
      <c r="AB173" s="201">
        <f t="shared" si="15"/>
        <v>2034</v>
      </c>
      <c r="AC173" s="201">
        <f t="shared" si="42"/>
        <v>14</v>
      </c>
    </row>
    <row r="174" spans="10:29" ht="14.4">
      <c r="J174" s="210">
        <v>161</v>
      </c>
      <c r="K174" s="226">
        <f t="shared" si="43"/>
        <v>49278</v>
      </c>
      <c r="L174" s="227">
        <f t="shared" si="16"/>
        <v>2750672.4600061513</v>
      </c>
      <c r="M174" s="227">
        <f t="shared" si="37"/>
        <v>25290.377747270501</v>
      </c>
      <c r="N174" s="227">
        <f t="shared" si="9"/>
        <v>14975.356022247433</v>
      </c>
      <c r="O174" s="227">
        <f t="shared" ref="O174:O193" si="44">L174*$K$6</f>
        <v>10315.021725023067</v>
      </c>
      <c r="P174" s="227">
        <f t="shared" si="11"/>
        <v>2735697.1039839038</v>
      </c>
      <c r="Q174" s="201">
        <f t="shared" si="12"/>
        <v>2034</v>
      </c>
      <c r="R174" s="201">
        <f t="shared" si="38"/>
        <v>14</v>
      </c>
      <c r="U174" s="210">
        <v>161</v>
      </c>
      <c r="V174" s="226">
        <f t="shared" si="39"/>
        <v>49279</v>
      </c>
      <c r="W174" s="227">
        <f t="shared" si="20"/>
        <v>1370963.7525307285</v>
      </c>
      <c r="X174" s="227">
        <f t="shared" si="40"/>
        <v>11618.17718951299</v>
      </c>
      <c r="Y174" s="227">
        <f t="shared" si="13"/>
        <v>8190.7678081861686</v>
      </c>
      <c r="Z174" s="227">
        <f t="shared" si="41"/>
        <v>3427.4093813268214</v>
      </c>
      <c r="AA174" s="227">
        <f t="shared" si="14"/>
        <v>1362772.9847225423</v>
      </c>
      <c r="AB174" s="201">
        <f t="shared" si="15"/>
        <v>2034</v>
      </c>
      <c r="AC174" s="201">
        <f t="shared" si="42"/>
        <v>14</v>
      </c>
    </row>
    <row r="175" spans="10:29" ht="14.4">
      <c r="J175" s="210">
        <v>162</v>
      </c>
      <c r="K175" s="226">
        <f t="shared" si="43"/>
        <v>49309</v>
      </c>
      <c r="L175" s="227">
        <f t="shared" si="16"/>
        <v>2735697.1039839038</v>
      </c>
      <c r="M175" s="227">
        <f t="shared" si="37"/>
        <v>25290.377747270501</v>
      </c>
      <c r="N175" s="227">
        <f t="shared" si="9"/>
        <v>15031.513607330862</v>
      </c>
      <c r="O175" s="227">
        <f t="shared" si="44"/>
        <v>10258.864139939638</v>
      </c>
      <c r="P175" s="227">
        <f t="shared" si="11"/>
        <v>2720665.5903765727</v>
      </c>
      <c r="Q175" s="201">
        <f t="shared" si="12"/>
        <v>2034</v>
      </c>
      <c r="R175" s="201">
        <f t="shared" si="38"/>
        <v>14</v>
      </c>
      <c r="U175" s="210">
        <v>162</v>
      </c>
      <c r="V175" s="226">
        <f t="shared" si="39"/>
        <v>49310</v>
      </c>
      <c r="W175" s="227">
        <f t="shared" si="20"/>
        <v>1362772.9847225423</v>
      </c>
      <c r="X175" s="227">
        <f t="shared" si="40"/>
        <v>11618.17718951299</v>
      </c>
      <c r="Y175" s="227">
        <f t="shared" si="13"/>
        <v>8211.2447277066331</v>
      </c>
      <c r="Z175" s="227">
        <f t="shared" si="41"/>
        <v>3406.9324618063561</v>
      </c>
      <c r="AA175" s="227">
        <f t="shared" si="14"/>
        <v>1354561.7399948358</v>
      </c>
      <c r="AB175" s="201">
        <f t="shared" si="15"/>
        <v>2035</v>
      </c>
      <c r="AC175" s="201">
        <f t="shared" si="42"/>
        <v>14</v>
      </c>
    </row>
    <row r="176" spans="10:29" ht="14.4">
      <c r="J176" s="210">
        <v>163</v>
      </c>
      <c r="K176" s="226">
        <f t="shared" si="43"/>
        <v>49340</v>
      </c>
      <c r="L176" s="227">
        <f t="shared" si="16"/>
        <v>2720665.5903765727</v>
      </c>
      <c r="M176" s="227">
        <f t="shared" si="37"/>
        <v>25290.377747270501</v>
      </c>
      <c r="N176" s="227">
        <f t="shared" si="9"/>
        <v>15087.881783358353</v>
      </c>
      <c r="O176" s="227">
        <f t="shared" si="44"/>
        <v>10202.495963912148</v>
      </c>
      <c r="P176" s="227">
        <f t="shared" si="11"/>
        <v>2705577.7085932144</v>
      </c>
      <c r="Q176" s="201">
        <f t="shared" si="12"/>
        <v>2035</v>
      </c>
      <c r="R176" s="201">
        <f t="shared" si="38"/>
        <v>14</v>
      </c>
      <c r="U176" s="210">
        <v>163</v>
      </c>
      <c r="V176" s="226">
        <f t="shared" si="39"/>
        <v>49341</v>
      </c>
      <c r="W176" s="227">
        <f t="shared" si="20"/>
        <v>1354561.7399948358</v>
      </c>
      <c r="X176" s="227">
        <f t="shared" si="40"/>
        <v>11618.17718951299</v>
      </c>
      <c r="Y176" s="227">
        <f t="shared" si="13"/>
        <v>8231.7728395259001</v>
      </c>
      <c r="Z176" s="227">
        <f t="shared" si="41"/>
        <v>3386.4043499870895</v>
      </c>
      <c r="AA176" s="227">
        <f t="shared" si="14"/>
        <v>1346329.9671553099</v>
      </c>
      <c r="AB176" s="201">
        <f t="shared" si="15"/>
        <v>2035</v>
      </c>
      <c r="AC176" s="201">
        <f t="shared" si="42"/>
        <v>14</v>
      </c>
    </row>
    <row r="177" spans="10:29" ht="14.4">
      <c r="J177" s="210">
        <v>164</v>
      </c>
      <c r="K177" s="226">
        <f t="shared" si="43"/>
        <v>49368</v>
      </c>
      <c r="L177" s="227">
        <f t="shared" si="16"/>
        <v>2705577.7085932144</v>
      </c>
      <c r="M177" s="227">
        <f t="shared" si="37"/>
        <v>25290.377747270501</v>
      </c>
      <c r="N177" s="227">
        <f t="shared" si="9"/>
        <v>15144.461340045948</v>
      </c>
      <c r="O177" s="227">
        <f t="shared" si="44"/>
        <v>10145.916407224553</v>
      </c>
      <c r="P177" s="227">
        <f t="shared" si="11"/>
        <v>2690433.2472531684</v>
      </c>
      <c r="Q177" s="201">
        <f t="shared" si="12"/>
        <v>2035</v>
      </c>
      <c r="R177" s="201">
        <f t="shared" si="38"/>
        <v>14</v>
      </c>
      <c r="U177" s="210">
        <v>164</v>
      </c>
      <c r="V177" s="226">
        <f t="shared" si="39"/>
        <v>49369</v>
      </c>
      <c r="W177" s="227">
        <f t="shared" si="20"/>
        <v>1346329.9671553099</v>
      </c>
      <c r="X177" s="227">
        <f t="shared" si="40"/>
        <v>11618.17718951299</v>
      </c>
      <c r="Y177" s="227">
        <f t="shared" si="13"/>
        <v>8252.3522716247153</v>
      </c>
      <c r="Z177" s="227">
        <f t="shared" si="41"/>
        <v>3365.8249178882747</v>
      </c>
      <c r="AA177" s="227">
        <f t="shared" si="14"/>
        <v>1338077.6148836853</v>
      </c>
      <c r="AB177" s="201">
        <f t="shared" si="15"/>
        <v>2035</v>
      </c>
      <c r="AC177" s="201">
        <f t="shared" si="42"/>
        <v>14</v>
      </c>
    </row>
    <row r="178" spans="10:29" ht="14.4">
      <c r="J178" s="210">
        <v>165</v>
      </c>
      <c r="K178" s="226">
        <f t="shared" si="43"/>
        <v>49399</v>
      </c>
      <c r="L178" s="227">
        <f t="shared" si="16"/>
        <v>2690433.2472531684</v>
      </c>
      <c r="M178" s="227">
        <f t="shared" si="37"/>
        <v>25290.377747270501</v>
      </c>
      <c r="N178" s="227">
        <f t="shared" si="9"/>
        <v>15201.25307007112</v>
      </c>
      <c r="O178" s="227">
        <f t="shared" si="44"/>
        <v>10089.124677199381</v>
      </c>
      <c r="P178" s="227">
        <f t="shared" si="11"/>
        <v>2675231.994183097</v>
      </c>
      <c r="Q178" s="201">
        <f t="shared" si="12"/>
        <v>2035</v>
      </c>
      <c r="R178" s="201">
        <f t="shared" si="38"/>
        <v>14</v>
      </c>
      <c r="U178" s="210">
        <v>165</v>
      </c>
      <c r="V178" s="226">
        <f t="shared" si="39"/>
        <v>49400</v>
      </c>
      <c r="W178" s="227">
        <f t="shared" si="20"/>
        <v>1338077.6148836853</v>
      </c>
      <c r="X178" s="227">
        <f t="shared" si="40"/>
        <v>11618.17718951299</v>
      </c>
      <c r="Y178" s="227">
        <f t="shared" si="13"/>
        <v>8272.9831523037756</v>
      </c>
      <c r="Z178" s="227">
        <f t="shared" si="41"/>
        <v>3345.1940372092131</v>
      </c>
      <c r="AA178" s="227">
        <f t="shared" si="14"/>
        <v>1329804.6317313814</v>
      </c>
      <c r="AB178" s="201">
        <f t="shared" si="15"/>
        <v>2035</v>
      </c>
      <c r="AC178" s="201">
        <f t="shared" si="42"/>
        <v>14</v>
      </c>
    </row>
    <row r="179" spans="10:29" ht="14.4">
      <c r="J179" s="210">
        <v>166</v>
      </c>
      <c r="K179" s="226">
        <f t="shared" si="43"/>
        <v>49429</v>
      </c>
      <c r="L179" s="227">
        <f t="shared" si="16"/>
        <v>2675231.994183097</v>
      </c>
      <c r="M179" s="227">
        <f t="shared" si="37"/>
        <v>25290.377747270501</v>
      </c>
      <c r="N179" s="227">
        <f t="shared" si="9"/>
        <v>15258.257769083886</v>
      </c>
      <c r="O179" s="227">
        <f t="shared" si="44"/>
        <v>10032.119978186614</v>
      </c>
      <c r="P179" s="227">
        <f t="shared" si="11"/>
        <v>2659973.736414013</v>
      </c>
      <c r="Q179" s="201">
        <f t="shared" si="12"/>
        <v>2035</v>
      </c>
      <c r="R179" s="201">
        <f t="shared" si="38"/>
        <v>14</v>
      </c>
      <c r="U179" s="210">
        <v>166</v>
      </c>
      <c r="V179" s="226">
        <f t="shared" si="39"/>
        <v>49430</v>
      </c>
      <c r="W179" s="227">
        <f t="shared" si="20"/>
        <v>1329804.6317313814</v>
      </c>
      <c r="X179" s="227">
        <f t="shared" si="40"/>
        <v>11618.17718951299</v>
      </c>
      <c r="Y179" s="227">
        <f t="shared" si="13"/>
        <v>8293.6656101845365</v>
      </c>
      <c r="Z179" s="227">
        <f t="shared" si="41"/>
        <v>3324.5115793284535</v>
      </c>
      <c r="AA179" s="227">
        <f t="shared" si="14"/>
        <v>1321510.966121197</v>
      </c>
      <c r="AB179" s="201">
        <f t="shared" si="15"/>
        <v>2035</v>
      </c>
      <c r="AC179" s="201">
        <f t="shared" si="42"/>
        <v>14</v>
      </c>
    </row>
    <row r="180" spans="10:29" ht="14.4">
      <c r="J180" s="210">
        <v>167</v>
      </c>
      <c r="K180" s="226">
        <f t="shared" si="43"/>
        <v>49460</v>
      </c>
      <c r="L180" s="227">
        <f t="shared" si="16"/>
        <v>2659973.736414013</v>
      </c>
      <c r="M180" s="227">
        <f t="shared" si="37"/>
        <v>25290.377747270501</v>
      </c>
      <c r="N180" s="227">
        <f t="shared" si="9"/>
        <v>15315.476235717952</v>
      </c>
      <c r="O180" s="227">
        <f t="shared" si="44"/>
        <v>9974.901511552549</v>
      </c>
      <c r="P180" s="227">
        <f t="shared" si="11"/>
        <v>2644658.260178295</v>
      </c>
      <c r="Q180" s="201">
        <f t="shared" si="12"/>
        <v>2035</v>
      </c>
      <c r="R180" s="201">
        <f t="shared" si="38"/>
        <v>14</v>
      </c>
      <c r="U180" s="210">
        <v>167</v>
      </c>
      <c r="V180" s="226">
        <f t="shared" si="39"/>
        <v>49461</v>
      </c>
      <c r="W180" s="227">
        <f t="shared" si="20"/>
        <v>1321510.966121197</v>
      </c>
      <c r="X180" s="227">
        <f t="shared" si="40"/>
        <v>11618.17718951299</v>
      </c>
      <c r="Y180" s="227">
        <f t="shared" si="13"/>
        <v>8314.3997742099964</v>
      </c>
      <c r="Z180" s="227">
        <f t="shared" si="41"/>
        <v>3303.7774153029927</v>
      </c>
      <c r="AA180" s="227">
        <f t="shared" si="14"/>
        <v>1313196.5663469869</v>
      </c>
      <c r="AB180" s="201">
        <f t="shared" si="15"/>
        <v>2035</v>
      </c>
      <c r="AC180" s="201">
        <f t="shared" si="42"/>
        <v>14</v>
      </c>
    </row>
    <row r="181" spans="10:29" ht="14.4">
      <c r="J181" s="210">
        <v>168</v>
      </c>
      <c r="K181" s="226">
        <f t="shared" si="43"/>
        <v>49490</v>
      </c>
      <c r="L181" s="227">
        <f t="shared" si="16"/>
        <v>2644658.260178295</v>
      </c>
      <c r="M181" s="227">
        <f t="shared" si="37"/>
        <v>25290.377747270501</v>
      </c>
      <c r="N181" s="227">
        <f t="shared" si="9"/>
        <v>15372.909271601895</v>
      </c>
      <c r="O181" s="227">
        <f t="shared" si="44"/>
        <v>9917.4684756686056</v>
      </c>
      <c r="P181" s="227">
        <f t="shared" si="11"/>
        <v>2629285.3509066929</v>
      </c>
      <c r="Q181" s="201">
        <f t="shared" si="12"/>
        <v>2035</v>
      </c>
      <c r="R181" s="201">
        <f t="shared" si="38"/>
        <v>14</v>
      </c>
      <c r="U181" s="210">
        <v>168</v>
      </c>
      <c r="V181" s="226">
        <f t="shared" si="39"/>
        <v>49491</v>
      </c>
      <c r="W181" s="227">
        <f t="shared" si="20"/>
        <v>1313196.5663469869</v>
      </c>
      <c r="X181" s="227">
        <f t="shared" si="40"/>
        <v>11618.17718951299</v>
      </c>
      <c r="Y181" s="227">
        <f t="shared" si="13"/>
        <v>8335.1857736455222</v>
      </c>
      <c r="Z181" s="227">
        <f t="shared" si="41"/>
        <v>3282.9914158674674</v>
      </c>
      <c r="AA181" s="227">
        <f t="shared" si="14"/>
        <v>1304861.3805733414</v>
      </c>
      <c r="AB181" s="201">
        <f t="shared" si="15"/>
        <v>2035</v>
      </c>
      <c r="AC181" s="201">
        <f t="shared" si="42"/>
        <v>14</v>
      </c>
    </row>
    <row r="182" spans="10:29" ht="14.4">
      <c r="J182" s="210">
        <v>169</v>
      </c>
      <c r="K182" s="226">
        <f t="shared" si="43"/>
        <v>49521</v>
      </c>
      <c r="L182" s="227">
        <f t="shared" si="16"/>
        <v>2629285.3509066929</v>
      </c>
      <c r="M182" s="227">
        <f t="shared" si="37"/>
        <v>25290.377747270501</v>
      </c>
      <c r="N182" s="227">
        <f t="shared" si="9"/>
        <v>15430.557681370403</v>
      </c>
      <c r="O182" s="227">
        <f t="shared" si="44"/>
        <v>9859.8200659000977</v>
      </c>
      <c r="P182" s="227">
        <f t="shared" si="11"/>
        <v>2613854.7932253224</v>
      </c>
      <c r="Q182" s="201">
        <f t="shared" si="12"/>
        <v>2035</v>
      </c>
      <c r="R182" s="201">
        <f t="shared" si="38"/>
        <v>15</v>
      </c>
      <c r="U182" s="210">
        <v>169</v>
      </c>
      <c r="V182" s="226">
        <f t="shared" si="39"/>
        <v>49522</v>
      </c>
      <c r="W182" s="227">
        <f t="shared" si="20"/>
        <v>1304861.3805733414</v>
      </c>
      <c r="X182" s="227">
        <f t="shared" si="40"/>
        <v>11618.17718951299</v>
      </c>
      <c r="Y182" s="227">
        <f t="shared" si="13"/>
        <v>8356.0237380796352</v>
      </c>
      <c r="Z182" s="227">
        <f t="shared" si="41"/>
        <v>3262.1534514333534</v>
      </c>
      <c r="AA182" s="227">
        <f t="shared" si="14"/>
        <v>1296505.3568352617</v>
      </c>
      <c r="AB182" s="201">
        <f t="shared" si="15"/>
        <v>2035</v>
      </c>
      <c r="AC182" s="201">
        <f t="shared" si="42"/>
        <v>15</v>
      </c>
    </row>
    <row r="183" spans="10:29" ht="14.4">
      <c r="J183" s="210">
        <v>170</v>
      </c>
      <c r="K183" s="226">
        <f t="shared" si="43"/>
        <v>49552</v>
      </c>
      <c r="L183" s="227">
        <f t="shared" si="16"/>
        <v>2613854.7932253224</v>
      </c>
      <c r="M183" s="227">
        <f t="shared" si="37"/>
        <v>25290.377747270501</v>
      </c>
      <c r="N183" s="227">
        <f t="shared" si="9"/>
        <v>15488.422272675542</v>
      </c>
      <c r="O183" s="227">
        <f t="shared" si="44"/>
        <v>9801.955474594959</v>
      </c>
      <c r="P183" s="227">
        <f t="shared" si="11"/>
        <v>2598366.3709526467</v>
      </c>
      <c r="Q183" s="201">
        <f t="shared" si="12"/>
        <v>2035</v>
      </c>
      <c r="R183" s="201">
        <f t="shared" si="38"/>
        <v>15</v>
      </c>
      <c r="U183" s="210">
        <v>170</v>
      </c>
      <c r="V183" s="226">
        <f t="shared" si="39"/>
        <v>49553</v>
      </c>
      <c r="W183" s="227">
        <f t="shared" si="20"/>
        <v>1296505.3568352617</v>
      </c>
      <c r="X183" s="227">
        <f t="shared" si="40"/>
        <v>11618.17718951299</v>
      </c>
      <c r="Y183" s="227">
        <f t="shared" si="13"/>
        <v>8376.9137974248351</v>
      </c>
      <c r="Z183" s="227">
        <f t="shared" si="41"/>
        <v>3241.2633920881544</v>
      </c>
      <c r="AA183" s="227">
        <f t="shared" si="14"/>
        <v>1288128.4430378368</v>
      </c>
      <c r="AB183" s="201">
        <f t="shared" si="15"/>
        <v>2035</v>
      </c>
      <c r="AC183" s="201">
        <f t="shared" si="42"/>
        <v>15</v>
      </c>
    </row>
    <row r="184" spans="10:29" ht="14.4">
      <c r="J184" s="210">
        <v>171</v>
      </c>
      <c r="K184" s="226">
        <f t="shared" si="43"/>
        <v>49582</v>
      </c>
      <c r="L184" s="227">
        <f t="shared" si="16"/>
        <v>2598366.3709526467</v>
      </c>
      <c r="M184" s="227">
        <f t="shared" si="37"/>
        <v>25290.377747270501</v>
      </c>
      <c r="N184" s="227">
        <f t="shared" si="9"/>
        <v>15546.503856198076</v>
      </c>
      <c r="O184" s="227">
        <f t="shared" si="44"/>
        <v>9743.8738910724242</v>
      </c>
      <c r="P184" s="227">
        <f t="shared" si="11"/>
        <v>2582819.8670964488</v>
      </c>
      <c r="Q184" s="201">
        <f t="shared" si="12"/>
        <v>2035</v>
      </c>
      <c r="R184" s="201">
        <f t="shared" si="38"/>
        <v>15</v>
      </c>
      <c r="U184" s="210">
        <v>171</v>
      </c>
      <c r="V184" s="226">
        <f t="shared" si="39"/>
        <v>49583</v>
      </c>
      <c r="W184" s="227">
        <f t="shared" si="20"/>
        <v>1288128.4430378368</v>
      </c>
      <c r="X184" s="227">
        <f t="shared" si="40"/>
        <v>11618.17718951299</v>
      </c>
      <c r="Y184" s="227">
        <f t="shared" si="13"/>
        <v>8397.8560819183986</v>
      </c>
      <c r="Z184" s="227">
        <f t="shared" si="41"/>
        <v>3220.3211075945919</v>
      </c>
      <c r="AA184" s="227">
        <f t="shared" si="14"/>
        <v>1279730.5869559185</v>
      </c>
      <c r="AB184" s="201">
        <f t="shared" si="15"/>
        <v>2035</v>
      </c>
      <c r="AC184" s="201">
        <f t="shared" si="42"/>
        <v>15</v>
      </c>
    </row>
    <row r="185" spans="10:29" ht="14.4">
      <c r="J185" s="210">
        <v>172</v>
      </c>
      <c r="K185" s="226">
        <f t="shared" si="43"/>
        <v>49613</v>
      </c>
      <c r="L185" s="227">
        <f t="shared" si="16"/>
        <v>2582819.8670964488</v>
      </c>
      <c r="M185" s="227">
        <f t="shared" si="37"/>
        <v>25290.377747270501</v>
      </c>
      <c r="N185" s="227">
        <f t="shared" si="9"/>
        <v>15604.803245658817</v>
      </c>
      <c r="O185" s="227">
        <f t="shared" si="44"/>
        <v>9685.5745016116834</v>
      </c>
      <c r="P185" s="227">
        <f t="shared" si="11"/>
        <v>2567215.0638507898</v>
      </c>
      <c r="Q185" s="201">
        <f t="shared" si="12"/>
        <v>2035</v>
      </c>
      <c r="R185" s="201">
        <f t="shared" si="38"/>
        <v>15</v>
      </c>
      <c r="U185" s="210">
        <v>172</v>
      </c>
      <c r="V185" s="226">
        <f t="shared" si="39"/>
        <v>49614</v>
      </c>
      <c r="W185" s="227">
        <f t="shared" si="20"/>
        <v>1279730.5869559185</v>
      </c>
      <c r="X185" s="227">
        <f t="shared" si="40"/>
        <v>11618.17718951299</v>
      </c>
      <c r="Y185" s="227">
        <f t="shared" si="13"/>
        <v>8418.8507221231939</v>
      </c>
      <c r="Z185" s="227">
        <f t="shared" si="41"/>
        <v>3199.3264673897961</v>
      </c>
      <c r="AA185" s="227">
        <f t="shared" si="14"/>
        <v>1271311.7362337953</v>
      </c>
      <c r="AB185" s="201">
        <f t="shared" si="15"/>
        <v>2035</v>
      </c>
      <c r="AC185" s="201">
        <f t="shared" si="42"/>
        <v>15</v>
      </c>
    </row>
    <row r="186" spans="10:29" ht="14.4">
      <c r="J186" s="210">
        <v>173</v>
      </c>
      <c r="K186" s="226">
        <f t="shared" si="43"/>
        <v>49643</v>
      </c>
      <c r="L186" s="227">
        <f t="shared" si="16"/>
        <v>2567215.0638507898</v>
      </c>
      <c r="M186" s="227">
        <f t="shared" si="37"/>
        <v>25290.377747270501</v>
      </c>
      <c r="N186" s="227">
        <f t="shared" si="9"/>
        <v>15663.321257830039</v>
      </c>
      <c r="O186" s="227">
        <f t="shared" si="44"/>
        <v>9627.0564894404615</v>
      </c>
      <c r="P186" s="227">
        <f t="shared" si="11"/>
        <v>2551551.7425929597</v>
      </c>
      <c r="Q186" s="201">
        <f t="shared" si="12"/>
        <v>2035</v>
      </c>
      <c r="R186" s="201">
        <f t="shared" si="38"/>
        <v>15</v>
      </c>
      <c r="U186" s="210">
        <v>173</v>
      </c>
      <c r="V186" s="226">
        <f t="shared" si="39"/>
        <v>49644</v>
      </c>
      <c r="W186" s="227">
        <f t="shared" si="20"/>
        <v>1271311.7362337953</v>
      </c>
      <c r="X186" s="227">
        <f t="shared" si="40"/>
        <v>11618.17718951299</v>
      </c>
      <c r="Y186" s="227">
        <f t="shared" si="13"/>
        <v>8439.8978489285018</v>
      </c>
      <c r="Z186" s="227">
        <f t="shared" si="41"/>
        <v>3178.2793405844882</v>
      </c>
      <c r="AA186" s="227">
        <f t="shared" si="14"/>
        <v>1262871.8383848667</v>
      </c>
      <c r="AB186" s="201">
        <f t="shared" si="15"/>
        <v>2035</v>
      </c>
      <c r="AC186" s="201">
        <f t="shared" si="42"/>
        <v>15</v>
      </c>
    </row>
    <row r="187" spans="10:29" ht="14.4">
      <c r="J187" s="210">
        <v>174</v>
      </c>
      <c r="K187" s="226">
        <f t="shared" si="43"/>
        <v>49674</v>
      </c>
      <c r="L187" s="227">
        <f t="shared" si="16"/>
        <v>2551551.7425929597</v>
      </c>
      <c r="M187" s="227">
        <f t="shared" si="37"/>
        <v>25290.377747270501</v>
      </c>
      <c r="N187" s="227">
        <f t="shared" si="9"/>
        <v>15722.058712546903</v>
      </c>
      <c r="O187" s="227">
        <f t="shared" si="44"/>
        <v>9568.3190347235977</v>
      </c>
      <c r="P187" s="227">
        <f t="shared" si="11"/>
        <v>2535829.683880413</v>
      </c>
      <c r="Q187" s="201">
        <f t="shared" si="12"/>
        <v>2035</v>
      </c>
      <c r="R187" s="201">
        <f t="shared" si="38"/>
        <v>15</v>
      </c>
      <c r="U187" s="210">
        <v>174</v>
      </c>
      <c r="V187" s="226">
        <f t="shared" si="39"/>
        <v>49675</v>
      </c>
      <c r="W187" s="227">
        <f t="shared" si="20"/>
        <v>1262871.8383848667</v>
      </c>
      <c r="X187" s="227">
        <f t="shared" si="40"/>
        <v>11618.17718951299</v>
      </c>
      <c r="Y187" s="227">
        <f t="shared" si="13"/>
        <v>8460.9975935508228</v>
      </c>
      <c r="Z187" s="227">
        <f t="shared" si="41"/>
        <v>3157.1795959621668</v>
      </c>
      <c r="AA187" s="227">
        <f t="shared" si="14"/>
        <v>1254410.840791316</v>
      </c>
      <c r="AB187" s="201">
        <f t="shared" si="15"/>
        <v>2036</v>
      </c>
      <c r="AC187" s="201">
        <f t="shared" si="42"/>
        <v>15</v>
      </c>
    </row>
    <row r="188" spans="10:29" ht="14.4">
      <c r="J188" s="210">
        <v>175</v>
      </c>
      <c r="K188" s="226">
        <f t="shared" si="43"/>
        <v>49705</v>
      </c>
      <c r="L188" s="227">
        <f t="shared" si="16"/>
        <v>2535829.683880413</v>
      </c>
      <c r="M188" s="227">
        <f t="shared" si="37"/>
        <v>25290.377747270501</v>
      </c>
      <c r="N188" s="227">
        <f t="shared" si="9"/>
        <v>15781.016432718952</v>
      </c>
      <c r="O188" s="227">
        <f t="shared" si="44"/>
        <v>9509.3613145515483</v>
      </c>
      <c r="P188" s="227">
        <f t="shared" si="11"/>
        <v>2520048.6674476941</v>
      </c>
      <c r="Q188" s="201">
        <f t="shared" si="12"/>
        <v>2036</v>
      </c>
      <c r="R188" s="201">
        <f t="shared" si="38"/>
        <v>15</v>
      </c>
      <c r="U188" s="210">
        <v>175</v>
      </c>
      <c r="V188" s="226">
        <f t="shared" si="39"/>
        <v>49706</v>
      </c>
      <c r="W188" s="227">
        <f t="shared" si="20"/>
        <v>1254410.840791316</v>
      </c>
      <c r="X188" s="227">
        <f t="shared" si="40"/>
        <v>11618.17718951299</v>
      </c>
      <c r="Y188" s="227">
        <f t="shared" si="13"/>
        <v>8482.1500875346992</v>
      </c>
      <c r="Z188" s="227">
        <f t="shared" si="41"/>
        <v>3136.0271019782899</v>
      </c>
      <c r="AA188" s="227">
        <f t="shared" si="14"/>
        <v>1245928.6907037813</v>
      </c>
      <c r="AB188" s="201">
        <f t="shared" si="15"/>
        <v>2036</v>
      </c>
      <c r="AC188" s="201">
        <f t="shared" si="42"/>
        <v>15</v>
      </c>
    </row>
    <row r="189" spans="10:29" ht="14.4">
      <c r="J189" s="210">
        <v>176</v>
      </c>
      <c r="K189" s="226">
        <f t="shared" si="43"/>
        <v>49734</v>
      </c>
      <c r="L189" s="227">
        <f t="shared" si="16"/>
        <v>2520048.6674476941</v>
      </c>
      <c r="M189" s="227">
        <f t="shared" si="37"/>
        <v>25290.377747270501</v>
      </c>
      <c r="N189" s="227">
        <f t="shared" si="9"/>
        <v>15840.195244341649</v>
      </c>
      <c r="O189" s="227">
        <f t="shared" si="44"/>
        <v>9450.182502928852</v>
      </c>
      <c r="P189" s="227">
        <f t="shared" si="11"/>
        <v>2504208.4722033525</v>
      </c>
      <c r="Q189" s="201">
        <f t="shared" si="12"/>
        <v>2036</v>
      </c>
      <c r="R189" s="201">
        <f t="shared" si="38"/>
        <v>15</v>
      </c>
      <c r="U189" s="210">
        <v>176</v>
      </c>
      <c r="V189" s="226">
        <f t="shared" si="39"/>
        <v>49735</v>
      </c>
      <c r="W189" s="227">
        <f t="shared" si="20"/>
        <v>1245928.6907037813</v>
      </c>
      <c r="X189" s="227">
        <f t="shared" si="40"/>
        <v>11618.17718951299</v>
      </c>
      <c r="Y189" s="227">
        <f t="shared" si="13"/>
        <v>8503.3554627535359</v>
      </c>
      <c r="Z189" s="227">
        <f t="shared" si="41"/>
        <v>3114.8217267594532</v>
      </c>
      <c r="AA189" s="227">
        <f t="shared" si="14"/>
        <v>1237425.3352410279</v>
      </c>
      <c r="AB189" s="201">
        <f t="shared" si="15"/>
        <v>2036</v>
      </c>
      <c r="AC189" s="201">
        <f t="shared" si="42"/>
        <v>15</v>
      </c>
    </row>
    <row r="190" spans="10:29" ht="14.4">
      <c r="J190" s="210">
        <v>177</v>
      </c>
      <c r="K190" s="226">
        <f t="shared" si="43"/>
        <v>49765</v>
      </c>
      <c r="L190" s="227">
        <f t="shared" si="16"/>
        <v>2504208.4722033525</v>
      </c>
      <c r="M190" s="227">
        <f t="shared" si="37"/>
        <v>25290.377747270501</v>
      </c>
      <c r="N190" s="227">
        <f t="shared" si="9"/>
        <v>15899.59597650793</v>
      </c>
      <c r="O190" s="227">
        <f t="shared" si="44"/>
        <v>9390.7817707625709</v>
      </c>
      <c r="P190" s="227">
        <f t="shared" si="11"/>
        <v>2488308.8762268447</v>
      </c>
      <c r="Q190" s="201">
        <f t="shared" si="12"/>
        <v>2036</v>
      </c>
      <c r="R190" s="201">
        <f t="shared" si="38"/>
        <v>15</v>
      </c>
      <c r="U190" s="210">
        <v>177</v>
      </c>
      <c r="V190" s="226">
        <f t="shared" si="39"/>
        <v>49766</v>
      </c>
      <c r="W190" s="227">
        <f t="shared" si="20"/>
        <v>1237425.3352410279</v>
      </c>
      <c r="X190" s="227">
        <f t="shared" si="40"/>
        <v>11618.17718951299</v>
      </c>
      <c r="Y190" s="227">
        <f t="shared" si="13"/>
        <v>8524.6138514104205</v>
      </c>
      <c r="Z190" s="227">
        <f t="shared" si="41"/>
        <v>3093.5633381025696</v>
      </c>
      <c r="AA190" s="227">
        <f t="shared" si="14"/>
        <v>1228900.7213896175</v>
      </c>
      <c r="AB190" s="201">
        <f t="shared" si="15"/>
        <v>2036</v>
      </c>
      <c r="AC190" s="201">
        <f t="shared" si="42"/>
        <v>15</v>
      </c>
    </row>
    <row r="191" spans="10:29" ht="14.4">
      <c r="J191" s="210">
        <v>178</v>
      </c>
      <c r="K191" s="226">
        <f t="shared" si="43"/>
        <v>49795</v>
      </c>
      <c r="L191" s="227">
        <f t="shared" si="16"/>
        <v>2488308.8762268447</v>
      </c>
      <c r="M191" s="227">
        <f t="shared" si="37"/>
        <v>25290.377747270501</v>
      </c>
      <c r="N191" s="227">
        <f t="shared" si="9"/>
        <v>15959.219461419832</v>
      </c>
      <c r="O191" s="227">
        <f t="shared" si="44"/>
        <v>9331.1582858506681</v>
      </c>
      <c r="P191" s="227">
        <f t="shared" si="11"/>
        <v>2472349.6567654251</v>
      </c>
      <c r="Q191" s="201">
        <f t="shared" si="12"/>
        <v>2036</v>
      </c>
      <c r="R191" s="201">
        <f t="shared" si="38"/>
        <v>15</v>
      </c>
      <c r="U191" s="210">
        <v>178</v>
      </c>
      <c r="V191" s="226">
        <f t="shared" si="39"/>
        <v>49796</v>
      </c>
      <c r="W191" s="227">
        <f t="shared" si="20"/>
        <v>1228900.7213896175</v>
      </c>
      <c r="X191" s="227">
        <f t="shared" si="40"/>
        <v>11618.17718951299</v>
      </c>
      <c r="Y191" s="227">
        <f t="shared" si="13"/>
        <v>8545.9253860389454</v>
      </c>
      <c r="Z191" s="227">
        <f t="shared" si="41"/>
        <v>3072.2518034740438</v>
      </c>
      <c r="AA191" s="227">
        <f t="shared" si="14"/>
        <v>1220354.7960035787</v>
      </c>
      <c r="AB191" s="201">
        <f t="shared" si="15"/>
        <v>2036</v>
      </c>
      <c r="AC191" s="201">
        <f t="shared" si="42"/>
        <v>15</v>
      </c>
    </row>
    <row r="192" spans="10:29" ht="14.4">
      <c r="J192" s="210">
        <v>179</v>
      </c>
      <c r="K192" s="226">
        <f t="shared" si="43"/>
        <v>49826</v>
      </c>
      <c r="L192" s="227">
        <f t="shared" si="16"/>
        <v>2472349.6567654251</v>
      </c>
      <c r="M192" s="227">
        <f t="shared" si="37"/>
        <v>25290.377747270501</v>
      </c>
      <c r="N192" s="227">
        <f t="shared" si="9"/>
        <v>16019.066534400157</v>
      </c>
      <c r="O192" s="227">
        <f t="shared" si="44"/>
        <v>9271.3112128703433</v>
      </c>
      <c r="P192" s="227">
        <f t="shared" si="11"/>
        <v>2456330.5902310251</v>
      </c>
      <c r="Q192" s="201">
        <f t="shared" si="12"/>
        <v>2036</v>
      </c>
      <c r="R192" s="201">
        <f t="shared" si="38"/>
        <v>15</v>
      </c>
      <c r="U192" s="210">
        <v>179</v>
      </c>
      <c r="V192" s="226">
        <f t="shared" si="39"/>
        <v>49827</v>
      </c>
      <c r="W192" s="227">
        <f t="shared" si="20"/>
        <v>1220354.7960035787</v>
      </c>
      <c r="X192" s="227">
        <f t="shared" si="40"/>
        <v>11618.17718951299</v>
      </c>
      <c r="Y192" s="227">
        <f t="shared" si="13"/>
        <v>8567.2901995040429</v>
      </c>
      <c r="Z192" s="227">
        <f t="shared" si="41"/>
        <v>3050.8869900089467</v>
      </c>
      <c r="AA192" s="227">
        <f t="shared" si="14"/>
        <v>1211787.5058040747</v>
      </c>
      <c r="AB192" s="201">
        <f t="shared" si="15"/>
        <v>2036</v>
      </c>
      <c r="AC192" s="201">
        <f t="shared" si="42"/>
        <v>15</v>
      </c>
    </row>
    <row r="193" spans="10:29" ht="14.4">
      <c r="J193" s="210">
        <v>180</v>
      </c>
      <c r="K193" s="226">
        <f t="shared" si="43"/>
        <v>49856</v>
      </c>
      <c r="L193" s="227">
        <f t="shared" si="16"/>
        <v>2456330.5902310251</v>
      </c>
      <c r="M193" s="227">
        <f t="shared" si="37"/>
        <v>25290.377747270501</v>
      </c>
      <c r="N193" s="227">
        <f t="shared" si="9"/>
        <v>16079.138033904157</v>
      </c>
      <c r="O193" s="227">
        <f t="shared" si="44"/>
        <v>9211.2397133663435</v>
      </c>
      <c r="P193" s="227">
        <f t="shared" si="11"/>
        <v>2440251.452197121</v>
      </c>
      <c r="Q193" s="201">
        <f t="shared" si="12"/>
        <v>2036</v>
      </c>
      <c r="R193" s="201">
        <f t="shared" si="38"/>
        <v>15</v>
      </c>
      <c r="U193" s="210">
        <v>180</v>
      </c>
      <c r="V193" s="226">
        <f t="shared" si="39"/>
        <v>49857</v>
      </c>
      <c r="W193" s="227">
        <f t="shared" si="20"/>
        <v>1211787.5058040747</v>
      </c>
      <c r="X193" s="227">
        <f t="shared" si="40"/>
        <v>11618.17718951299</v>
      </c>
      <c r="Y193" s="227">
        <f t="shared" si="13"/>
        <v>8588.708425002802</v>
      </c>
      <c r="Z193" s="227">
        <f t="shared" si="41"/>
        <v>3029.4687645101867</v>
      </c>
      <c r="AA193" s="227">
        <f t="shared" si="14"/>
        <v>1203198.7973790718</v>
      </c>
      <c r="AB193" s="201">
        <f t="shared" si="15"/>
        <v>2036</v>
      </c>
      <c r="AC193" s="201">
        <f t="shared" si="42"/>
        <v>15</v>
      </c>
    </row>
  </sheetData>
  <mergeCells count="9">
    <mergeCell ref="J1:L1"/>
    <mergeCell ref="N2:O2"/>
    <mergeCell ref="U1:W1"/>
    <mergeCell ref="J2:K2"/>
    <mergeCell ref="C2:D2"/>
    <mergeCell ref="E2:H2"/>
    <mergeCell ref="Y2:Z2"/>
    <mergeCell ref="P2:S2"/>
    <mergeCell ref="AA2:AD2"/>
  </mergeCells>
  <pageMargins left="0.25" right="0.25" top="0.75" bottom="0.75" header="0.3" footer="0.3"/>
  <pageSetup scale="86" fitToHeight="0" orientation="landscape" verticalDpi="1200" r:id="rId1"/>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1">
    <tabColor indexed="12"/>
  </sheetPr>
  <dimension ref="A1:H24"/>
  <sheetViews>
    <sheetView workbookViewId="0">
      <selection activeCell="C4" sqref="C4"/>
    </sheetView>
  </sheetViews>
  <sheetFormatPr defaultRowHeight="13.2"/>
  <cols>
    <col min="1" max="1" width="8.77734375" style="2"/>
    <col min="2" max="2" width="24" style="2" customWidth="1"/>
    <col min="3" max="3" width="13.5546875" style="2" customWidth="1"/>
    <col min="4" max="4" width="3.21875" style="2" customWidth="1"/>
    <col min="5" max="5" width="14.77734375" style="2" customWidth="1"/>
    <col min="6" max="6" width="3.21875" style="2" customWidth="1"/>
    <col min="7" max="7" width="14.5546875" style="2" customWidth="1"/>
    <col min="8" max="8" width="3.21875" style="2" customWidth="1"/>
    <col min="9" max="257" width="8.77734375" style="2"/>
    <col min="258" max="258" width="24" style="2" customWidth="1"/>
    <col min="259" max="259" width="13.5546875" style="2" customWidth="1"/>
    <col min="260" max="260" width="3.21875" style="2" customWidth="1"/>
    <col min="261" max="261" width="14.77734375" style="2" customWidth="1"/>
    <col min="262" max="262" width="3.21875" style="2" customWidth="1"/>
    <col min="263" max="263" width="14.5546875" style="2" customWidth="1"/>
    <col min="264" max="264" width="3.21875" style="2" customWidth="1"/>
    <col min="265" max="513" width="8.77734375" style="2"/>
    <col min="514" max="514" width="24" style="2" customWidth="1"/>
    <col min="515" max="515" width="13.5546875" style="2" customWidth="1"/>
    <col min="516" max="516" width="3.21875" style="2" customWidth="1"/>
    <col min="517" max="517" width="14.77734375" style="2" customWidth="1"/>
    <col min="518" max="518" width="3.21875" style="2" customWidth="1"/>
    <col min="519" max="519" width="14.5546875" style="2" customWidth="1"/>
    <col min="520" max="520" width="3.21875" style="2" customWidth="1"/>
    <col min="521" max="769" width="8.77734375" style="2"/>
    <col min="770" max="770" width="24" style="2" customWidth="1"/>
    <col min="771" max="771" width="13.5546875" style="2" customWidth="1"/>
    <col min="772" max="772" width="3.21875" style="2" customWidth="1"/>
    <col min="773" max="773" width="14.77734375" style="2" customWidth="1"/>
    <col min="774" max="774" width="3.21875" style="2" customWidth="1"/>
    <col min="775" max="775" width="14.5546875" style="2" customWidth="1"/>
    <col min="776" max="776" width="3.21875" style="2" customWidth="1"/>
    <col min="777" max="1025" width="8.77734375" style="2"/>
    <col min="1026" max="1026" width="24" style="2" customWidth="1"/>
    <col min="1027" max="1027" width="13.5546875" style="2" customWidth="1"/>
    <col min="1028" max="1028" width="3.21875" style="2" customWidth="1"/>
    <col min="1029" max="1029" width="14.77734375" style="2" customWidth="1"/>
    <col min="1030" max="1030" width="3.21875" style="2" customWidth="1"/>
    <col min="1031" max="1031" width="14.5546875" style="2" customWidth="1"/>
    <col min="1032" max="1032" width="3.21875" style="2" customWidth="1"/>
    <col min="1033" max="1281" width="8.77734375" style="2"/>
    <col min="1282" max="1282" width="24" style="2" customWidth="1"/>
    <col min="1283" max="1283" width="13.5546875" style="2" customWidth="1"/>
    <col min="1284" max="1284" width="3.21875" style="2" customWidth="1"/>
    <col min="1285" max="1285" width="14.77734375" style="2" customWidth="1"/>
    <col min="1286" max="1286" width="3.21875" style="2" customWidth="1"/>
    <col min="1287" max="1287" width="14.5546875" style="2" customWidth="1"/>
    <col min="1288" max="1288" width="3.21875" style="2" customWidth="1"/>
    <col min="1289" max="1537" width="8.77734375" style="2"/>
    <col min="1538" max="1538" width="24" style="2" customWidth="1"/>
    <col min="1539" max="1539" width="13.5546875" style="2" customWidth="1"/>
    <col min="1540" max="1540" width="3.21875" style="2" customWidth="1"/>
    <col min="1541" max="1541" width="14.77734375" style="2" customWidth="1"/>
    <col min="1542" max="1542" width="3.21875" style="2" customWidth="1"/>
    <col min="1543" max="1543" width="14.5546875" style="2" customWidth="1"/>
    <col min="1544" max="1544" width="3.21875" style="2" customWidth="1"/>
    <col min="1545" max="1793" width="8.77734375" style="2"/>
    <col min="1794" max="1794" width="24" style="2" customWidth="1"/>
    <col min="1795" max="1795" width="13.5546875" style="2" customWidth="1"/>
    <col min="1796" max="1796" width="3.21875" style="2" customWidth="1"/>
    <col min="1797" max="1797" width="14.77734375" style="2" customWidth="1"/>
    <col min="1798" max="1798" width="3.21875" style="2" customWidth="1"/>
    <col min="1799" max="1799" width="14.5546875" style="2" customWidth="1"/>
    <col min="1800" max="1800" width="3.21875" style="2" customWidth="1"/>
    <col min="1801" max="2049" width="8.77734375" style="2"/>
    <col min="2050" max="2050" width="24" style="2" customWidth="1"/>
    <col min="2051" max="2051" width="13.5546875" style="2" customWidth="1"/>
    <col min="2052" max="2052" width="3.21875" style="2" customWidth="1"/>
    <col min="2053" max="2053" width="14.77734375" style="2" customWidth="1"/>
    <col min="2054" max="2054" width="3.21875" style="2" customWidth="1"/>
    <col min="2055" max="2055" width="14.5546875" style="2" customWidth="1"/>
    <col min="2056" max="2056" width="3.21875" style="2" customWidth="1"/>
    <col min="2057" max="2305" width="8.77734375" style="2"/>
    <col min="2306" max="2306" width="24" style="2" customWidth="1"/>
    <col min="2307" max="2307" width="13.5546875" style="2" customWidth="1"/>
    <col min="2308" max="2308" width="3.21875" style="2" customWidth="1"/>
    <col min="2309" max="2309" width="14.77734375" style="2" customWidth="1"/>
    <col min="2310" max="2310" width="3.21875" style="2" customWidth="1"/>
    <col min="2311" max="2311" width="14.5546875" style="2" customWidth="1"/>
    <col min="2312" max="2312" width="3.21875" style="2" customWidth="1"/>
    <col min="2313" max="2561" width="8.77734375" style="2"/>
    <col min="2562" max="2562" width="24" style="2" customWidth="1"/>
    <col min="2563" max="2563" width="13.5546875" style="2" customWidth="1"/>
    <col min="2564" max="2564" width="3.21875" style="2" customWidth="1"/>
    <col min="2565" max="2565" width="14.77734375" style="2" customWidth="1"/>
    <col min="2566" max="2566" width="3.21875" style="2" customWidth="1"/>
    <col min="2567" max="2567" width="14.5546875" style="2" customWidth="1"/>
    <col min="2568" max="2568" width="3.21875" style="2" customWidth="1"/>
    <col min="2569" max="2817" width="8.77734375" style="2"/>
    <col min="2818" max="2818" width="24" style="2" customWidth="1"/>
    <col min="2819" max="2819" width="13.5546875" style="2" customWidth="1"/>
    <col min="2820" max="2820" width="3.21875" style="2" customWidth="1"/>
    <col min="2821" max="2821" width="14.77734375" style="2" customWidth="1"/>
    <col min="2822" max="2822" width="3.21875" style="2" customWidth="1"/>
    <col min="2823" max="2823" width="14.5546875" style="2" customWidth="1"/>
    <col min="2824" max="2824" width="3.21875" style="2" customWidth="1"/>
    <col min="2825" max="3073" width="8.77734375" style="2"/>
    <col min="3074" max="3074" width="24" style="2" customWidth="1"/>
    <col min="3075" max="3075" width="13.5546875" style="2" customWidth="1"/>
    <col min="3076" max="3076" width="3.21875" style="2" customWidth="1"/>
    <col min="3077" max="3077" width="14.77734375" style="2" customWidth="1"/>
    <col min="3078" max="3078" width="3.21875" style="2" customWidth="1"/>
    <col min="3079" max="3079" width="14.5546875" style="2" customWidth="1"/>
    <col min="3080" max="3080" width="3.21875" style="2" customWidth="1"/>
    <col min="3081" max="3329" width="8.77734375" style="2"/>
    <col min="3330" max="3330" width="24" style="2" customWidth="1"/>
    <col min="3331" max="3331" width="13.5546875" style="2" customWidth="1"/>
    <col min="3332" max="3332" width="3.21875" style="2" customWidth="1"/>
    <col min="3333" max="3333" width="14.77734375" style="2" customWidth="1"/>
    <col min="3334" max="3334" width="3.21875" style="2" customWidth="1"/>
    <col min="3335" max="3335" width="14.5546875" style="2" customWidth="1"/>
    <col min="3336" max="3336" width="3.21875" style="2" customWidth="1"/>
    <col min="3337" max="3585" width="8.77734375" style="2"/>
    <col min="3586" max="3586" width="24" style="2" customWidth="1"/>
    <col min="3587" max="3587" width="13.5546875" style="2" customWidth="1"/>
    <col min="3588" max="3588" width="3.21875" style="2" customWidth="1"/>
    <col min="3589" max="3589" width="14.77734375" style="2" customWidth="1"/>
    <col min="3590" max="3590" width="3.21875" style="2" customWidth="1"/>
    <col min="3591" max="3591" width="14.5546875" style="2" customWidth="1"/>
    <col min="3592" max="3592" width="3.21875" style="2" customWidth="1"/>
    <col min="3593" max="3841" width="8.77734375" style="2"/>
    <col min="3842" max="3842" width="24" style="2" customWidth="1"/>
    <col min="3843" max="3843" width="13.5546875" style="2" customWidth="1"/>
    <col min="3844" max="3844" width="3.21875" style="2" customWidth="1"/>
    <col min="3845" max="3845" width="14.77734375" style="2" customWidth="1"/>
    <col min="3846" max="3846" width="3.21875" style="2" customWidth="1"/>
    <col min="3847" max="3847" width="14.5546875" style="2" customWidth="1"/>
    <col min="3848" max="3848" width="3.21875" style="2" customWidth="1"/>
    <col min="3849" max="4097" width="8.77734375" style="2"/>
    <col min="4098" max="4098" width="24" style="2" customWidth="1"/>
    <col min="4099" max="4099" width="13.5546875" style="2" customWidth="1"/>
    <col min="4100" max="4100" width="3.21875" style="2" customWidth="1"/>
    <col min="4101" max="4101" width="14.77734375" style="2" customWidth="1"/>
    <col min="4102" max="4102" width="3.21875" style="2" customWidth="1"/>
    <col min="4103" max="4103" width="14.5546875" style="2" customWidth="1"/>
    <col min="4104" max="4104" width="3.21875" style="2" customWidth="1"/>
    <col min="4105" max="4353" width="8.77734375" style="2"/>
    <col min="4354" max="4354" width="24" style="2" customWidth="1"/>
    <col min="4355" max="4355" width="13.5546875" style="2" customWidth="1"/>
    <col min="4356" max="4356" width="3.21875" style="2" customWidth="1"/>
    <col min="4357" max="4357" width="14.77734375" style="2" customWidth="1"/>
    <col min="4358" max="4358" width="3.21875" style="2" customWidth="1"/>
    <col min="4359" max="4359" width="14.5546875" style="2" customWidth="1"/>
    <col min="4360" max="4360" width="3.21875" style="2" customWidth="1"/>
    <col min="4361" max="4609" width="8.77734375" style="2"/>
    <col min="4610" max="4610" width="24" style="2" customWidth="1"/>
    <col min="4611" max="4611" width="13.5546875" style="2" customWidth="1"/>
    <col min="4612" max="4612" width="3.21875" style="2" customWidth="1"/>
    <col min="4613" max="4613" width="14.77734375" style="2" customWidth="1"/>
    <col min="4614" max="4614" width="3.21875" style="2" customWidth="1"/>
    <col min="4615" max="4615" width="14.5546875" style="2" customWidth="1"/>
    <col min="4616" max="4616" width="3.21875" style="2" customWidth="1"/>
    <col min="4617" max="4865" width="8.77734375" style="2"/>
    <col min="4866" max="4866" width="24" style="2" customWidth="1"/>
    <col min="4867" max="4867" width="13.5546875" style="2" customWidth="1"/>
    <col min="4868" max="4868" width="3.21875" style="2" customWidth="1"/>
    <col min="4869" max="4869" width="14.77734375" style="2" customWidth="1"/>
    <col min="4870" max="4870" width="3.21875" style="2" customWidth="1"/>
    <col min="4871" max="4871" width="14.5546875" style="2" customWidth="1"/>
    <col min="4872" max="4872" width="3.21875" style="2" customWidth="1"/>
    <col min="4873" max="5121" width="8.77734375" style="2"/>
    <col min="5122" max="5122" width="24" style="2" customWidth="1"/>
    <col min="5123" max="5123" width="13.5546875" style="2" customWidth="1"/>
    <col min="5124" max="5124" width="3.21875" style="2" customWidth="1"/>
    <col min="5125" max="5125" width="14.77734375" style="2" customWidth="1"/>
    <col min="5126" max="5126" width="3.21875" style="2" customWidth="1"/>
    <col min="5127" max="5127" width="14.5546875" style="2" customWidth="1"/>
    <col min="5128" max="5128" width="3.21875" style="2" customWidth="1"/>
    <col min="5129" max="5377" width="8.77734375" style="2"/>
    <col min="5378" max="5378" width="24" style="2" customWidth="1"/>
    <col min="5379" max="5379" width="13.5546875" style="2" customWidth="1"/>
    <col min="5380" max="5380" width="3.21875" style="2" customWidth="1"/>
    <col min="5381" max="5381" width="14.77734375" style="2" customWidth="1"/>
    <col min="5382" max="5382" width="3.21875" style="2" customWidth="1"/>
    <col min="5383" max="5383" width="14.5546875" style="2" customWidth="1"/>
    <col min="5384" max="5384" width="3.21875" style="2" customWidth="1"/>
    <col min="5385" max="5633" width="8.77734375" style="2"/>
    <col min="5634" max="5634" width="24" style="2" customWidth="1"/>
    <col min="5635" max="5635" width="13.5546875" style="2" customWidth="1"/>
    <col min="5636" max="5636" width="3.21875" style="2" customWidth="1"/>
    <col min="5637" max="5637" width="14.77734375" style="2" customWidth="1"/>
    <col min="5638" max="5638" width="3.21875" style="2" customWidth="1"/>
    <col min="5639" max="5639" width="14.5546875" style="2" customWidth="1"/>
    <col min="5640" max="5640" width="3.21875" style="2" customWidth="1"/>
    <col min="5641" max="5889" width="8.77734375" style="2"/>
    <col min="5890" max="5890" width="24" style="2" customWidth="1"/>
    <col min="5891" max="5891" width="13.5546875" style="2" customWidth="1"/>
    <col min="5892" max="5892" width="3.21875" style="2" customWidth="1"/>
    <col min="5893" max="5893" width="14.77734375" style="2" customWidth="1"/>
    <col min="5894" max="5894" width="3.21875" style="2" customWidth="1"/>
    <col min="5895" max="5895" width="14.5546875" style="2" customWidth="1"/>
    <col min="5896" max="5896" width="3.21875" style="2" customWidth="1"/>
    <col min="5897" max="6145" width="8.77734375" style="2"/>
    <col min="6146" max="6146" width="24" style="2" customWidth="1"/>
    <col min="6147" max="6147" width="13.5546875" style="2" customWidth="1"/>
    <col min="6148" max="6148" width="3.21875" style="2" customWidth="1"/>
    <col min="6149" max="6149" width="14.77734375" style="2" customWidth="1"/>
    <col min="6150" max="6150" width="3.21875" style="2" customWidth="1"/>
    <col min="6151" max="6151" width="14.5546875" style="2" customWidth="1"/>
    <col min="6152" max="6152" width="3.21875" style="2" customWidth="1"/>
    <col min="6153" max="6401" width="8.77734375" style="2"/>
    <col min="6402" max="6402" width="24" style="2" customWidth="1"/>
    <col min="6403" max="6403" width="13.5546875" style="2" customWidth="1"/>
    <col min="6404" max="6404" width="3.21875" style="2" customWidth="1"/>
    <col min="6405" max="6405" width="14.77734375" style="2" customWidth="1"/>
    <col min="6406" max="6406" width="3.21875" style="2" customWidth="1"/>
    <col min="6407" max="6407" width="14.5546875" style="2" customWidth="1"/>
    <col min="6408" max="6408" width="3.21875" style="2" customWidth="1"/>
    <col min="6409" max="6657" width="8.77734375" style="2"/>
    <col min="6658" max="6658" width="24" style="2" customWidth="1"/>
    <col min="6659" max="6659" width="13.5546875" style="2" customWidth="1"/>
    <col min="6660" max="6660" width="3.21875" style="2" customWidth="1"/>
    <col min="6661" max="6661" width="14.77734375" style="2" customWidth="1"/>
    <col min="6662" max="6662" width="3.21875" style="2" customWidth="1"/>
    <col min="6663" max="6663" width="14.5546875" style="2" customWidth="1"/>
    <col min="6664" max="6664" width="3.21875" style="2" customWidth="1"/>
    <col min="6665" max="6913" width="8.77734375" style="2"/>
    <col min="6914" max="6914" width="24" style="2" customWidth="1"/>
    <col min="6915" max="6915" width="13.5546875" style="2" customWidth="1"/>
    <col min="6916" max="6916" width="3.21875" style="2" customWidth="1"/>
    <col min="6917" max="6917" width="14.77734375" style="2" customWidth="1"/>
    <col min="6918" max="6918" width="3.21875" style="2" customWidth="1"/>
    <col min="6919" max="6919" width="14.5546875" style="2" customWidth="1"/>
    <col min="6920" max="6920" width="3.21875" style="2" customWidth="1"/>
    <col min="6921" max="7169" width="8.77734375" style="2"/>
    <col min="7170" max="7170" width="24" style="2" customWidth="1"/>
    <col min="7171" max="7171" width="13.5546875" style="2" customWidth="1"/>
    <col min="7172" max="7172" width="3.21875" style="2" customWidth="1"/>
    <col min="7173" max="7173" width="14.77734375" style="2" customWidth="1"/>
    <col min="7174" max="7174" width="3.21875" style="2" customWidth="1"/>
    <col min="7175" max="7175" width="14.5546875" style="2" customWidth="1"/>
    <col min="7176" max="7176" width="3.21875" style="2" customWidth="1"/>
    <col min="7177" max="7425" width="8.77734375" style="2"/>
    <col min="7426" max="7426" width="24" style="2" customWidth="1"/>
    <col min="7427" max="7427" width="13.5546875" style="2" customWidth="1"/>
    <col min="7428" max="7428" width="3.21875" style="2" customWidth="1"/>
    <col min="7429" max="7429" width="14.77734375" style="2" customWidth="1"/>
    <col min="7430" max="7430" width="3.21875" style="2" customWidth="1"/>
    <col min="7431" max="7431" width="14.5546875" style="2" customWidth="1"/>
    <col min="7432" max="7432" width="3.21875" style="2" customWidth="1"/>
    <col min="7433" max="7681" width="8.77734375" style="2"/>
    <col min="7682" max="7682" width="24" style="2" customWidth="1"/>
    <col min="7683" max="7683" width="13.5546875" style="2" customWidth="1"/>
    <col min="7684" max="7684" width="3.21875" style="2" customWidth="1"/>
    <col min="7685" max="7685" width="14.77734375" style="2" customWidth="1"/>
    <col min="7686" max="7686" width="3.21875" style="2" customWidth="1"/>
    <col min="7687" max="7687" width="14.5546875" style="2" customWidth="1"/>
    <col min="7688" max="7688" width="3.21875" style="2" customWidth="1"/>
    <col min="7689" max="7937" width="8.77734375" style="2"/>
    <col min="7938" max="7938" width="24" style="2" customWidth="1"/>
    <col min="7939" max="7939" width="13.5546875" style="2" customWidth="1"/>
    <col min="7940" max="7940" width="3.21875" style="2" customWidth="1"/>
    <col min="7941" max="7941" width="14.77734375" style="2" customWidth="1"/>
    <col min="7942" max="7942" width="3.21875" style="2" customWidth="1"/>
    <col min="7943" max="7943" width="14.5546875" style="2" customWidth="1"/>
    <col min="7944" max="7944" width="3.21875" style="2" customWidth="1"/>
    <col min="7945" max="8193" width="8.77734375" style="2"/>
    <col min="8194" max="8194" width="24" style="2" customWidth="1"/>
    <col min="8195" max="8195" width="13.5546875" style="2" customWidth="1"/>
    <col min="8196" max="8196" width="3.21875" style="2" customWidth="1"/>
    <col min="8197" max="8197" width="14.77734375" style="2" customWidth="1"/>
    <col min="8198" max="8198" width="3.21875" style="2" customWidth="1"/>
    <col min="8199" max="8199" width="14.5546875" style="2" customWidth="1"/>
    <col min="8200" max="8200" width="3.21875" style="2" customWidth="1"/>
    <col min="8201" max="8449" width="8.77734375" style="2"/>
    <col min="8450" max="8450" width="24" style="2" customWidth="1"/>
    <col min="8451" max="8451" width="13.5546875" style="2" customWidth="1"/>
    <col min="8452" max="8452" width="3.21875" style="2" customWidth="1"/>
    <col min="8453" max="8453" width="14.77734375" style="2" customWidth="1"/>
    <col min="8454" max="8454" width="3.21875" style="2" customWidth="1"/>
    <col min="8455" max="8455" width="14.5546875" style="2" customWidth="1"/>
    <col min="8456" max="8456" width="3.21875" style="2" customWidth="1"/>
    <col min="8457" max="8705" width="8.77734375" style="2"/>
    <col min="8706" max="8706" width="24" style="2" customWidth="1"/>
    <col min="8707" max="8707" width="13.5546875" style="2" customWidth="1"/>
    <col min="8708" max="8708" width="3.21875" style="2" customWidth="1"/>
    <col min="8709" max="8709" width="14.77734375" style="2" customWidth="1"/>
    <col min="8710" max="8710" width="3.21875" style="2" customWidth="1"/>
    <col min="8711" max="8711" width="14.5546875" style="2" customWidth="1"/>
    <col min="8712" max="8712" width="3.21875" style="2" customWidth="1"/>
    <col min="8713" max="8961" width="8.77734375" style="2"/>
    <col min="8962" max="8962" width="24" style="2" customWidth="1"/>
    <col min="8963" max="8963" width="13.5546875" style="2" customWidth="1"/>
    <col min="8964" max="8964" width="3.21875" style="2" customWidth="1"/>
    <col min="8965" max="8965" width="14.77734375" style="2" customWidth="1"/>
    <col min="8966" max="8966" width="3.21875" style="2" customWidth="1"/>
    <col min="8967" max="8967" width="14.5546875" style="2" customWidth="1"/>
    <col min="8968" max="8968" width="3.21875" style="2" customWidth="1"/>
    <col min="8969" max="9217" width="8.77734375" style="2"/>
    <col min="9218" max="9218" width="24" style="2" customWidth="1"/>
    <col min="9219" max="9219" width="13.5546875" style="2" customWidth="1"/>
    <col min="9220" max="9220" width="3.21875" style="2" customWidth="1"/>
    <col min="9221" max="9221" width="14.77734375" style="2" customWidth="1"/>
    <col min="9222" max="9222" width="3.21875" style="2" customWidth="1"/>
    <col min="9223" max="9223" width="14.5546875" style="2" customWidth="1"/>
    <col min="9224" max="9224" width="3.21875" style="2" customWidth="1"/>
    <col min="9225" max="9473" width="8.77734375" style="2"/>
    <col min="9474" max="9474" width="24" style="2" customWidth="1"/>
    <col min="9475" max="9475" width="13.5546875" style="2" customWidth="1"/>
    <col min="9476" max="9476" width="3.21875" style="2" customWidth="1"/>
    <col min="9477" max="9477" width="14.77734375" style="2" customWidth="1"/>
    <col min="9478" max="9478" width="3.21875" style="2" customWidth="1"/>
    <col min="9479" max="9479" width="14.5546875" style="2" customWidth="1"/>
    <col min="9480" max="9480" width="3.21875" style="2" customWidth="1"/>
    <col min="9481" max="9729" width="8.77734375" style="2"/>
    <col min="9730" max="9730" width="24" style="2" customWidth="1"/>
    <col min="9731" max="9731" width="13.5546875" style="2" customWidth="1"/>
    <col min="9732" max="9732" width="3.21875" style="2" customWidth="1"/>
    <col min="9733" max="9733" width="14.77734375" style="2" customWidth="1"/>
    <col min="9734" max="9734" width="3.21875" style="2" customWidth="1"/>
    <col min="9735" max="9735" width="14.5546875" style="2" customWidth="1"/>
    <col min="9736" max="9736" width="3.21875" style="2" customWidth="1"/>
    <col min="9737" max="9985" width="8.77734375" style="2"/>
    <col min="9986" max="9986" width="24" style="2" customWidth="1"/>
    <col min="9987" max="9987" width="13.5546875" style="2" customWidth="1"/>
    <col min="9988" max="9988" width="3.21875" style="2" customWidth="1"/>
    <col min="9989" max="9989" width="14.77734375" style="2" customWidth="1"/>
    <col min="9990" max="9990" width="3.21875" style="2" customWidth="1"/>
    <col min="9991" max="9991" width="14.5546875" style="2" customWidth="1"/>
    <col min="9992" max="9992" width="3.21875" style="2" customWidth="1"/>
    <col min="9993" max="10241" width="8.77734375" style="2"/>
    <col min="10242" max="10242" width="24" style="2" customWidth="1"/>
    <col min="10243" max="10243" width="13.5546875" style="2" customWidth="1"/>
    <col min="10244" max="10244" width="3.21875" style="2" customWidth="1"/>
    <col min="10245" max="10245" width="14.77734375" style="2" customWidth="1"/>
    <col min="10246" max="10246" width="3.21875" style="2" customWidth="1"/>
    <col min="10247" max="10247" width="14.5546875" style="2" customWidth="1"/>
    <col min="10248" max="10248" width="3.21875" style="2" customWidth="1"/>
    <col min="10249" max="10497" width="8.77734375" style="2"/>
    <col min="10498" max="10498" width="24" style="2" customWidth="1"/>
    <col min="10499" max="10499" width="13.5546875" style="2" customWidth="1"/>
    <col min="10500" max="10500" width="3.21875" style="2" customWidth="1"/>
    <col min="10501" max="10501" width="14.77734375" style="2" customWidth="1"/>
    <col min="10502" max="10502" width="3.21875" style="2" customWidth="1"/>
    <col min="10503" max="10503" width="14.5546875" style="2" customWidth="1"/>
    <col min="10504" max="10504" width="3.21875" style="2" customWidth="1"/>
    <col min="10505" max="10753" width="8.77734375" style="2"/>
    <col min="10754" max="10754" width="24" style="2" customWidth="1"/>
    <col min="10755" max="10755" width="13.5546875" style="2" customWidth="1"/>
    <col min="10756" max="10756" width="3.21875" style="2" customWidth="1"/>
    <col min="10757" max="10757" width="14.77734375" style="2" customWidth="1"/>
    <col min="10758" max="10758" width="3.21875" style="2" customWidth="1"/>
    <col min="10759" max="10759" width="14.5546875" style="2" customWidth="1"/>
    <col min="10760" max="10760" width="3.21875" style="2" customWidth="1"/>
    <col min="10761" max="11009" width="8.77734375" style="2"/>
    <col min="11010" max="11010" width="24" style="2" customWidth="1"/>
    <col min="11011" max="11011" width="13.5546875" style="2" customWidth="1"/>
    <col min="11012" max="11012" width="3.21875" style="2" customWidth="1"/>
    <col min="11013" max="11013" width="14.77734375" style="2" customWidth="1"/>
    <col min="11014" max="11014" width="3.21875" style="2" customWidth="1"/>
    <col min="11015" max="11015" width="14.5546875" style="2" customWidth="1"/>
    <col min="11016" max="11016" width="3.21875" style="2" customWidth="1"/>
    <col min="11017" max="11265" width="8.77734375" style="2"/>
    <col min="11266" max="11266" width="24" style="2" customWidth="1"/>
    <col min="11267" max="11267" width="13.5546875" style="2" customWidth="1"/>
    <col min="11268" max="11268" width="3.21875" style="2" customWidth="1"/>
    <col min="11269" max="11269" width="14.77734375" style="2" customWidth="1"/>
    <col min="11270" max="11270" width="3.21875" style="2" customWidth="1"/>
    <col min="11271" max="11271" width="14.5546875" style="2" customWidth="1"/>
    <col min="11272" max="11272" width="3.21875" style="2" customWidth="1"/>
    <col min="11273" max="11521" width="8.77734375" style="2"/>
    <col min="11522" max="11522" width="24" style="2" customWidth="1"/>
    <col min="11523" max="11523" width="13.5546875" style="2" customWidth="1"/>
    <col min="11524" max="11524" width="3.21875" style="2" customWidth="1"/>
    <col min="11525" max="11525" width="14.77734375" style="2" customWidth="1"/>
    <col min="11526" max="11526" width="3.21875" style="2" customWidth="1"/>
    <col min="11527" max="11527" width="14.5546875" style="2" customWidth="1"/>
    <col min="11528" max="11528" width="3.21875" style="2" customWidth="1"/>
    <col min="11529" max="11777" width="8.77734375" style="2"/>
    <col min="11778" max="11778" width="24" style="2" customWidth="1"/>
    <col min="11779" max="11779" width="13.5546875" style="2" customWidth="1"/>
    <col min="11780" max="11780" width="3.21875" style="2" customWidth="1"/>
    <col min="11781" max="11781" width="14.77734375" style="2" customWidth="1"/>
    <col min="11782" max="11782" width="3.21875" style="2" customWidth="1"/>
    <col min="11783" max="11783" width="14.5546875" style="2" customWidth="1"/>
    <col min="11784" max="11784" width="3.21875" style="2" customWidth="1"/>
    <col min="11785" max="12033" width="8.77734375" style="2"/>
    <col min="12034" max="12034" width="24" style="2" customWidth="1"/>
    <col min="12035" max="12035" width="13.5546875" style="2" customWidth="1"/>
    <col min="12036" max="12036" width="3.21875" style="2" customWidth="1"/>
    <col min="12037" max="12037" width="14.77734375" style="2" customWidth="1"/>
    <col min="12038" max="12038" width="3.21875" style="2" customWidth="1"/>
    <col min="12039" max="12039" width="14.5546875" style="2" customWidth="1"/>
    <col min="12040" max="12040" width="3.21875" style="2" customWidth="1"/>
    <col min="12041" max="12289" width="8.77734375" style="2"/>
    <col min="12290" max="12290" width="24" style="2" customWidth="1"/>
    <col min="12291" max="12291" width="13.5546875" style="2" customWidth="1"/>
    <col min="12292" max="12292" width="3.21875" style="2" customWidth="1"/>
    <col min="12293" max="12293" width="14.77734375" style="2" customWidth="1"/>
    <col min="12294" max="12294" width="3.21875" style="2" customWidth="1"/>
    <col min="12295" max="12295" width="14.5546875" style="2" customWidth="1"/>
    <col min="12296" max="12296" width="3.21875" style="2" customWidth="1"/>
    <col min="12297" max="12545" width="8.77734375" style="2"/>
    <col min="12546" max="12546" width="24" style="2" customWidth="1"/>
    <col min="12547" max="12547" width="13.5546875" style="2" customWidth="1"/>
    <col min="12548" max="12548" width="3.21875" style="2" customWidth="1"/>
    <col min="12549" max="12549" width="14.77734375" style="2" customWidth="1"/>
    <col min="12550" max="12550" width="3.21875" style="2" customWidth="1"/>
    <col min="12551" max="12551" width="14.5546875" style="2" customWidth="1"/>
    <col min="12552" max="12552" width="3.21875" style="2" customWidth="1"/>
    <col min="12553" max="12801" width="8.77734375" style="2"/>
    <col min="12802" max="12802" width="24" style="2" customWidth="1"/>
    <col min="12803" max="12803" width="13.5546875" style="2" customWidth="1"/>
    <col min="12804" max="12804" width="3.21875" style="2" customWidth="1"/>
    <col min="12805" max="12805" width="14.77734375" style="2" customWidth="1"/>
    <col min="12806" max="12806" width="3.21875" style="2" customWidth="1"/>
    <col min="12807" max="12807" width="14.5546875" style="2" customWidth="1"/>
    <col min="12808" max="12808" width="3.21875" style="2" customWidth="1"/>
    <col min="12809" max="13057" width="8.77734375" style="2"/>
    <col min="13058" max="13058" width="24" style="2" customWidth="1"/>
    <col min="13059" max="13059" width="13.5546875" style="2" customWidth="1"/>
    <col min="13060" max="13060" width="3.21875" style="2" customWidth="1"/>
    <col min="13061" max="13061" width="14.77734375" style="2" customWidth="1"/>
    <col min="13062" max="13062" width="3.21875" style="2" customWidth="1"/>
    <col min="13063" max="13063" width="14.5546875" style="2" customWidth="1"/>
    <col min="13064" max="13064" width="3.21875" style="2" customWidth="1"/>
    <col min="13065" max="13313" width="8.77734375" style="2"/>
    <col min="13314" max="13314" width="24" style="2" customWidth="1"/>
    <col min="13315" max="13315" width="13.5546875" style="2" customWidth="1"/>
    <col min="13316" max="13316" width="3.21875" style="2" customWidth="1"/>
    <col min="13317" max="13317" width="14.77734375" style="2" customWidth="1"/>
    <col min="13318" max="13318" width="3.21875" style="2" customWidth="1"/>
    <col min="13319" max="13319" width="14.5546875" style="2" customWidth="1"/>
    <col min="13320" max="13320" width="3.21875" style="2" customWidth="1"/>
    <col min="13321" max="13569" width="8.77734375" style="2"/>
    <col min="13570" max="13570" width="24" style="2" customWidth="1"/>
    <col min="13571" max="13571" width="13.5546875" style="2" customWidth="1"/>
    <col min="13572" max="13572" width="3.21875" style="2" customWidth="1"/>
    <col min="13573" max="13573" width="14.77734375" style="2" customWidth="1"/>
    <col min="13574" max="13574" width="3.21875" style="2" customWidth="1"/>
    <col min="13575" max="13575" width="14.5546875" style="2" customWidth="1"/>
    <col min="13576" max="13576" width="3.21875" style="2" customWidth="1"/>
    <col min="13577" max="13825" width="8.77734375" style="2"/>
    <col min="13826" max="13826" width="24" style="2" customWidth="1"/>
    <col min="13827" max="13827" width="13.5546875" style="2" customWidth="1"/>
    <col min="13828" max="13828" width="3.21875" style="2" customWidth="1"/>
    <col min="13829" max="13829" width="14.77734375" style="2" customWidth="1"/>
    <col min="13830" max="13830" width="3.21875" style="2" customWidth="1"/>
    <col min="13831" max="13831" width="14.5546875" style="2" customWidth="1"/>
    <col min="13832" max="13832" width="3.21875" style="2" customWidth="1"/>
    <col min="13833" max="14081" width="8.77734375" style="2"/>
    <col min="14082" max="14082" width="24" style="2" customWidth="1"/>
    <col min="14083" max="14083" width="13.5546875" style="2" customWidth="1"/>
    <col min="14084" max="14084" width="3.21875" style="2" customWidth="1"/>
    <col min="14085" max="14085" width="14.77734375" style="2" customWidth="1"/>
    <col min="14086" max="14086" width="3.21875" style="2" customWidth="1"/>
    <col min="14087" max="14087" width="14.5546875" style="2" customWidth="1"/>
    <col min="14088" max="14088" width="3.21875" style="2" customWidth="1"/>
    <col min="14089" max="14337" width="8.77734375" style="2"/>
    <col min="14338" max="14338" width="24" style="2" customWidth="1"/>
    <col min="14339" max="14339" width="13.5546875" style="2" customWidth="1"/>
    <col min="14340" max="14340" width="3.21875" style="2" customWidth="1"/>
    <col min="14341" max="14341" width="14.77734375" style="2" customWidth="1"/>
    <col min="14342" max="14342" width="3.21875" style="2" customWidth="1"/>
    <col min="14343" max="14343" width="14.5546875" style="2" customWidth="1"/>
    <col min="14344" max="14344" width="3.21875" style="2" customWidth="1"/>
    <col min="14345" max="14593" width="8.77734375" style="2"/>
    <col min="14594" max="14594" width="24" style="2" customWidth="1"/>
    <col min="14595" max="14595" width="13.5546875" style="2" customWidth="1"/>
    <col min="14596" max="14596" width="3.21875" style="2" customWidth="1"/>
    <col min="14597" max="14597" width="14.77734375" style="2" customWidth="1"/>
    <col min="14598" max="14598" width="3.21875" style="2" customWidth="1"/>
    <col min="14599" max="14599" width="14.5546875" style="2" customWidth="1"/>
    <col min="14600" max="14600" width="3.21875" style="2" customWidth="1"/>
    <col min="14601" max="14849" width="8.77734375" style="2"/>
    <col min="14850" max="14850" width="24" style="2" customWidth="1"/>
    <col min="14851" max="14851" width="13.5546875" style="2" customWidth="1"/>
    <col min="14852" max="14852" width="3.21875" style="2" customWidth="1"/>
    <col min="14853" max="14853" width="14.77734375" style="2" customWidth="1"/>
    <col min="14854" max="14854" width="3.21875" style="2" customWidth="1"/>
    <col min="14855" max="14855" width="14.5546875" style="2" customWidth="1"/>
    <col min="14856" max="14856" width="3.21875" style="2" customWidth="1"/>
    <col min="14857" max="15105" width="8.77734375" style="2"/>
    <col min="15106" max="15106" width="24" style="2" customWidth="1"/>
    <col min="15107" max="15107" width="13.5546875" style="2" customWidth="1"/>
    <col min="15108" max="15108" width="3.21875" style="2" customWidth="1"/>
    <col min="15109" max="15109" width="14.77734375" style="2" customWidth="1"/>
    <col min="15110" max="15110" width="3.21875" style="2" customWidth="1"/>
    <col min="15111" max="15111" width="14.5546875" style="2" customWidth="1"/>
    <col min="15112" max="15112" width="3.21875" style="2" customWidth="1"/>
    <col min="15113" max="15361" width="8.77734375" style="2"/>
    <col min="15362" max="15362" width="24" style="2" customWidth="1"/>
    <col min="15363" max="15363" width="13.5546875" style="2" customWidth="1"/>
    <col min="15364" max="15364" width="3.21875" style="2" customWidth="1"/>
    <col min="15365" max="15365" width="14.77734375" style="2" customWidth="1"/>
    <col min="15366" max="15366" width="3.21875" style="2" customWidth="1"/>
    <col min="15367" max="15367" width="14.5546875" style="2" customWidth="1"/>
    <col min="15368" max="15368" width="3.21875" style="2" customWidth="1"/>
    <col min="15369" max="15617" width="8.77734375" style="2"/>
    <col min="15618" max="15618" width="24" style="2" customWidth="1"/>
    <col min="15619" max="15619" width="13.5546875" style="2" customWidth="1"/>
    <col min="15620" max="15620" width="3.21875" style="2" customWidth="1"/>
    <col min="15621" max="15621" width="14.77734375" style="2" customWidth="1"/>
    <col min="15622" max="15622" width="3.21875" style="2" customWidth="1"/>
    <col min="15623" max="15623" width="14.5546875" style="2" customWidth="1"/>
    <col min="15624" max="15624" width="3.21875" style="2" customWidth="1"/>
    <col min="15625" max="15873" width="8.77734375" style="2"/>
    <col min="15874" max="15874" width="24" style="2" customWidth="1"/>
    <col min="15875" max="15875" width="13.5546875" style="2" customWidth="1"/>
    <col min="15876" max="15876" width="3.21875" style="2" customWidth="1"/>
    <col min="15877" max="15877" width="14.77734375" style="2" customWidth="1"/>
    <col min="15878" max="15878" width="3.21875" style="2" customWidth="1"/>
    <col min="15879" max="15879" width="14.5546875" style="2" customWidth="1"/>
    <col min="15880" max="15880" width="3.21875" style="2" customWidth="1"/>
    <col min="15881" max="16129" width="8.77734375" style="2"/>
    <col min="16130" max="16130" width="24" style="2" customWidth="1"/>
    <col min="16131" max="16131" width="13.5546875" style="2" customWidth="1"/>
    <col min="16132" max="16132" width="3.21875" style="2" customWidth="1"/>
    <col min="16133" max="16133" width="14.77734375" style="2" customWidth="1"/>
    <col min="16134" max="16134" width="3.21875" style="2" customWidth="1"/>
    <col min="16135" max="16135" width="14.5546875" style="2" customWidth="1"/>
    <col min="16136" max="16136" width="3.21875" style="2" customWidth="1"/>
    <col min="16137" max="16384" width="8.77734375" style="2"/>
  </cols>
  <sheetData>
    <row r="1" spans="1:8" ht="20.399999999999999">
      <c r="A1" s="1" t="s">
        <v>1</v>
      </c>
      <c r="E1" s="3"/>
      <c r="G1" s="3"/>
    </row>
    <row r="2" spans="1:8" ht="15.75" customHeight="1">
      <c r="A2" s="1216" t="s">
        <v>2</v>
      </c>
      <c r="B2" s="1216"/>
      <c r="C2" s="1217" t="s">
        <v>3</v>
      </c>
      <c r="D2" s="4"/>
      <c r="E2" s="1217" t="s">
        <v>4</v>
      </c>
      <c r="F2" s="4"/>
      <c r="G2" s="1217" t="s">
        <v>5</v>
      </c>
      <c r="H2" s="4"/>
    </row>
    <row r="3" spans="1:8" ht="22.5" customHeight="1">
      <c r="A3" s="4"/>
      <c r="B3" s="4"/>
      <c r="C3" s="1217"/>
      <c r="D3" s="4"/>
      <c r="E3" s="1217"/>
      <c r="F3" s="4"/>
      <c r="G3" s="1217"/>
      <c r="H3" s="4"/>
    </row>
    <row r="4" spans="1:8" ht="13.8" thickBot="1">
      <c r="A4" s="5" t="s">
        <v>6</v>
      </c>
      <c r="C4" s="6">
        <f>+'Master Budget Sheet'!AR64</f>
        <v>20</v>
      </c>
      <c r="D4" s="4"/>
      <c r="E4" s="7">
        <f>+C4*'Master Budget Sheet'!$AR$8</f>
        <v>19</v>
      </c>
      <c r="F4" s="4"/>
      <c r="G4" s="8">
        <f>+E4</f>
        <v>19</v>
      </c>
      <c r="H4" s="4"/>
    </row>
    <row r="5" spans="1:8">
      <c r="A5" s="4"/>
      <c r="B5" s="4"/>
      <c r="C5" s="4"/>
      <c r="D5" s="4"/>
      <c r="E5" s="9"/>
      <c r="F5" s="4"/>
      <c r="G5" s="10"/>
      <c r="H5" s="4"/>
    </row>
    <row r="6" spans="1:8">
      <c r="A6" s="5" t="s">
        <v>7</v>
      </c>
      <c r="C6" s="11"/>
      <c r="D6" s="4"/>
      <c r="E6" s="9"/>
      <c r="F6" s="4"/>
      <c r="G6" s="10"/>
      <c r="H6" s="4"/>
    </row>
    <row r="7" spans="1:8" ht="14.4" thickBot="1">
      <c r="B7" s="12" t="s">
        <v>8</v>
      </c>
      <c r="C7" s="6">
        <f>SUM('Master Budget Sheet'!AR65:AR67)</f>
        <v>62</v>
      </c>
      <c r="D7" s="4"/>
      <c r="E7" s="7">
        <f>+C7*'Master Budget Sheet'!$AR$8</f>
        <v>58.9</v>
      </c>
      <c r="F7" s="4"/>
      <c r="G7" s="8">
        <f>+E7</f>
        <v>58.9</v>
      </c>
      <c r="H7" s="4"/>
    </row>
    <row r="8" spans="1:8" ht="14.4" thickBot="1">
      <c r="B8" s="12" t="s">
        <v>9</v>
      </c>
      <c r="C8" s="13">
        <f>SUM('Master Budget Sheet'!AR68:AR70)</f>
        <v>40</v>
      </c>
      <c r="D8" s="4"/>
      <c r="E8" s="7">
        <f>+C8*'Master Budget Sheet'!$AR$8</f>
        <v>38</v>
      </c>
      <c r="F8" s="4"/>
      <c r="G8" s="60">
        <f>+E8</f>
        <v>38</v>
      </c>
      <c r="H8" s="4"/>
    </row>
    <row r="9" spans="1:8">
      <c r="A9" s="4"/>
      <c r="B9" s="4"/>
      <c r="C9" s="4"/>
      <c r="D9" s="4"/>
      <c r="E9" s="14">
        <f>IF(E8+E7=0,0,E8+E7)</f>
        <v>96.9</v>
      </c>
      <c r="F9" s="4"/>
      <c r="G9" s="14">
        <f>IF(G8+G7=0,0,G8+G7)</f>
        <v>96.9</v>
      </c>
      <c r="H9" s="4"/>
    </row>
    <row r="10" spans="1:8" ht="13.8" thickBot="1">
      <c r="A10" s="5" t="s">
        <v>10</v>
      </c>
      <c r="C10" s="6">
        <f>SUM('Master Budget Sheet'!AR71:AR76)</f>
        <v>142</v>
      </c>
      <c r="D10" s="4"/>
      <c r="E10" s="7">
        <f>+C10*'Master Budget Sheet'!$AR$8</f>
        <v>134.9</v>
      </c>
      <c r="F10" s="4"/>
      <c r="G10" s="8">
        <f>+E10</f>
        <v>134.9</v>
      </c>
      <c r="H10" s="4"/>
    </row>
    <row r="11" spans="1:8">
      <c r="A11" s="15"/>
      <c r="B11" s="4"/>
      <c r="C11" s="16"/>
      <c r="D11" s="4"/>
      <c r="E11" s="17"/>
      <c r="F11" s="4"/>
      <c r="G11" s="18"/>
      <c r="H11" s="4"/>
    </row>
    <row r="12" spans="1:8">
      <c r="A12" s="4"/>
      <c r="B12" s="1218" t="s">
        <v>11</v>
      </c>
      <c r="C12" s="1218"/>
      <c r="D12" s="1218"/>
      <c r="E12" s="1218"/>
      <c r="F12" s="1218"/>
      <c r="G12" s="1218"/>
      <c r="H12" s="4"/>
    </row>
    <row r="13" spans="1:8">
      <c r="A13" s="4"/>
      <c r="B13" s="4"/>
      <c r="C13" s="1215"/>
      <c r="D13" s="1215"/>
      <c r="E13" s="19"/>
      <c r="F13" s="20"/>
      <c r="G13" s="19"/>
      <c r="H13" s="20"/>
    </row>
    <row r="14" spans="1:8" ht="13.8" thickBot="1">
      <c r="A14" s="21" t="s">
        <v>12</v>
      </c>
      <c r="C14" s="11"/>
      <c r="D14" s="4"/>
      <c r="E14" s="7"/>
      <c r="F14" s="4"/>
      <c r="G14" s="8"/>
      <c r="H14" s="4"/>
    </row>
    <row r="15" spans="1:8">
      <c r="A15" s="21" t="s">
        <v>13</v>
      </c>
      <c r="C15" s="11"/>
      <c r="D15" s="4"/>
      <c r="E15" s="22"/>
      <c r="F15" s="4"/>
      <c r="G15" s="10"/>
      <c r="H15" s="4"/>
    </row>
    <row r="16" spans="1:8">
      <c r="A16" s="23"/>
      <c r="B16" s="4"/>
      <c r="C16" s="11"/>
      <c r="D16" s="4"/>
      <c r="E16" s="17"/>
      <c r="F16" s="4"/>
      <c r="G16" s="10"/>
      <c r="H16" s="4"/>
    </row>
    <row r="17" spans="1:8">
      <c r="A17" s="21" t="s">
        <v>14</v>
      </c>
      <c r="C17" s="11"/>
      <c r="D17" s="4"/>
      <c r="E17" s="11"/>
      <c r="F17" s="4"/>
      <c r="G17" s="10"/>
      <c r="H17" s="4"/>
    </row>
    <row r="18" spans="1:8" ht="27" thickBot="1">
      <c r="A18" s="21"/>
      <c r="B18" s="24" t="s">
        <v>15</v>
      </c>
      <c r="C18" s="11"/>
      <c r="D18" s="4"/>
      <c r="E18" s="25"/>
      <c r="F18" s="4"/>
      <c r="G18" s="10"/>
      <c r="H18" s="4"/>
    </row>
    <row r="19" spans="1:8" ht="40.200000000000003" thickBot="1">
      <c r="A19" s="21"/>
      <c r="B19" s="24" t="s">
        <v>16</v>
      </c>
      <c r="C19" s="11"/>
      <c r="D19" s="4"/>
      <c r="E19" s="26"/>
      <c r="F19" s="4"/>
      <c r="G19" s="10"/>
      <c r="H19" s="4"/>
    </row>
    <row r="20" spans="1:8">
      <c r="A20" s="4"/>
      <c r="B20" s="4"/>
      <c r="C20" s="11"/>
      <c r="D20" s="4"/>
      <c r="E20" s="11"/>
      <c r="F20" s="4"/>
      <c r="G20" s="10"/>
      <c r="H20" s="4"/>
    </row>
    <row r="21" spans="1:8">
      <c r="A21" s="27" t="s">
        <v>17</v>
      </c>
      <c r="E21" s="4"/>
      <c r="F21" s="11"/>
      <c r="G21" s="11"/>
      <c r="H21" s="11"/>
    </row>
    <row r="22" spans="1:8" ht="13.8" thickBot="1">
      <c r="A22" s="28"/>
      <c r="B22" s="2" t="s">
        <v>18</v>
      </c>
      <c r="C22" s="29"/>
      <c r="D22" s="11"/>
      <c r="E22" s="11"/>
      <c r="F22" s="11"/>
      <c r="G22" s="11"/>
      <c r="H22" s="11"/>
    </row>
    <row r="23" spans="1:8" ht="13.8" thickBot="1">
      <c r="B23" s="2" t="s">
        <v>19</v>
      </c>
      <c r="C23" s="29"/>
      <c r="D23" s="11"/>
      <c r="E23" s="11"/>
      <c r="F23" s="11"/>
      <c r="G23" s="11"/>
      <c r="H23" s="11"/>
    </row>
    <row r="24" spans="1:8">
      <c r="A24" s="11"/>
      <c r="B24" s="11"/>
      <c r="C24" s="11"/>
      <c r="D24" s="11"/>
      <c r="E24" s="11"/>
      <c r="F24" s="11"/>
      <c r="G24" s="11"/>
      <c r="H24" s="11"/>
    </row>
  </sheetData>
  <sheetProtection password="CC16" sheet="1"/>
  <mergeCells count="6">
    <mergeCell ref="C13:D13"/>
    <mergeCell ref="A2:B2"/>
    <mergeCell ref="C2:C3"/>
    <mergeCell ref="E2:E3"/>
    <mergeCell ref="G2:G3"/>
    <mergeCell ref="B12:G12"/>
  </mergeCells>
  <conditionalFormatting sqref="F13 H13">
    <cfRule type="expression" dxfId="20" priority="1" stopIfTrue="1">
      <formula>E10=0</formula>
    </cfRule>
    <cfRule type="expression" dxfId="19" priority="2" stopIfTrue="1">
      <formula>E13="Grade 7 thru"</formula>
    </cfRule>
    <cfRule type="expression" dxfId="18" priority="3" stopIfTrue="1">
      <formula>E10&gt;99.99</formula>
    </cfRule>
  </conditionalFormatting>
  <pageMargins left="0.75" right="0.75" top="1" bottom="1" header="0.5" footer="0.5"/>
  <pageSetup orientation="portrait" r:id="rId1"/>
  <headerFooter alignWithMargins="0">
    <oddFooter>&amp;L&amp;F</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2"/>
  <dimension ref="A1:Q37"/>
  <sheetViews>
    <sheetView showGridLines="0" zoomScale="90" zoomScaleNormal="100" workbookViewId="0">
      <selection activeCell="F7" sqref="F7"/>
    </sheetView>
  </sheetViews>
  <sheetFormatPr defaultRowHeight="13.2"/>
  <cols>
    <col min="1" max="1" width="4.21875" style="30" customWidth="1"/>
    <col min="2" max="2" width="2.5546875" style="2" customWidth="1"/>
    <col min="3" max="4" width="8.77734375" style="2"/>
    <col min="5" max="5" width="5.77734375" style="2" customWidth="1"/>
    <col min="6" max="6" width="8.77734375" style="2" customWidth="1"/>
    <col min="7" max="7" width="3.21875" style="2" customWidth="1"/>
    <col min="8" max="8" width="10.21875" style="2" customWidth="1"/>
    <col min="9" max="9" width="3.77734375" style="2" customWidth="1"/>
    <col min="10" max="10" width="8.21875" style="2" customWidth="1"/>
    <col min="11" max="11" width="6.21875" style="2" customWidth="1"/>
    <col min="12" max="12" width="5.5546875" style="2" customWidth="1"/>
    <col min="13" max="13" width="10.77734375" style="2" customWidth="1"/>
    <col min="14" max="14" width="8.21875" style="2" customWidth="1"/>
    <col min="15" max="15" width="12.21875" style="2" customWidth="1"/>
    <col min="16" max="16" width="10.21875" style="2" customWidth="1"/>
    <col min="17" max="17" width="9.21875" style="32" customWidth="1"/>
    <col min="18" max="256" width="8.77734375" style="2"/>
    <col min="257" max="257" width="4.21875" style="2" customWidth="1"/>
    <col min="258" max="258" width="2.5546875" style="2" customWidth="1"/>
    <col min="259" max="260" width="8.77734375" style="2"/>
    <col min="261" max="261" width="5.77734375" style="2" customWidth="1"/>
    <col min="262" max="262" width="8.77734375" style="2" customWidth="1"/>
    <col min="263" max="263" width="3.21875" style="2" customWidth="1"/>
    <col min="264" max="264" width="10.21875" style="2" customWidth="1"/>
    <col min="265" max="265" width="3.77734375" style="2" customWidth="1"/>
    <col min="266" max="266" width="8.21875" style="2" customWidth="1"/>
    <col min="267" max="267" width="6.21875" style="2" customWidth="1"/>
    <col min="268" max="268" width="5.5546875" style="2" customWidth="1"/>
    <col min="269" max="269" width="10.77734375" style="2" customWidth="1"/>
    <col min="270" max="270" width="8.21875" style="2" customWidth="1"/>
    <col min="271" max="271" width="12.21875" style="2" customWidth="1"/>
    <col min="272" max="272" width="10.21875" style="2" customWidth="1"/>
    <col min="273" max="273" width="9.21875" style="2" customWidth="1"/>
    <col min="274" max="512" width="8.77734375" style="2"/>
    <col min="513" max="513" width="4.21875" style="2" customWidth="1"/>
    <col min="514" max="514" width="2.5546875" style="2" customWidth="1"/>
    <col min="515" max="516" width="8.77734375" style="2"/>
    <col min="517" max="517" width="5.77734375" style="2" customWidth="1"/>
    <col min="518" max="518" width="8.77734375" style="2" customWidth="1"/>
    <col min="519" max="519" width="3.21875" style="2" customWidth="1"/>
    <col min="520" max="520" width="10.21875" style="2" customWidth="1"/>
    <col min="521" max="521" width="3.77734375" style="2" customWidth="1"/>
    <col min="522" max="522" width="8.21875" style="2" customWidth="1"/>
    <col min="523" max="523" width="6.21875" style="2" customWidth="1"/>
    <col min="524" max="524" width="5.5546875" style="2" customWidth="1"/>
    <col min="525" max="525" width="10.77734375" style="2" customWidth="1"/>
    <col min="526" max="526" width="8.21875" style="2" customWidth="1"/>
    <col min="527" max="527" width="12.21875" style="2" customWidth="1"/>
    <col min="528" max="528" width="10.21875" style="2" customWidth="1"/>
    <col min="529" max="529" width="9.21875" style="2" customWidth="1"/>
    <col min="530" max="768" width="8.77734375" style="2"/>
    <col min="769" max="769" width="4.21875" style="2" customWidth="1"/>
    <col min="770" max="770" width="2.5546875" style="2" customWidth="1"/>
    <col min="771" max="772" width="8.77734375" style="2"/>
    <col min="773" max="773" width="5.77734375" style="2" customWidth="1"/>
    <col min="774" max="774" width="8.77734375" style="2" customWidth="1"/>
    <col min="775" max="775" width="3.21875" style="2" customWidth="1"/>
    <col min="776" max="776" width="10.21875" style="2" customWidth="1"/>
    <col min="777" max="777" width="3.77734375" style="2" customWidth="1"/>
    <col min="778" max="778" width="8.21875" style="2" customWidth="1"/>
    <col min="779" max="779" width="6.21875" style="2" customWidth="1"/>
    <col min="780" max="780" width="5.5546875" style="2" customWidth="1"/>
    <col min="781" max="781" width="10.77734375" style="2" customWidth="1"/>
    <col min="782" max="782" width="8.21875" style="2" customWidth="1"/>
    <col min="783" max="783" width="12.21875" style="2" customWidth="1"/>
    <col min="784" max="784" width="10.21875" style="2" customWidth="1"/>
    <col min="785" max="785" width="9.21875" style="2" customWidth="1"/>
    <col min="786" max="1024" width="8.77734375" style="2"/>
    <col min="1025" max="1025" width="4.21875" style="2" customWidth="1"/>
    <col min="1026" max="1026" width="2.5546875" style="2" customWidth="1"/>
    <col min="1027" max="1028" width="8.77734375" style="2"/>
    <col min="1029" max="1029" width="5.77734375" style="2" customWidth="1"/>
    <col min="1030" max="1030" width="8.77734375" style="2" customWidth="1"/>
    <col min="1031" max="1031" width="3.21875" style="2" customWidth="1"/>
    <col min="1032" max="1032" width="10.21875" style="2" customWidth="1"/>
    <col min="1033" max="1033" width="3.77734375" style="2" customWidth="1"/>
    <col min="1034" max="1034" width="8.21875" style="2" customWidth="1"/>
    <col min="1035" max="1035" width="6.21875" style="2" customWidth="1"/>
    <col min="1036" max="1036" width="5.5546875" style="2" customWidth="1"/>
    <col min="1037" max="1037" width="10.77734375" style="2" customWidth="1"/>
    <col min="1038" max="1038" width="8.21875" style="2" customWidth="1"/>
    <col min="1039" max="1039" width="12.21875" style="2" customWidth="1"/>
    <col min="1040" max="1040" width="10.21875" style="2" customWidth="1"/>
    <col min="1041" max="1041" width="9.21875" style="2" customWidth="1"/>
    <col min="1042" max="1280" width="8.77734375" style="2"/>
    <col min="1281" max="1281" width="4.21875" style="2" customWidth="1"/>
    <col min="1282" max="1282" width="2.5546875" style="2" customWidth="1"/>
    <col min="1283" max="1284" width="8.77734375" style="2"/>
    <col min="1285" max="1285" width="5.77734375" style="2" customWidth="1"/>
    <col min="1286" max="1286" width="8.77734375" style="2" customWidth="1"/>
    <col min="1287" max="1287" width="3.21875" style="2" customWidth="1"/>
    <col min="1288" max="1288" width="10.21875" style="2" customWidth="1"/>
    <col min="1289" max="1289" width="3.77734375" style="2" customWidth="1"/>
    <col min="1290" max="1290" width="8.21875" style="2" customWidth="1"/>
    <col min="1291" max="1291" width="6.21875" style="2" customWidth="1"/>
    <col min="1292" max="1292" width="5.5546875" style="2" customWidth="1"/>
    <col min="1293" max="1293" width="10.77734375" style="2" customWidth="1"/>
    <col min="1294" max="1294" width="8.21875" style="2" customWidth="1"/>
    <col min="1295" max="1295" width="12.21875" style="2" customWidth="1"/>
    <col min="1296" max="1296" width="10.21875" style="2" customWidth="1"/>
    <col min="1297" max="1297" width="9.21875" style="2" customWidth="1"/>
    <col min="1298" max="1536" width="8.77734375" style="2"/>
    <col min="1537" max="1537" width="4.21875" style="2" customWidth="1"/>
    <col min="1538" max="1538" width="2.5546875" style="2" customWidth="1"/>
    <col min="1539" max="1540" width="8.77734375" style="2"/>
    <col min="1541" max="1541" width="5.77734375" style="2" customWidth="1"/>
    <col min="1542" max="1542" width="8.77734375" style="2" customWidth="1"/>
    <col min="1543" max="1543" width="3.21875" style="2" customWidth="1"/>
    <col min="1544" max="1544" width="10.21875" style="2" customWidth="1"/>
    <col min="1545" max="1545" width="3.77734375" style="2" customWidth="1"/>
    <col min="1546" max="1546" width="8.21875" style="2" customWidth="1"/>
    <col min="1547" max="1547" width="6.21875" style="2" customWidth="1"/>
    <col min="1548" max="1548" width="5.5546875" style="2" customWidth="1"/>
    <col min="1549" max="1549" width="10.77734375" style="2" customWidth="1"/>
    <col min="1550" max="1550" width="8.21875" style="2" customWidth="1"/>
    <col min="1551" max="1551" width="12.21875" style="2" customWidth="1"/>
    <col min="1552" max="1552" width="10.21875" style="2" customWidth="1"/>
    <col min="1553" max="1553" width="9.21875" style="2" customWidth="1"/>
    <col min="1554" max="1792" width="8.77734375" style="2"/>
    <col min="1793" max="1793" width="4.21875" style="2" customWidth="1"/>
    <col min="1794" max="1794" width="2.5546875" style="2" customWidth="1"/>
    <col min="1795" max="1796" width="8.77734375" style="2"/>
    <col min="1797" max="1797" width="5.77734375" style="2" customWidth="1"/>
    <col min="1798" max="1798" width="8.77734375" style="2" customWidth="1"/>
    <col min="1799" max="1799" width="3.21875" style="2" customWidth="1"/>
    <col min="1800" max="1800" width="10.21875" style="2" customWidth="1"/>
    <col min="1801" max="1801" width="3.77734375" style="2" customWidth="1"/>
    <col min="1802" max="1802" width="8.21875" style="2" customWidth="1"/>
    <col min="1803" max="1803" width="6.21875" style="2" customWidth="1"/>
    <col min="1804" max="1804" width="5.5546875" style="2" customWidth="1"/>
    <col min="1805" max="1805" width="10.77734375" style="2" customWidth="1"/>
    <col min="1806" max="1806" width="8.21875" style="2" customWidth="1"/>
    <col min="1807" max="1807" width="12.21875" style="2" customWidth="1"/>
    <col min="1808" max="1808" width="10.21875" style="2" customWidth="1"/>
    <col min="1809" max="1809" width="9.21875" style="2" customWidth="1"/>
    <col min="1810" max="2048" width="8.77734375" style="2"/>
    <col min="2049" max="2049" width="4.21875" style="2" customWidth="1"/>
    <col min="2050" max="2050" width="2.5546875" style="2" customWidth="1"/>
    <col min="2051" max="2052" width="8.77734375" style="2"/>
    <col min="2053" max="2053" width="5.77734375" style="2" customWidth="1"/>
    <col min="2054" max="2054" width="8.77734375" style="2" customWidth="1"/>
    <col min="2055" max="2055" width="3.21875" style="2" customWidth="1"/>
    <col min="2056" max="2056" width="10.21875" style="2" customWidth="1"/>
    <col min="2057" max="2057" width="3.77734375" style="2" customWidth="1"/>
    <col min="2058" max="2058" width="8.21875" style="2" customWidth="1"/>
    <col min="2059" max="2059" width="6.21875" style="2" customWidth="1"/>
    <col min="2060" max="2060" width="5.5546875" style="2" customWidth="1"/>
    <col min="2061" max="2061" width="10.77734375" style="2" customWidth="1"/>
    <col min="2062" max="2062" width="8.21875" style="2" customWidth="1"/>
    <col min="2063" max="2063" width="12.21875" style="2" customWidth="1"/>
    <col min="2064" max="2064" width="10.21875" style="2" customWidth="1"/>
    <col min="2065" max="2065" width="9.21875" style="2" customWidth="1"/>
    <col min="2066" max="2304" width="8.77734375" style="2"/>
    <col min="2305" max="2305" width="4.21875" style="2" customWidth="1"/>
    <col min="2306" max="2306" width="2.5546875" style="2" customWidth="1"/>
    <col min="2307" max="2308" width="8.77734375" style="2"/>
    <col min="2309" max="2309" width="5.77734375" style="2" customWidth="1"/>
    <col min="2310" max="2310" width="8.77734375" style="2" customWidth="1"/>
    <col min="2311" max="2311" width="3.21875" style="2" customWidth="1"/>
    <col min="2312" max="2312" width="10.21875" style="2" customWidth="1"/>
    <col min="2313" max="2313" width="3.77734375" style="2" customWidth="1"/>
    <col min="2314" max="2314" width="8.21875" style="2" customWidth="1"/>
    <col min="2315" max="2315" width="6.21875" style="2" customWidth="1"/>
    <col min="2316" max="2316" width="5.5546875" style="2" customWidth="1"/>
    <col min="2317" max="2317" width="10.77734375" style="2" customWidth="1"/>
    <col min="2318" max="2318" width="8.21875" style="2" customWidth="1"/>
    <col min="2319" max="2319" width="12.21875" style="2" customWidth="1"/>
    <col min="2320" max="2320" width="10.21875" style="2" customWidth="1"/>
    <col min="2321" max="2321" width="9.21875" style="2" customWidth="1"/>
    <col min="2322" max="2560" width="8.77734375" style="2"/>
    <col min="2561" max="2561" width="4.21875" style="2" customWidth="1"/>
    <col min="2562" max="2562" width="2.5546875" style="2" customWidth="1"/>
    <col min="2563" max="2564" width="8.77734375" style="2"/>
    <col min="2565" max="2565" width="5.77734375" style="2" customWidth="1"/>
    <col min="2566" max="2566" width="8.77734375" style="2" customWidth="1"/>
    <col min="2567" max="2567" width="3.21875" style="2" customWidth="1"/>
    <col min="2568" max="2568" width="10.21875" style="2" customWidth="1"/>
    <col min="2569" max="2569" width="3.77734375" style="2" customWidth="1"/>
    <col min="2570" max="2570" width="8.21875" style="2" customWidth="1"/>
    <col min="2571" max="2571" width="6.21875" style="2" customWidth="1"/>
    <col min="2572" max="2572" width="5.5546875" style="2" customWidth="1"/>
    <col min="2573" max="2573" width="10.77734375" style="2" customWidth="1"/>
    <col min="2574" max="2574" width="8.21875" style="2" customWidth="1"/>
    <col min="2575" max="2575" width="12.21875" style="2" customWidth="1"/>
    <col min="2576" max="2576" width="10.21875" style="2" customWidth="1"/>
    <col min="2577" max="2577" width="9.21875" style="2" customWidth="1"/>
    <col min="2578" max="2816" width="8.77734375" style="2"/>
    <col min="2817" max="2817" width="4.21875" style="2" customWidth="1"/>
    <col min="2818" max="2818" width="2.5546875" style="2" customWidth="1"/>
    <col min="2819" max="2820" width="8.77734375" style="2"/>
    <col min="2821" max="2821" width="5.77734375" style="2" customWidth="1"/>
    <col min="2822" max="2822" width="8.77734375" style="2" customWidth="1"/>
    <col min="2823" max="2823" width="3.21875" style="2" customWidth="1"/>
    <col min="2824" max="2824" width="10.21875" style="2" customWidth="1"/>
    <col min="2825" max="2825" width="3.77734375" style="2" customWidth="1"/>
    <col min="2826" max="2826" width="8.21875" style="2" customWidth="1"/>
    <col min="2827" max="2827" width="6.21875" style="2" customWidth="1"/>
    <col min="2828" max="2828" width="5.5546875" style="2" customWidth="1"/>
    <col min="2829" max="2829" width="10.77734375" style="2" customWidth="1"/>
    <col min="2830" max="2830" width="8.21875" style="2" customWidth="1"/>
    <col min="2831" max="2831" width="12.21875" style="2" customWidth="1"/>
    <col min="2832" max="2832" width="10.21875" style="2" customWidth="1"/>
    <col min="2833" max="2833" width="9.21875" style="2" customWidth="1"/>
    <col min="2834" max="3072" width="8.77734375" style="2"/>
    <col min="3073" max="3073" width="4.21875" style="2" customWidth="1"/>
    <col min="3074" max="3074" width="2.5546875" style="2" customWidth="1"/>
    <col min="3075" max="3076" width="8.77734375" style="2"/>
    <col min="3077" max="3077" width="5.77734375" style="2" customWidth="1"/>
    <col min="3078" max="3078" width="8.77734375" style="2" customWidth="1"/>
    <col min="3079" max="3079" width="3.21875" style="2" customWidth="1"/>
    <col min="3080" max="3080" width="10.21875" style="2" customWidth="1"/>
    <col min="3081" max="3081" width="3.77734375" style="2" customWidth="1"/>
    <col min="3082" max="3082" width="8.21875" style="2" customWidth="1"/>
    <col min="3083" max="3083" width="6.21875" style="2" customWidth="1"/>
    <col min="3084" max="3084" width="5.5546875" style="2" customWidth="1"/>
    <col min="3085" max="3085" width="10.77734375" style="2" customWidth="1"/>
    <col min="3086" max="3086" width="8.21875" style="2" customWidth="1"/>
    <col min="3087" max="3087" width="12.21875" style="2" customWidth="1"/>
    <col min="3088" max="3088" width="10.21875" style="2" customWidth="1"/>
    <col min="3089" max="3089" width="9.21875" style="2" customWidth="1"/>
    <col min="3090" max="3328" width="8.77734375" style="2"/>
    <col min="3329" max="3329" width="4.21875" style="2" customWidth="1"/>
    <col min="3330" max="3330" width="2.5546875" style="2" customWidth="1"/>
    <col min="3331" max="3332" width="8.77734375" style="2"/>
    <col min="3333" max="3333" width="5.77734375" style="2" customWidth="1"/>
    <col min="3334" max="3334" width="8.77734375" style="2" customWidth="1"/>
    <col min="3335" max="3335" width="3.21875" style="2" customWidth="1"/>
    <col min="3336" max="3336" width="10.21875" style="2" customWidth="1"/>
    <col min="3337" max="3337" width="3.77734375" style="2" customWidth="1"/>
    <col min="3338" max="3338" width="8.21875" style="2" customWidth="1"/>
    <col min="3339" max="3339" width="6.21875" style="2" customWidth="1"/>
    <col min="3340" max="3340" width="5.5546875" style="2" customWidth="1"/>
    <col min="3341" max="3341" width="10.77734375" style="2" customWidth="1"/>
    <col min="3342" max="3342" width="8.21875" style="2" customWidth="1"/>
    <col min="3343" max="3343" width="12.21875" style="2" customWidth="1"/>
    <col min="3344" max="3344" width="10.21875" style="2" customWidth="1"/>
    <col min="3345" max="3345" width="9.21875" style="2" customWidth="1"/>
    <col min="3346" max="3584" width="8.77734375" style="2"/>
    <col min="3585" max="3585" width="4.21875" style="2" customWidth="1"/>
    <col min="3586" max="3586" width="2.5546875" style="2" customWidth="1"/>
    <col min="3587" max="3588" width="8.77734375" style="2"/>
    <col min="3589" max="3589" width="5.77734375" style="2" customWidth="1"/>
    <col min="3590" max="3590" width="8.77734375" style="2" customWidth="1"/>
    <col min="3591" max="3591" width="3.21875" style="2" customWidth="1"/>
    <col min="3592" max="3592" width="10.21875" style="2" customWidth="1"/>
    <col min="3593" max="3593" width="3.77734375" style="2" customWidth="1"/>
    <col min="3594" max="3594" width="8.21875" style="2" customWidth="1"/>
    <col min="3595" max="3595" width="6.21875" style="2" customWidth="1"/>
    <col min="3596" max="3596" width="5.5546875" style="2" customWidth="1"/>
    <col min="3597" max="3597" width="10.77734375" style="2" customWidth="1"/>
    <col min="3598" max="3598" width="8.21875" style="2" customWidth="1"/>
    <col min="3599" max="3599" width="12.21875" style="2" customWidth="1"/>
    <col min="3600" max="3600" width="10.21875" style="2" customWidth="1"/>
    <col min="3601" max="3601" width="9.21875" style="2" customWidth="1"/>
    <col min="3602" max="3840" width="8.77734375" style="2"/>
    <col min="3841" max="3841" width="4.21875" style="2" customWidth="1"/>
    <col min="3842" max="3842" width="2.5546875" style="2" customWidth="1"/>
    <col min="3843" max="3844" width="8.77734375" style="2"/>
    <col min="3845" max="3845" width="5.77734375" style="2" customWidth="1"/>
    <col min="3846" max="3846" width="8.77734375" style="2" customWidth="1"/>
    <col min="3847" max="3847" width="3.21875" style="2" customWidth="1"/>
    <col min="3848" max="3848" width="10.21875" style="2" customWidth="1"/>
    <col min="3849" max="3849" width="3.77734375" style="2" customWidth="1"/>
    <col min="3850" max="3850" width="8.21875" style="2" customWidth="1"/>
    <col min="3851" max="3851" width="6.21875" style="2" customWidth="1"/>
    <col min="3852" max="3852" width="5.5546875" style="2" customWidth="1"/>
    <col min="3853" max="3853" width="10.77734375" style="2" customWidth="1"/>
    <col min="3854" max="3854" width="8.21875" style="2" customWidth="1"/>
    <col min="3855" max="3855" width="12.21875" style="2" customWidth="1"/>
    <col min="3856" max="3856" width="10.21875" style="2" customWidth="1"/>
    <col min="3857" max="3857" width="9.21875" style="2" customWidth="1"/>
    <col min="3858" max="4096" width="8.77734375" style="2"/>
    <col min="4097" max="4097" width="4.21875" style="2" customWidth="1"/>
    <col min="4098" max="4098" width="2.5546875" style="2" customWidth="1"/>
    <col min="4099" max="4100" width="8.77734375" style="2"/>
    <col min="4101" max="4101" width="5.77734375" style="2" customWidth="1"/>
    <col min="4102" max="4102" width="8.77734375" style="2" customWidth="1"/>
    <col min="4103" max="4103" width="3.21875" style="2" customWidth="1"/>
    <col min="4104" max="4104" width="10.21875" style="2" customWidth="1"/>
    <col min="4105" max="4105" width="3.77734375" style="2" customWidth="1"/>
    <col min="4106" max="4106" width="8.21875" style="2" customWidth="1"/>
    <col min="4107" max="4107" width="6.21875" style="2" customWidth="1"/>
    <col min="4108" max="4108" width="5.5546875" style="2" customWidth="1"/>
    <col min="4109" max="4109" width="10.77734375" style="2" customWidth="1"/>
    <col min="4110" max="4110" width="8.21875" style="2" customWidth="1"/>
    <col min="4111" max="4111" width="12.21875" style="2" customWidth="1"/>
    <col min="4112" max="4112" width="10.21875" style="2" customWidth="1"/>
    <col min="4113" max="4113" width="9.21875" style="2" customWidth="1"/>
    <col min="4114" max="4352" width="8.77734375" style="2"/>
    <col min="4353" max="4353" width="4.21875" style="2" customWidth="1"/>
    <col min="4354" max="4354" width="2.5546875" style="2" customWidth="1"/>
    <col min="4355" max="4356" width="8.77734375" style="2"/>
    <col min="4357" max="4357" width="5.77734375" style="2" customWidth="1"/>
    <col min="4358" max="4358" width="8.77734375" style="2" customWidth="1"/>
    <col min="4359" max="4359" width="3.21875" style="2" customWidth="1"/>
    <col min="4360" max="4360" width="10.21875" style="2" customWidth="1"/>
    <col min="4361" max="4361" width="3.77734375" style="2" customWidth="1"/>
    <col min="4362" max="4362" width="8.21875" style="2" customWidth="1"/>
    <col min="4363" max="4363" width="6.21875" style="2" customWidth="1"/>
    <col min="4364" max="4364" width="5.5546875" style="2" customWidth="1"/>
    <col min="4365" max="4365" width="10.77734375" style="2" customWidth="1"/>
    <col min="4366" max="4366" width="8.21875" style="2" customWidth="1"/>
    <col min="4367" max="4367" width="12.21875" style="2" customWidth="1"/>
    <col min="4368" max="4368" width="10.21875" style="2" customWidth="1"/>
    <col min="4369" max="4369" width="9.21875" style="2" customWidth="1"/>
    <col min="4370" max="4608" width="8.77734375" style="2"/>
    <col min="4609" max="4609" width="4.21875" style="2" customWidth="1"/>
    <col min="4610" max="4610" width="2.5546875" style="2" customWidth="1"/>
    <col min="4611" max="4612" width="8.77734375" style="2"/>
    <col min="4613" max="4613" width="5.77734375" style="2" customWidth="1"/>
    <col min="4614" max="4614" width="8.77734375" style="2" customWidth="1"/>
    <col min="4615" max="4615" width="3.21875" style="2" customWidth="1"/>
    <col min="4616" max="4616" width="10.21875" style="2" customWidth="1"/>
    <col min="4617" max="4617" width="3.77734375" style="2" customWidth="1"/>
    <col min="4618" max="4618" width="8.21875" style="2" customWidth="1"/>
    <col min="4619" max="4619" width="6.21875" style="2" customWidth="1"/>
    <col min="4620" max="4620" width="5.5546875" style="2" customWidth="1"/>
    <col min="4621" max="4621" width="10.77734375" style="2" customWidth="1"/>
    <col min="4622" max="4622" width="8.21875" style="2" customWidth="1"/>
    <col min="4623" max="4623" width="12.21875" style="2" customWidth="1"/>
    <col min="4624" max="4624" width="10.21875" style="2" customWidth="1"/>
    <col min="4625" max="4625" width="9.21875" style="2" customWidth="1"/>
    <col min="4626" max="4864" width="8.77734375" style="2"/>
    <col min="4865" max="4865" width="4.21875" style="2" customWidth="1"/>
    <col min="4866" max="4866" width="2.5546875" style="2" customWidth="1"/>
    <col min="4867" max="4868" width="8.77734375" style="2"/>
    <col min="4869" max="4869" width="5.77734375" style="2" customWidth="1"/>
    <col min="4870" max="4870" width="8.77734375" style="2" customWidth="1"/>
    <col min="4871" max="4871" width="3.21875" style="2" customWidth="1"/>
    <col min="4872" max="4872" width="10.21875" style="2" customWidth="1"/>
    <col min="4873" max="4873" width="3.77734375" style="2" customWidth="1"/>
    <col min="4874" max="4874" width="8.21875" style="2" customWidth="1"/>
    <col min="4875" max="4875" width="6.21875" style="2" customWidth="1"/>
    <col min="4876" max="4876" width="5.5546875" style="2" customWidth="1"/>
    <col min="4877" max="4877" width="10.77734375" style="2" customWidth="1"/>
    <col min="4878" max="4878" width="8.21875" style="2" customWidth="1"/>
    <col min="4879" max="4879" width="12.21875" style="2" customWidth="1"/>
    <col min="4880" max="4880" width="10.21875" style="2" customWidth="1"/>
    <col min="4881" max="4881" width="9.21875" style="2" customWidth="1"/>
    <col min="4882" max="5120" width="8.77734375" style="2"/>
    <col min="5121" max="5121" width="4.21875" style="2" customWidth="1"/>
    <col min="5122" max="5122" width="2.5546875" style="2" customWidth="1"/>
    <col min="5123" max="5124" width="8.77734375" style="2"/>
    <col min="5125" max="5125" width="5.77734375" style="2" customWidth="1"/>
    <col min="5126" max="5126" width="8.77734375" style="2" customWidth="1"/>
    <col min="5127" max="5127" width="3.21875" style="2" customWidth="1"/>
    <col min="5128" max="5128" width="10.21875" style="2" customWidth="1"/>
    <col min="5129" max="5129" width="3.77734375" style="2" customWidth="1"/>
    <col min="5130" max="5130" width="8.21875" style="2" customWidth="1"/>
    <col min="5131" max="5131" width="6.21875" style="2" customWidth="1"/>
    <col min="5132" max="5132" width="5.5546875" style="2" customWidth="1"/>
    <col min="5133" max="5133" width="10.77734375" style="2" customWidth="1"/>
    <col min="5134" max="5134" width="8.21875" style="2" customWidth="1"/>
    <col min="5135" max="5135" width="12.21875" style="2" customWidth="1"/>
    <col min="5136" max="5136" width="10.21875" style="2" customWidth="1"/>
    <col min="5137" max="5137" width="9.21875" style="2" customWidth="1"/>
    <col min="5138" max="5376" width="8.77734375" style="2"/>
    <col min="5377" max="5377" width="4.21875" style="2" customWidth="1"/>
    <col min="5378" max="5378" width="2.5546875" style="2" customWidth="1"/>
    <col min="5379" max="5380" width="8.77734375" style="2"/>
    <col min="5381" max="5381" width="5.77734375" style="2" customWidth="1"/>
    <col min="5382" max="5382" width="8.77734375" style="2" customWidth="1"/>
    <col min="5383" max="5383" width="3.21875" style="2" customWidth="1"/>
    <col min="5384" max="5384" width="10.21875" style="2" customWidth="1"/>
    <col min="5385" max="5385" width="3.77734375" style="2" customWidth="1"/>
    <col min="5386" max="5386" width="8.21875" style="2" customWidth="1"/>
    <col min="5387" max="5387" width="6.21875" style="2" customWidth="1"/>
    <col min="5388" max="5388" width="5.5546875" style="2" customWidth="1"/>
    <col min="5389" max="5389" width="10.77734375" style="2" customWidth="1"/>
    <col min="5390" max="5390" width="8.21875" style="2" customWidth="1"/>
    <col min="5391" max="5391" width="12.21875" style="2" customWidth="1"/>
    <col min="5392" max="5392" width="10.21875" style="2" customWidth="1"/>
    <col min="5393" max="5393" width="9.21875" style="2" customWidth="1"/>
    <col min="5394" max="5632" width="8.77734375" style="2"/>
    <col min="5633" max="5633" width="4.21875" style="2" customWidth="1"/>
    <col min="5634" max="5634" width="2.5546875" style="2" customWidth="1"/>
    <col min="5635" max="5636" width="8.77734375" style="2"/>
    <col min="5637" max="5637" width="5.77734375" style="2" customWidth="1"/>
    <col min="5638" max="5638" width="8.77734375" style="2" customWidth="1"/>
    <col min="5639" max="5639" width="3.21875" style="2" customWidth="1"/>
    <col min="5640" max="5640" width="10.21875" style="2" customWidth="1"/>
    <col min="5641" max="5641" width="3.77734375" style="2" customWidth="1"/>
    <col min="5642" max="5642" width="8.21875" style="2" customWidth="1"/>
    <col min="5643" max="5643" width="6.21875" style="2" customWidth="1"/>
    <col min="5644" max="5644" width="5.5546875" style="2" customWidth="1"/>
    <col min="5645" max="5645" width="10.77734375" style="2" customWidth="1"/>
    <col min="5646" max="5646" width="8.21875" style="2" customWidth="1"/>
    <col min="5647" max="5647" width="12.21875" style="2" customWidth="1"/>
    <col min="5648" max="5648" width="10.21875" style="2" customWidth="1"/>
    <col min="5649" max="5649" width="9.21875" style="2" customWidth="1"/>
    <col min="5650" max="5888" width="8.77734375" style="2"/>
    <col min="5889" max="5889" width="4.21875" style="2" customWidth="1"/>
    <col min="5890" max="5890" width="2.5546875" style="2" customWidth="1"/>
    <col min="5891" max="5892" width="8.77734375" style="2"/>
    <col min="5893" max="5893" width="5.77734375" style="2" customWidth="1"/>
    <col min="5894" max="5894" width="8.77734375" style="2" customWidth="1"/>
    <col min="5895" max="5895" width="3.21875" style="2" customWidth="1"/>
    <col min="5896" max="5896" width="10.21875" style="2" customWidth="1"/>
    <col min="5897" max="5897" width="3.77734375" style="2" customWidth="1"/>
    <col min="5898" max="5898" width="8.21875" style="2" customWidth="1"/>
    <col min="5899" max="5899" width="6.21875" style="2" customWidth="1"/>
    <col min="5900" max="5900" width="5.5546875" style="2" customWidth="1"/>
    <col min="5901" max="5901" width="10.77734375" style="2" customWidth="1"/>
    <col min="5902" max="5902" width="8.21875" style="2" customWidth="1"/>
    <col min="5903" max="5903" width="12.21875" style="2" customWidth="1"/>
    <col min="5904" max="5904" width="10.21875" style="2" customWidth="1"/>
    <col min="5905" max="5905" width="9.21875" style="2" customWidth="1"/>
    <col min="5906" max="6144" width="8.77734375" style="2"/>
    <col min="6145" max="6145" width="4.21875" style="2" customWidth="1"/>
    <col min="6146" max="6146" width="2.5546875" style="2" customWidth="1"/>
    <col min="6147" max="6148" width="8.77734375" style="2"/>
    <col min="6149" max="6149" width="5.77734375" style="2" customWidth="1"/>
    <col min="6150" max="6150" width="8.77734375" style="2" customWidth="1"/>
    <col min="6151" max="6151" width="3.21875" style="2" customWidth="1"/>
    <col min="6152" max="6152" width="10.21875" style="2" customWidth="1"/>
    <col min="6153" max="6153" width="3.77734375" style="2" customWidth="1"/>
    <col min="6154" max="6154" width="8.21875" style="2" customWidth="1"/>
    <col min="6155" max="6155" width="6.21875" style="2" customWidth="1"/>
    <col min="6156" max="6156" width="5.5546875" style="2" customWidth="1"/>
    <col min="6157" max="6157" width="10.77734375" style="2" customWidth="1"/>
    <col min="6158" max="6158" width="8.21875" style="2" customWidth="1"/>
    <col min="6159" max="6159" width="12.21875" style="2" customWidth="1"/>
    <col min="6160" max="6160" width="10.21875" style="2" customWidth="1"/>
    <col min="6161" max="6161" width="9.21875" style="2" customWidth="1"/>
    <col min="6162" max="6400" width="8.77734375" style="2"/>
    <col min="6401" max="6401" width="4.21875" style="2" customWidth="1"/>
    <col min="6402" max="6402" width="2.5546875" style="2" customWidth="1"/>
    <col min="6403" max="6404" width="8.77734375" style="2"/>
    <col min="6405" max="6405" width="5.77734375" style="2" customWidth="1"/>
    <col min="6406" max="6406" width="8.77734375" style="2" customWidth="1"/>
    <col min="6407" max="6407" width="3.21875" style="2" customWidth="1"/>
    <col min="6408" max="6408" width="10.21875" style="2" customWidth="1"/>
    <col min="6409" max="6409" width="3.77734375" style="2" customWidth="1"/>
    <col min="6410" max="6410" width="8.21875" style="2" customWidth="1"/>
    <col min="6411" max="6411" width="6.21875" style="2" customWidth="1"/>
    <col min="6412" max="6412" width="5.5546875" style="2" customWidth="1"/>
    <col min="6413" max="6413" width="10.77734375" style="2" customWidth="1"/>
    <col min="6414" max="6414" width="8.21875" style="2" customWidth="1"/>
    <col min="6415" max="6415" width="12.21875" style="2" customWidth="1"/>
    <col min="6416" max="6416" width="10.21875" style="2" customWidth="1"/>
    <col min="6417" max="6417" width="9.21875" style="2" customWidth="1"/>
    <col min="6418" max="6656" width="8.77734375" style="2"/>
    <col min="6657" max="6657" width="4.21875" style="2" customWidth="1"/>
    <col min="6658" max="6658" width="2.5546875" style="2" customWidth="1"/>
    <col min="6659" max="6660" width="8.77734375" style="2"/>
    <col min="6661" max="6661" width="5.77734375" style="2" customWidth="1"/>
    <col min="6662" max="6662" width="8.77734375" style="2" customWidth="1"/>
    <col min="6663" max="6663" width="3.21875" style="2" customWidth="1"/>
    <col min="6664" max="6664" width="10.21875" style="2" customWidth="1"/>
    <col min="6665" max="6665" width="3.77734375" style="2" customWidth="1"/>
    <col min="6666" max="6666" width="8.21875" style="2" customWidth="1"/>
    <col min="6667" max="6667" width="6.21875" style="2" customWidth="1"/>
    <col min="6668" max="6668" width="5.5546875" style="2" customWidth="1"/>
    <col min="6669" max="6669" width="10.77734375" style="2" customWidth="1"/>
    <col min="6670" max="6670" width="8.21875" style="2" customWidth="1"/>
    <col min="6671" max="6671" width="12.21875" style="2" customWidth="1"/>
    <col min="6672" max="6672" width="10.21875" style="2" customWidth="1"/>
    <col min="6673" max="6673" width="9.21875" style="2" customWidth="1"/>
    <col min="6674" max="6912" width="8.77734375" style="2"/>
    <col min="6913" max="6913" width="4.21875" style="2" customWidth="1"/>
    <col min="6914" max="6914" width="2.5546875" style="2" customWidth="1"/>
    <col min="6915" max="6916" width="8.77734375" style="2"/>
    <col min="6917" max="6917" width="5.77734375" style="2" customWidth="1"/>
    <col min="6918" max="6918" width="8.77734375" style="2" customWidth="1"/>
    <col min="6919" max="6919" width="3.21875" style="2" customWidth="1"/>
    <col min="6920" max="6920" width="10.21875" style="2" customWidth="1"/>
    <col min="6921" max="6921" width="3.77734375" style="2" customWidth="1"/>
    <col min="6922" max="6922" width="8.21875" style="2" customWidth="1"/>
    <col min="6923" max="6923" width="6.21875" style="2" customWidth="1"/>
    <col min="6924" max="6924" width="5.5546875" style="2" customWidth="1"/>
    <col min="6925" max="6925" width="10.77734375" style="2" customWidth="1"/>
    <col min="6926" max="6926" width="8.21875" style="2" customWidth="1"/>
    <col min="6927" max="6927" width="12.21875" style="2" customWidth="1"/>
    <col min="6928" max="6928" width="10.21875" style="2" customWidth="1"/>
    <col min="6929" max="6929" width="9.21875" style="2" customWidth="1"/>
    <col min="6930" max="7168" width="8.77734375" style="2"/>
    <col min="7169" max="7169" width="4.21875" style="2" customWidth="1"/>
    <col min="7170" max="7170" width="2.5546875" style="2" customWidth="1"/>
    <col min="7171" max="7172" width="8.77734375" style="2"/>
    <col min="7173" max="7173" width="5.77734375" style="2" customWidth="1"/>
    <col min="7174" max="7174" width="8.77734375" style="2" customWidth="1"/>
    <col min="7175" max="7175" width="3.21875" style="2" customWidth="1"/>
    <col min="7176" max="7176" width="10.21875" style="2" customWidth="1"/>
    <col min="7177" max="7177" width="3.77734375" style="2" customWidth="1"/>
    <col min="7178" max="7178" width="8.21875" style="2" customWidth="1"/>
    <col min="7179" max="7179" width="6.21875" style="2" customWidth="1"/>
    <col min="7180" max="7180" width="5.5546875" style="2" customWidth="1"/>
    <col min="7181" max="7181" width="10.77734375" style="2" customWidth="1"/>
    <col min="7182" max="7182" width="8.21875" style="2" customWidth="1"/>
    <col min="7183" max="7183" width="12.21875" style="2" customWidth="1"/>
    <col min="7184" max="7184" width="10.21875" style="2" customWidth="1"/>
    <col min="7185" max="7185" width="9.21875" style="2" customWidth="1"/>
    <col min="7186" max="7424" width="8.77734375" style="2"/>
    <col min="7425" max="7425" width="4.21875" style="2" customWidth="1"/>
    <col min="7426" max="7426" width="2.5546875" style="2" customWidth="1"/>
    <col min="7427" max="7428" width="8.77734375" style="2"/>
    <col min="7429" max="7429" width="5.77734375" style="2" customWidth="1"/>
    <col min="7430" max="7430" width="8.77734375" style="2" customWidth="1"/>
    <col min="7431" max="7431" width="3.21875" style="2" customWidth="1"/>
    <col min="7432" max="7432" width="10.21875" style="2" customWidth="1"/>
    <col min="7433" max="7433" width="3.77734375" style="2" customWidth="1"/>
    <col min="7434" max="7434" width="8.21875" style="2" customWidth="1"/>
    <col min="7435" max="7435" width="6.21875" style="2" customWidth="1"/>
    <col min="7436" max="7436" width="5.5546875" style="2" customWidth="1"/>
    <col min="7437" max="7437" width="10.77734375" style="2" customWidth="1"/>
    <col min="7438" max="7438" width="8.21875" style="2" customWidth="1"/>
    <col min="7439" max="7439" width="12.21875" style="2" customWidth="1"/>
    <col min="7440" max="7440" width="10.21875" style="2" customWidth="1"/>
    <col min="7441" max="7441" width="9.21875" style="2" customWidth="1"/>
    <col min="7442" max="7680" width="8.77734375" style="2"/>
    <col min="7681" max="7681" width="4.21875" style="2" customWidth="1"/>
    <col min="7682" max="7682" width="2.5546875" style="2" customWidth="1"/>
    <col min="7683" max="7684" width="8.77734375" style="2"/>
    <col min="7685" max="7685" width="5.77734375" style="2" customWidth="1"/>
    <col min="7686" max="7686" width="8.77734375" style="2" customWidth="1"/>
    <col min="7687" max="7687" width="3.21875" style="2" customWidth="1"/>
    <col min="7688" max="7688" width="10.21875" style="2" customWidth="1"/>
    <col min="7689" max="7689" width="3.77734375" style="2" customWidth="1"/>
    <col min="7690" max="7690" width="8.21875" style="2" customWidth="1"/>
    <col min="7691" max="7691" width="6.21875" style="2" customWidth="1"/>
    <col min="7692" max="7692" width="5.5546875" style="2" customWidth="1"/>
    <col min="7693" max="7693" width="10.77734375" style="2" customWidth="1"/>
    <col min="7694" max="7694" width="8.21875" style="2" customWidth="1"/>
    <col min="7695" max="7695" width="12.21875" style="2" customWidth="1"/>
    <col min="7696" max="7696" width="10.21875" style="2" customWidth="1"/>
    <col min="7697" max="7697" width="9.21875" style="2" customWidth="1"/>
    <col min="7698" max="7936" width="8.77734375" style="2"/>
    <col min="7937" max="7937" width="4.21875" style="2" customWidth="1"/>
    <col min="7938" max="7938" width="2.5546875" style="2" customWidth="1"/>
    <col min="7939" max="7940" width="8.77734375" style="2"/>
    <col min="7941" max="7941" width="5.77734375" style="2" customWidth="1"/>
    <col min="7942" max="7942" width="8.77734375" style="2" customWidth="1"/>
    <col min="7943" max="7943" width="3.21875" style="2" customWidth="1"/>
    <col min="7944" max="7944" width="10.21875" style="2" customWidth="1"/>
    <col min="7945" max="7945" width="3.77734375" style="2" customWidth="1"/>
    <col min="7946" max="7946" width="8.21875" style="2" customWidth="1"/>
    <col min="7947" max="7947" width="6.21875" style="2" customWidth="1"/>
    <col min="7948" max="7948" width="5.5546875" style="2" customWidth="1"/>
    <col min="7949" max="7949" width="10.77734375" style="2" customWidth="1"/>
    <col min="7950" max="7950" width="8.21875" style="2" customWidth="1"/>
    <col min="7951" max="7951" width="12.21875" style="2" customWidth="1"/>
    <col min="7952" max="7952" width="10.21875" style="2" customWidth="1"/>
    <col min="7953" max="7953" width="9.21875" style="2" customWidth="1"/>
    <col min="7954" max="8192" width="8.77734375" style="2"/>
    <col min="8193" max="8193" width="4.21875" style="2" customWidth="1"/>
    <col min="8194" max="8194" width="2.5546875" style="2" customWidth="1"/>
    <col min="8195" max="8196" width="8.77734375" style="2"/>
    <col min="8197" max="8197" width="5.77734375" style="2" customWidth="1"/>
    <col min="8198" max="8198" width="8.77734375" style="2" customWidth="1"/>
    <col min="8199" max="8199" width="3.21875" style="2" customWidth="1"/>
    <col min="8200" max="8200" width="10.21875" style="2" customWidth="1"/>
    <col min="8201" max="8201" width="3.77734375" style="2" customWidth="1"/>
    <col min="8202" max="8202" width="8.21875" style="2" customWidth="1"/>
    <col min="8203" max="8203" width="6.21875" style="2" customWidth="1"/>
    <col min="8204" max="8204" width="5.5546875" style="2" customWidth="1"/>
    <col min="8205" max="8205" width="10.77734375" style="2" customWidth="1"/>
    <col min="8206" max="8206" width="8.21875" style="2" customWidth="1"/>
    <col min="8207" max="8207" width="12.21875" style="2" customWidth="1"/>
    <col min="8208" max="8208" width="10.21875" style="2" customWidth="1"/>
    <col min="8209" max="8209" width="9.21875" style="2" customWidth="1"/>
    <col min="8210" max="8448" width="8.77734375" style="2"/>
    <col min="8449" max="8449" width="4.21875" style="2" customWidth="1"/>
    <col min="8450" max="8450" width="2.5546875" style="2" customWidth="1"/>
    <col min="8451" max="8452" width="8.77734375" style="2"/>
    <col min="8453" max="8453" width="5.77734375" style="2" customWidth="1"/>
    <col min="8454" max="8454" width="8.77734375" style="2" customWidth="1"/>
    <col min="8455" max="8455" width="3.21875" style="2" customWidth="1"/>
    <col min="8456" max="8456" width="10.21875" style="2" customWidth="1"/>
    <col min="8457" max="8457" width="3.77734375" style="2" customWidth="1"/>
    <col min="8458" max="8458" width="8.21875" style="2" customWidth="1"/>
    <col min="8459" max="8459" width="6.21875" style="2" customWidth="1"/>
    <col min="8460" max="8460" width="5.5546875" style="2" customWidth="1"/>
    <col min="8461" max="8461" width="10.77734375" style="2" customWidth="1"/>
    <col min="8462" max="8462" width="8.21875" style="2" customWidth="1"/>
    <col min="8463" max="8463" width="12.21875" style="2" customWidth="1"/>
    <col min="8464" max="8464" width="10.21875" style="2" customWidth="1"/>
    <col min="8465" max="8465" width="9.21875" style="2" customWidth="1"/>
    <col min="8466" max="8704" width="8.77734375" style="2"/>
    <col min="8705" max="8705" width="4.21875" style="2" customWidth="1"/>
    <col min="8706" max="8706" width="2.5546875" style="2" customWidth="1"/>
    <col min="8707" max="8708" width="8.77734375" style="2"/>
    <col min="8709" max="8709" width="5.77734375" style="2" customWidth="1"/>
    <col min="8710" max="8710" width="8.77734375" style="2" customWidth="1"/>
    <col min="8711" max="8711" width="3.21875" style="2" customWidth="1"/>
    <col min="8712" max="8712" width="10.21875" style="2" customWidth="1"/>
    <col min="8713" max="8713" width="3.77734375" style="2" customWidth="1"/>
    <col min="8714" max="8714" width="8.21875" style="2" customWidth="1"/>
    <col min="8715" max="8715" width="6.21875" style="2" customWidth="1"/>
    <col min="8716" max="8716" width="5.5546875" style="2" customWidth="1"/>
    <col min="8717" max="8717" width="10.77734375" style="2" customWidth="1"/>
    <col min="8718" max="8718" width="8.21875" style="2" customWidth="1"/>
    <col min="8719" max="8719" width="12.21875" style="2" customWidth="1"/>
    <col min="8720" max="8720" width="10.21875" style="2" customWidth="1"/>
    <col min="8721" max="8721" width="9.21875" style="2" customWidth="1"/>
    <col min="8722" max="8960" width="8.77734375" style="2"/>
    <col min="8961" max="8961" width="4.21875" style="2" customWidth="1"/>
    <col min="8962" max="8962" width="2.5546875" style="2" customWidth="1"/>
    <col min="8963" max="8964" width="8.77734375" style="2"/>
    <col min="8965" max="8965" width="5.77734375" style="2" customWidth="1"/>
    <col min="8966" max="8966" width="8.77734375" style="2" customWidth="1"/>
    <col min="8967" max="8967" width="3.21875" style="2" customWidth="1"/>
    <col min="8968" max="8968" width="10.21875" style="2" customWidth="1"/>
    <col min="8969" max="8969" width="3.77734375" style="2" customWidth="1"/>
    <col min="8970" max="8970" width="8.21875" style="2" customWidth="1"/>
    <col min="8971" max="8971" width="6.21875" style="2" customWidth="1"/>
    <col min="8972" max="8972" width="5.5546875" style="2" customWidth="1"/>
    <col min="8973" max="8973" width="10.77734375" style="2" customWidth="1"/>
    <col min="8974" max="8974" width="8.21875" style="2" customWidth="1"/>
    <col min="8975" max="8975" width="12.21875" style="2" customWidth="1"/>
    <col min="8976" max="8976" width="10.21875" style="2" customWidth="1"/>
    <col min="8977" max="8977" width="9.21875" style="2" customWidth="1"/>
    <col min="8978" max="9216" width="8.77734375" style="2"/>
    <col min="9217" max="9217" width="4.21875" style="2" customWidth="1"/>
    <col min="9218" max="9218" width="2.5546875" style="2" customWidth="1"/>
    <col min="9219" max="9220" width="8.77734375" style="2"/>
    <col min="9221" max="9221" width="5.77734375" style="2" customWidth="1"/>
    <col min="9222" max="9222" width="8.77734375" style="2" customWidth="1"/>
    <col min="9223" max="9223" width="3.21875" style="2" customWidth="1"/>
    <col min="9224" max="9224" width="10.21875" style="2" customWidth="1"/>
    <col min="9225" max="9225" width="3.77734375" style="2" customWidth="1"/>
    <col min="9226" max="9226" width="8.21875" style="2" customWidth="1"/>
    <col min="9227" max="9227" width="6.21875" style="2" customWidth="1"/>
    <col min="9228" max="9228" width="5.5546875" style="2" customWidth="1"/>
    <col min="9229" max="9229" width="10.77734375" style="2" customWidth="1"/>
    <col min="9230" max="9230" width="8.21875" style="2" customWidth="1"/>
    <col min="9231" max="9231" width="12.21875" style="2" customWidth="1"/>
    <col min="9232" max="9232" width="10.21875" style="2" customWidth="1"/>
    <col min="9233" max="9233" width="9.21875" style="2" customWidth="1"/>
    <col min="9234" max="9472" width="8.77734375" style="2"/>
    <col min="9473" max="9473" width="4.21875" style="2" customWidth="1"/>
    <col min="9474" max="9474" width="2.5546875" style="2" customWidth="1"/>
    <col min="9475" max="9476" width="8.77734375" style="2"/>
    <col min="9477" max="9477" width="5.77734375" style="2" customWidth="1"/>
    <col min="9478" max="9478" width="8.77734375" style="2" customWidth="1"/>
    <col min="9479" max="9479" width="3.21875" style="2" customWidth="1"/>
    <col min="9480" max="9480" width="10.21875" style="2" customWidth="1"/>
    <col min="9481" max="9481" width="3.77734375" style="2" customWidth="1"/>
    <col min="9482" max="9482" width="8.21875" style="2" customWidth="1"/>
    <col min="9483" max="9483" width="6.21875" style="2" customWidth="1"/>
    <col min="9484" max="9484" width="5.5546875" style="2" customWidth="1"/>
    <col min="9485" max="9485" width="10.77734375" style="2" customWidth="1"/>
    <col min="9486" max="9486" width="8.21875" style="2" customWidth="1"/>
    <col min="9487" max="9487" width="12.21875" style="2" customWidth="1"/>
    <col min="9488" max="9488" width="10.21875" style="2" customWidth="1"/>
    <col min="9489" max="9489" width="9.21875" style="2" customWidth="1"/>
    <col min="9490" max="9728" width="8.77734375" style="2"/>
    <col min="9729" max="9729" width="4.21875" style="2" customWidth="1"/>
    <col min="9730" max="9730" width="2.5546875" style="2" customWidth="1"/>
    <col min="9731" max="9732" width="8.77734375" style="2"/>
    <col min="9733" max="9733" width="5.77734375" style="2" customWidth="1"/>
    <col min="9734" max="9734" width="8.77734375" style="2" customWidth="1"/>
    <col min="9735" max="9735" width="3.21875" style="2" customWidth="1"/>
    <col min="9736" max="9736" width="10.21875" style="2" customWidth="1"/>
    <col min="9737" max="9737" width="3.77734375" style="2" customWidth="1"/>
    <col min="9738" max="9738" width="8.21875" style="2" customWidth="1"/>
    <col min="9739" max="9739" width="6.21875" style="2" customWidth="1"/>
    <col min="9740" max="9740" width="5.5546875" style="2" customWidth="1"/>
    <col min="9741" max="9741" width="10.77734375" style="2" customWidth="1"/>
    <col min="9742" max="9742" width="8.21875" style="2" customWidth="1"/>
    <col min="9743" max="9743" width="12.21875" style="2" customWidth="1"/>
    <col min="9744" max="9744" width="10.21875" style="2" customWidth="1"/>
    <col min="9745" max="9745" width="9.21875" style="2" customWidth="1"/>
    <col min="9746" max="9984" width="8.77734375" style="2"/>
    <col min="9985" max="9985" width="4.21875" style="2" customWidth="1"/>
    <col min="9986" max="9986" width="2.5546875" style="2" customWidth="1"/>
    <col min="9987" max="9988" width="8.77734375" style="2"/>
    <col min="9989" max="9989" width="5.77734375" style="2" customWidth="1"/>
    <col min="9990" max="9990" width="8.77734375" style="2" customWidth="1"/>
    <col min="9991" max="9991" width="3.21875" style="2" customWidth="1"/>
    <col min="9992" max="9992" width="10.21875" style="2" customWidth="1"/>
    <col min="9993" max="9993" width="3.77734375" style="2" customWidth="1"/>
    <col min="9994" max="9994" width="8.21875" style="2" customWidth="1"/>
    <col min="9995" max="9995" width="6.21875" style="2" customWidth="1"/>
    <col min="9996" max="9996" width="5.5546875" style="2" customWidth="1"/>
    <col min="9997" max="9997" width="10.77734375" style="2" customWidth="1"/>
    <col min="9998" max="9998" width="8.21875" style="2" customWidth="1"/>
    <col min="9999" max="9999" width="12.21875" style="2" customWidth="1"/>
    <col min="10000" max="10000" width="10.21875" style="2" customWidth="1"/>
    <col min="10001" max="10001" width="9.21875" style="2" customWidth="1"/>
    <col min="10002" max="10240" width="8.77734375" style="2"/>
    <col min="10241" max="10241" width="4.21875" style="2" customWidth="1"/>
    <col min="10242" max="10242" width="2.5546875" style="2" customWidth="1"/>
    <col min="10243" max="10244" width="8.77734375" style="2"/>
    <col min="10245" max="10245" width="5.77734375" style="2" customWidth="1"/>
    <col min="10246" max="10246" width="8.77734375" style="2" customWidth="1"/>
    <col min="10247" max="10247" width="3.21875" style="2" customWidth="1"/>
    <col min="10248" max="10248" width="10.21875" style="2" customWidth="1"/>
    <col min="10249" max="10249" width="3.77734375" style="2" customWidth="1"/>
    <col min="10250" max="10250" width="8.21875" style="2" customWidth="1"/>
    <col min="10251" max="10251" width="6.21875" style="2" customWidth="1"/>
    <col min="10252" max="10252" width="5.5546875" style="2" customWidth="1"/>
    <col min="10253" max="10253" width="10.77734375" style="2" customWidth="1"/>
    <col min="10254" max="10254" width="8.21875" style="2" customWidth="1"/>
    <col min="10255" max="10255" width="12.21875" style="2" customWidth="1"/>
    <col min="10256" max="10256" width="10.21875" style="2" customWidth="1"/>
    <col min="10257" max="10257" width="9.21875" style="2" customWidth="1"/>
    <col min="10258" max="10496" width="8.77734375" style="2"/>
    <col min="10497" max="10497" width="4.21875" style="2" customWidth="1"/>
    <col min="10498" max="10498" width="2.5546875" style="2" customWidth="1"/>
    <col min="10499" max="10500" width="8.77734375" style="2"/>
    <col min="10501" max="10501" width="5.77734375" style="2" customWidth="1"/>
    <col min="10502" max="10502" width="8.77734375" style="2" customWidth="1"/>
    <col min="10503" max="10503" width="3.21875" style="2" customWidth="1"/>
    <col min="10504" max="10504" width="10.21875" style="2" customWidth="1"/>
    <col min="10505" max="10505" width="3.77734375" style="2" customWidth="1"/>
    <col min="10506" max="10506" width="8.21875" style="2" customWidth="1"/>
    <col min="10507" max="10507" width="6.21875" style="2" customWidth="1"/>
    <col min="10508" max="10508" width="5.5546875" style="2" customWidth="1"/>
    <col min="10509" max="10509" width="10.77734375" style="2" customWidth="1"/>
    <col min="10510" max="10510" width="8.21875" style="2" customWidth="1"/>
    <col min="10511" max="10511" width="12.21875" style="2" customWidth="1"/>
    <col min="10512" max="10512" width="10.21875" style="2" customWidth="1"/>
    <col min="10513" max="10513" width="9.21875" style="2" customWidth="1"/>
    <col min="10514" max="10752" width="8.77734375" style="2"/>
    <col min="10753" max="10753" width="4.21875" style="2" customWidth="1"/>
    <col min="10754" max="10754" width="2.5546875" style="2" customWidth="1"/>
    <col min="10755" max="10756" width="8.77734375" style="2"/>
    <col min="10757" max="10757" width="5.77734375" style="2" customWidth="1"/>
    <col min="10758" max="10758" width="8.77734375" style="2" customWidth="1"/>
    <col min="10759" max="10759" width="3.21875" style="2" customWidth="1"/>
    <col min="10760" max="10760" width="10.21875" style="2" customWidth="1"/>
    <col min="10761" max="10761" width="3.77734375" style="2" customWidth="1"/>
    <col min="10762" max="10762" width="8.21875" style="2" customWidth="1"/>
    <col min="10763" max="10763" width="6.21875" style="2" customWidth="1"/>
    <col min="10764" max="10764" width="5.5546875" style="2" customWidth="1"/>
    <col min="10765" max="10765" width="10.77734375" style="2" customWidth="1"/>
    <col min="10766" max="10766" width="8.21875" style="2" customWidth="1"/>
    <col min="10767" max="10767" width="12.21875" style="2" customWidth="1"/>
    <col min="10768" max="10768" width="10.21875" style="2" customWidth="1"/>
    <col min="10769" max="10769" width="9.21875" style="2" customWidth="1"/>
    <col min="10770" max="11008" width="8.77734375" style="2"/>
    <col min="11009" max="11009" width="4.21875" style="2" customWidth="1"/>
    <col min="11010" max="11010" width="2.5546875" style="2" customWidth="1"/>
    <col min="11011" max="11012" width="8.77734375" style="2"/>
    <col min="11013" max="11013" width="5.77734375" style="2" customWidth="1"/>
    <col min="11014" max="11014" width="8.77734375" style="2" customWidth="1"/>
    <col min="11015" max="11015" width="3.21875" style="2" customWidth="1"/>
    <col min="11016" max="11016" width="10.21875" style="2" customWidth="1"/>
    <col min="11017" max="11017" width="3.77734375" style="2" customWidth="1"/>
    <col min="11018" max="11018" width="8.21875" style="2" customWidth="1"/>
    <col min="11019" max="11019" width="6.21875" style="2" customWidth="1"/>
    <col min="11020" max="11020" width="5.5546875" style="2" customWidth="1"/>
    <col min="11021" max="11021" width="10.77734375" style="2" customWidth="1"/>
    <col min="11022" max="11022" width="8.21875" style="2" customWidth="1"/>
    <col min="11023" max="11023" width="12.21875" style="2" customWidth="1"/>
    <col min="11024" max="11024" width="10.21875" style="2" customWidth="1"/>
    <col min="11025" max="11025" width="9.21875" style="2" customWidth="1"/>
    <col min="11026" max="11264" width="8.77734375" style="2"/>
    <col min="11265" max="11265" width="4.21875" style="2" customWidth="1"/>
    <col min="11266" max="11266" width="2.5546875" style="2" customWidth="1"/>
    <col min="11267" max="11268" width="8.77734375" style="2"/>
    <col min="11269" max="11269" width="5.77734375" style="2" customWidth="1"/>
    <col min="11270" max="11270" width="8.77734375" style="2" customWidth="1"/>
    <col min="11271" max="11271" width="3.21875" style="2" customWidth="1"/>
    <col min="11272" max="11272" width="10.21875" style="2" customWidth="1"/>
    <col min="11273" max="11273" width="3.77734375" style="2" customWidth="1"/>
    <col min="11274" max="11274" width="8.21875" style="2" customWidth="1"/>
    <col min="11275" max="11275" width="6.21875" style="2" customWidth="1"/>
    <col min="11276" max="11276" width="5.5546875" style="2" customWidth="1"/>
    <col min="11277" max="11277" width="10.77734375" style="2" customWidth="1"/>
    <col min="11278" max="11278" width="8.21875" style="2" customWidth="1"/>
    <col min="11279" max="11279" width="12.21875" style="2" customWidth="1"/>
    <col min="11280" max="11280" width="10.21875" style="2" customWidth="1"/>
    <col min="11281" max="11281" width="9.21875" style="2" customWidth="1"/>
    <col min="11282" max="11520" width="8.77734375" style="2"/>
    <col min="11521" max="11521" width="4.21875" style="2" customWidth="1"/>
    <col min="11522" max="11522" width="2.5546875" style="2" customWidth="1"/>
    <col min="11523" max="11524" width="8.77734375" style="2"/>
    <col min="11525" max="11525" width="5.77734375" style="2" customWidth="1"/>
    <col min="11526" max="11526" width="8.77734375" style="2" customWidth="1"/>
    <col min="11527" max="11527" width="3.21875" style="2" customWidth="1"/>
    <col min="11528" max="11528" width="10.21875" style="2" customWidth="1"/>
    <col min="11529" max="11529" width="3.77734375" style="2" customWidth="1"/>
    <col min="11530" max="11530" width="8.21875" style="2" customWidth="1"/>
    <col min="11531" max="11531" width="6.21875" style="2" customWidth="1"/>
    <col min="11532" max="11532" width="5.5546875" style="2" customWidth="1"/>
    <col min="11533" max="11533" width="10.77734375" style="2" customWidth="1"/>
    <col min="11534" max="11534" width="8.21875" style="2" customWidth="1"/>
    <col min="11535" max="11535" width="12.21875" style="2" customWidth="1"/>
    <col min="11536" max="11536" width="10.21875" style="2" customWidth="1"/>
    <col min="11537" max="11537" width="9.21875" style="2" customWidth="1"/>
    <col min="11538" max="11776" width="8.77734375" style="2"/>
    <col min="11777" max="11777" width="4.21875" style="2" customWidth="1"/>
    <col min="11778" max="11778" width="2.5546875" style="2" customWidth="1"/>
    <col min="11779" max="11780" width="8.77734375" style="2"/>
    <col min="11781" max="11781" width="5.77734375" style="2" customWidth="1"/>
    <col min="11782" max="11782" width="8.77734375" style="2" customWidth="1"/>
    <col min="11783" max="11783" width="3.21875" style="2" customWidth="1"/>
    <col min="11784" max="11784" width="10.21875" style="2" customWidth="1"/>
    <col min="11785" max="11785" width="3.77734375" style="2" customWidth="1"/>
    <col min="11786" max="11786" width="8.21875" style="2" customWidth="1"/>
    <col min="11787" max="11787" width="6.21875" style="2" customWidth="1"/>
    <col min="11788" max="11788" width="5.5546875" style="2" customWidth="1"/>
    <col min="11789" max="11789" width="10.77734375" style="2" customWidth="1"/>
    <col min="11790" max="11790" width="8.21875" style="2" customWidth="1"/>
    <col min="11791" max="11791" width="12.21875" style="2" customWidth="1"/>
    <col min="11792" max="11792" width="10.21875" style="2" customWidth="1"/>
    <col min="11793" max="11793" width="9.21875" style="2" customWidth="1"/>
    <col min="11794" max="12032" width="8.77734375" style="2"/>
    <col min="12033" max="12033" width="4.21875" style="2" customWidth="1"/>
    <col min="12034" max="12034" width="2.5546875" style="2" customWidth="1"/>
    <col min="12035" max="12036" width="8.77734375" style="2"/>
    <col min="12037" max="12037" width="5.77734375" style="2" customWidth="1"/>
    <col min="12038" max="12038" width="8.77734375" style="2" customWidth="1"/>
    <col min="12039" max="12039" width="3.21875" style="2" customWidth="1"/>
    <col min="12040" max="12040" width="10.21875" style="2" customWidth="1"/>
    <col min="12041" max="12041" width="3.77734375" style="2" customWidth="1"/>
    <col min="12042" max="12042" width="8.21875" style="2" customWidth="1"/>
    <col min="12043" max="12043" width="6.21875" style="2" customWidth="1"/>
    <col min="12044" max="12044" width="5.5546875" style="2" customWidth="1"/>
    <col min="12045" max="12045" width="10.77734375" style="2" customWidth="1"/>
    <col min="12046" max="12046" width="8.21875" style="2" customWidth="1"/>
    <col min="12047" max="12047" width="12.21875" style="2" customWidth="1"/>
    <col min="12048" max="12048" width="10.21875" style="2" customWidth="1"/>
    <col min="12049" max="12049" width="9.21875" style="2" customWidth="1"/>
    <col min="12050" max="12288" width="8.77734375" style="2"/>
    <col min="12289" max="12289" width="4.21875" style="2" customWidth="1"/>
    <col min="12290" max="12290" width="2.5546875" style="2" customWidth="1"/>
    <col min="12291" max="12292" width="8.77734375" style="2"/>
    <col min="12293" max="12293" width="5.77734375" style="2" customWidth="1"/>
    <col min="12294" max="12294" width="8.77734375" style="2" customWidth="1"/>
    <col min="12295" max="12295" width="3.21875" style="2" customWidth="1"/>
    <col min="12296" max="12296" width="10.21875" style="2" customWidth="1"/>
    <col min="12297" max="12297" width="3.77734375" style="2" customWidth="1"/>
    <col min="12298" max="12298" width="8.21875" style="2" customWidth="1"/>
    <col min="12299" max="12299" width="6.21875" style="2" customWidth="1"/>
    <col min="12300" max="12300" width="5.5546875" style="2" customWidth="1"/>
    <col min="12301" max="12301" width="10.77734375" style="2" customWidth="1"/>
    <col min="12302" max="12302" width="8.21875" style="2" customWidth="1"/>
    <col min="12303" max="12303" width="12.21875" style="2" customWidth="1"/>
    <col min="12304" max="12304" width="10.21875" style="2" customWidth="1"/>
    <col min="12305" max="12305" width="9.21875" style="2" customWidth="1"/>
    <col min="12306" max="12544" width="8.77734375" style="2"/>
    <col min="12545" max="12545" width="4.21875" style="2" customWidth="1"/>
    <col min="12546" max="12546" width="2.5546875" style="2" customWidth="1"/>
    <col min="12547" max="12548" width="8.77734375" style="2"/>
    <col min="12549" max="12549" width="5.77734375" style="2" customWidth="1"/>
    <col min="12550" max="12550" width="8.77734375" style="2" customWidth="1"/>
    <col min="12551" max="12551" width="3.21875" style="2" customWidth="1"/>
    <col min="12552" max="12552" width="10.21875" style="2" customWidth="1"/>
    <col min="12553" max="12553" width="3.77734375" style="2" customWidth="1"/>
    <col min="12554" max="12554" width="8.21875" style="2" customWidth="1"/>
    <col min="12555" max="12555" width="6.21875" style="2" customWidth="1"/>
    <col min="12556" max="12556" width="5.5546875" style="2" customWidth="1"/>
    <col min="12557" max="12557" width="10.77734375" style="2" customWidth="1"/>
    <col min="12558" max="12558" width="8.21875" style="2" customWidth="1"/>
    <col min="12559" max="12559" width="12.21875" style="2" customWidth="1"/>
    <col min="12560" max="12560" width="10.21875" style="2" customWidth="1"/>
    <col min="12561" max="12561" width="9.21875" style="2" customWidth="1"/>
    <col min="12562" max="12800" width="8.77734375" style="2"/>
    <col min="12801" max="12801" width="4.21875" style="2" customWidth="1"/>
    <col min="12802" max="12802" width="2.5546875" style="2" customWidth="1"/>
    <col min="12803" max="12804" width="8.77734375" style="2"/>
    <col min="12805" max="12805" width="5.77734375" style="2" customWidth="1"/>
    <col min="12806" max="12806" width="8.77734375" style="2" customWidth="1"/>
    <col min="12807" max="12807" width="3.21875" style="2" customWidth="1"/>
    <col min="12808" max="12808" width="10.21875" style="2" customWidth="1"/>
    <col min="12809" max="12809" width="3.77734375" style="2" customWidth="1"/>
    <col min="12810" max="12810" width="8.21875" style="2" customWidth="1"/>
    <col min="12811" max="12811" width="6.21875" style="2" customWidth="1"/>
    <col min="12812" max="12812" width="5.5546875" style="2" customWidth="1"/>
    <col min="12813" max="12813" width="10.77734375" style="2" customWidth="1"/>
    <col min="12814" max="12814" width="8.21875" style="2" customWidth="1"/>
    <col min="12815" max="12815" width="12.21875" style="2" customWidth="1"/>
    <col min="12816" max="12816" width="10.21875" style="2" customWidth="1"/>
    <col min="12817" max="12817" width="9.21875" style="2" customWidth="1"/>
    <col min="12818" max="13056" width="8.77734375" style="2"/>
    <col min="13057" max="13057" width="4.21875" style="2" customWidth="1"/>
    <col min="13058" max="13058" width="2.5546875" style="2" customWidth="1"/>
    <col min="13059" max="13060" width="8.77734375" style="2"/>
    <col min="13061" max="13061" width="5.77734375" style="2" customWidth="1"/>
    <col min="13062" max="13062" width="8.77734375" style="2" customWidth="1"/>
    <col min="13063" max="13063" width="3.21875" style="2" customWidth="1"/>
    <col min="13064" max="13064" width="10.21875" style="2" customWidth="1"/>
    <col min="13065" max="13065" width="3.77734375" style="2" customWidth="1"/>
    <col min="13066" max="13066" width="8.21875" style="2" customWidth="1"/>
    <col min="13067" max="13067" width="6.21875" style="2" customWidth="1"/>
    <col min="13068" max="13068" width="5.5546875" style="2" customWidth="1"/>
    <col min="13069" max="13069" width="10.77734375" style="2" customWidth="1"/>
    <col min="13070" max="13070" width="8.21875" style="2" customWidth="1"/>
    <col min="13071" max="13071" width="12.21875" style="2" customWidth="1"/>
    <col min="13072" max="13072" width="10.21875" style="2" customWidth="1"/>
    <col min="13073" max="13073" width="9.21875" style="2" customWidth="1"/>
    <col min="13074" max="13312" width="8.77734375" style="2"/>
    <col min="13313" max="13313" width="4.21875" style="2" customWidth="1"/>
    <col min="13314" max="13314" width="2.5546875" style="2" customWidth="1"/>
    <col min="13315" max="13316" width="8.77734375" style="2"/>
    <col min="13317" max="13317" width="5.77734375" style="2" customWidth="1"/>
    <col min="13318" max="13318" width="8.77734375" style="2" customWidth="1"/>
    <col min="13319" max="13319" width="3.21875" style="2" customWidth="1"/>
    <col min="13320" max="13320" width="10.21875" style="2" customWidth="1"/>
    <col min="13321" max="13321" width="3.77734375" style="2" customWidth="1"/>
    <col min="13322" max="13322" width="8.21875" style="2" customWidth="1"/>
    <col min="13323" max="13323" width="6.21875" style="2" customWidth="1"/>
    <col min="13324" max="13324" width="5.5546875" style="2" customWidth="1"/>
    <col min="13325" max="13325" width="10.77734375" style="2" customWidth="1"/>
    <col min="13326" max="13326" width="8.21875" style="2" customWidth="1"/>
    <col min="13327" max="13327" width="12.21875" style="2" customWidth="1"/>
    <col min="13328" max="13328" width="10.21875" style="2" customWidth="1"/>
    <col min="13329" max="13329" width="9.21875" style="2" customWidth="1"/>
    <col min="13330" max="13568" width="8.77734375" style="2"/>
    <col min="13569" max="13569" width="4.21875" style="2" customWidth="1"/>
    <col min="13570" max="13570" width="2.5546875" style="2" customWidth="1"/>
    <col min="13571" max="13572" width="8.77734375" style="2"/>
    <col min="13573" max="13573" width="5.77734375" style="2" customWidth="1"/>
    <col min="13574" max="13574" width="8.77734375" style="2" customWidth="1"/>
    <col min="13575" max="13575" width="3.21875" style="2" customWidth="1"/>
    <col min="13576" max="13576" width="10.21875" style="2" customWidth="1"/>
    <col min="13577" max="13577" width="3.77734375" style="2" customWidth="1"/>
    <col min="13578" max="13578" width="8.21875" style="2" customWidth="1"/>
    <col min="13579" max="13579" width="6.21875" style="2" customWidth="1"/>
    <col min="13580" max="13580" width="5.5546875" style="2" customWidth="1"/>
    <col min="13581" max="13581" width="10.77734375" style="2" customWidth="1"/>
    <col min="13582" max="13582" width="8.21875" style="2" customWidth="1"/>
    <col min="13583" max="13583" width="12.21875" style="2" customWidth="1"/>
    <col min="13584" max="13584" width="10.21875" style="2" customWidth="1"/>
    <col min="13585" max="13585" width="9.21875" style="2" customWidth="1"/>
    <col min="13586" max="13824" width="8.77734375" style="2"/>
    <col min="13825" max="13825" width="4.21875" style="2" customWidth="1"/>
    <col min="13826" max="13826" width="2.5546875" style="2" customWidth="1"/>
    <col min="13827" max="13828" width="8.77734375" style="2"/>
    <col min="13829" max="13829" width="5.77734375" style="2" customWidth="1"/>
    <col min="13830" max="13830" width="8.77734375" style="2" customWidth="1"/>
    <col min="13831" max="13831" width="3.21875" style="2" customWidth="1"/>
    <col min="13832" max="13832" width="10.21875" style="2" customWidth="1"/>
    <col min="13833" max="13833" width="3.77734375" style="2" customWidth="1"/>
    <col min="13834" max="13834" width="8.21875" style="2" customWidth="1"/>
    <col min="13835" max="13835" width="6.21875" style="2" customWidth="1"/>
    <col min="13836" max="13836" width="5.5546875" style="2" customWidth="1"/>
    <col min="13837" max="13837" width="10.77734375" style="2" customWidth="1"/>
    <col min="13838" max="13838" width="8.21875" style="2" customWidth="1"/>
    <col min="13839" max="13839" width="12.21875" style="2" customWidth="1"/>
    <col min="13840" max="13840" width="10.21875" style="2" customWidth="1"/>
    <col min="13841" max="13841" width="9.21875" style="2" customWidth="1"/>
    <col min="13842" max="14080" width="8.77734375" style="2"/>
    <col min="14081" max="14081" width="4.21875" style="2" customWidth="1"/>
    <col min="14082" max="14082" width="2.5546875" style="2" customWidth="1"/>
    <col min="14083" max="14084" width="8.77734375" style="2"/>
    <col min="14085" max="14085" width="5.77734375" style="2" customWidth="1"/>
    <col min="14086" max="14086" width="8.77734375" style="2" customWidth="1"/>
    <col min="14087" max="14087" width="3.21875" style="2" customWidth="1"/>
    <col min="14088" max="14088" width="10.21875" style="2" customWidth="1"/>
    <col min="14089" max="14089" width="3.77734375" style="2" customWidth="1"/>
    <col min="14090" max="14090" width="8.21875" style="2" customWidth="1"/>
    <col min="14091" max="14091" width="6.21875" style="2" customWidth="1"/>
    <col min="14092" max="14092" width="5.5546875" style="2" customWidth="1"/>
    <col min="14093" max="14093" width="10.77734375" style="2" customWidth="1"/>
    <col min="14094" max="14094" width="8.21875" style="2" customWidth="1"/>
    <col min="14095" max="14095" width="12.21875" style="2" customWidth="1"/>
    <col min="14096" max="14096" width="10.21875" style="2" customWidth="1"/>
    <col min="14097" max="14097" width="9.21875" style="2" customWidth="1"/>
    <col min="14098" max="14336" width="8.77734375" style="2"/>
    <col min="14337" max="14337" width="4.21875" style="2" customWidth="1"/>
    <col min="14338" max="14338" width="2.5546875" style="2" customWidth="1"/>
    <col min="14339" max="14340" width="8.77734375" style="2"/>
    <col min="14341" max="14341" width="5.77734375" style="2" customWidth="1"/>
    <col min="14342" max="14342" width="8.77734375" style="2" customWidth="1"/>
    <col min="14343" max="14343" width="3.21875" style="2" customWidth="1"/>
    <col min="14344" max="14344" width="10.21875" style="2" customWidth="1"/>
    <col min="14345" max="14345" width="3.77734375" style="2" customWidth="1"/>
    <col min="14346" max="14346" width="8.21875" style="2" customWidth="1"/>
    <col min="14347" max="14347" width="6.21875" style="2" customWidth="1"/>
    <col min="14348" max="14348" width="5.5546875" style="2" customWidth="1"/>
    <col min="14349" max="14349" width="10.77734375" style="2" customWidth="1"/>
    <col min="14350" max="14350" width="8.21875" style="2" customWidth="1"/>
    <col min="14351" max="14351" width="12.21875" style="2" customWidth="1"/>
    <col min="14352" max="14352" width="10.21875" style="2" customWidth="1"/>
    <col min="14353" max="14353" width="9.21875" style="2" customWidth="1"/>
    <col min="14354" max="14592" width="8.77734375" style="2"/>
    <col min="14593" max="14593" width="4.21875" style="2" customWidth="1"/>
    <col min="14594" max="14594" width="2.5546875" style="2" customWidth="1"/>
    <col min="14595" max="14596" width="8.77734375" style="2"/>
    <col min="14597" max="14597" width="5.77734375" style="2" customWidth="1"/>
    <col min="14598" max="14598" width="8.77734375" style="2" customWidth="1"/>
    <col min="14599" max="14599" width="3.21875" style="2" customWidth="1"/>
    <col min="14600" max="14600" width="10.21875" style="2" customWidth="1"/>
    <col min="14601" max="14601" width="3.77734375" style="2" customWidth="1"/>
    <col min="14602" max="14602" width="8.21875" style="2" customWidth="1"/>
    <col min="14603" max="14603" width="6.21875" style="2" customWidth="1"/>
    <col min="14604" max="14604" width="5.5546875" style="2" customWidth="1"/>
    <col min="14605" max="14605" width="10.77734375" style="2" customWidth="1"/>
    <col min="14606" max="14606" width="8.21875" style="2" customWidth="1"/>
    <col min="14607" max="14607" width="12.21875" style="2" customWidth="1"/>
    <col min="14608" max="14608" width="10.21875" style="2" customWidth="1"/>
    <col min="14609" max="14609" width="9.21875" style="2" customWidth="1"/>
    <col min="14610" max="14848" width="8.77734375" style="2"/>
    <col min="14849" max="14849" width="4.21875" style="2" customWidth="1"/>
    <col min="14850" max="14850" width="2.5546875" style="2" customWidth="1"/>
    <col min="14851" max="14852" width="8.77734375" style="2"/>
    <col min="14853" max="14853" width="5.77734375" style="2" customWidth="1"/>
    <col min="14854" max="14854" width="8.77734375" style="2" customWidth="1"/>
    <col min="14855" max="14855" width="3.21875" style="2" customWidth="1"/>
    <col min="14856" max="14856" width="10.21875" style="2" customWidth="1"/>
    <col min="14857" max="14857" width="3.77734375" style="2" customWidth="1"/>
    <col min="14858" max="14858" width="8.21875" style="2" customWidth="1"/>
    <col min="14859" max="14859" width="6.21875" style="2" customWidth="1"/>
    <col min="14860" max="14860" width="5.5546875" style="2" customWidth="1"/>
    <col min="14861" max="14861" width="10.77734375" style="2" customWidth="1"/>
    <col min="14862" max="14862" width="8.21875" style="2" customWidth="1"/>
    <col min="14863" max="14863" width="12.21875" style="2" customWidth="1"/>
    <col min="14864" max="14864" width="10.21875" style="2" customWidth="1"/>
    <col min="14865" max="14865" width="9.21875" style="2" customWidth="1"/>
    <col min="14866" max="15104" width="8.77734375" style="2"/>
    <col min="15105" max="15105" width="4.21875" style="2" customWidth="1"/>
    <col min="15106" max="15106" width="2.5546875" style="2" customWidth="1"/>
    <col min="15107" max="15108" width="8.77734375" style="2"/>
    <col min="15109" max="15109" width="5.77734375" style="2" customWidth="1"/>
    <col min="15110" max="15110" width="8.77734375" style="2" customWidth="1"/>
    <col min="15111" max="15111" width="3.21875" style="2" customWidth="1"/>
    <col min="15112" max="15112" width="10.21875" style="2" customWidth="1"/>
    <col min="15113" max="15113" width="3.77734375" style="2" customWidth="1"/>
    <col min="15114" max="15114" width="8.21875" style="2" customWidth="1"/>
    <col min="15115" max="15115" width="6.21875" style="2" customWidth="1"/>
    <col min="15116" max="15116" width="5.5546875" style="2" customWidth="1"/>
    <col min="15117" max="15117" width="10.77734375" style="2" customWidth="1"/>
    <col min="15118" max="15118" width="8.21875" style="2" customWidth="1"/>
    <col min="15119" max="15119" width="12.21875" style="2" customWidth="1"/>
    <col min="15120" max="15120" width="10.21875" style="2" customWidth="1"/>
    <col min="15121" max="15121" width="9.21875" style="2" customWidth="1"/>
    <col min="15122" max="15360" width="8.77734375" style="2"/>
    <col min="15361" max="15361" width="4.21875" style="2" customWidth="1"/>
    <col min="15362" max="15362" width="2.5546875" style="2" customWidth="1"/>
    <col min="15363" max="15364" width="8.77734375" style="2"/>
    <col min="15365" max="15365" width="5.77734375" style="2" customWidth="1"/>
    <col min="15366" max="15366" width="8.77734375" style="2" customWidth="1"/>
    <col min="15367" max="15367" width="3.21875" style="2" customWidth="1"/>
    <col min="15368" max="15368" width="10.21875" style="2" customWidth="1"/>
    <col min="15369" max="15369" width="3.77734375" style="2" customWidth="1"/>
    <col min="15370" max="15370" width="8.21875" style="2" customWidth="1"/>
    <col min="15371" max="15371" width="6.21875" style="2" customWidth="1"/>
    <col min="15372" max="15372" width="5.5546875" style="2" customWidth="1"/>
    <col min="15373" max="15373" width="10.77734375" style="2" customWidth="1"/>
    <col min="15374" max="15374" width="8.21875" style="2" customWidth="1"/>
    <col min="15375" max="15375" width="12.21875" style="2" customWidth="1"/>
    <col min="15376" max="15376" width="10.21875" style="2" customWidth="1"/>
    <col min="15377" max="15377" width="9.21875" style="2" customWidth="1"/>
    <col min="15378" max="15616" width="8.77734375" style="2"/>
    <col min="15617" max="15617" width="4.21875" style="2" customWidth="1"/>
    <col min="15618" max="15618" width="2.5546875" style="2" customWidth="1"/>
    <col min="15619" max="15620" width="8.77734375" style="2"/>
    <col min="15621" max="15621" width="5.77734375" style="2" customWidth="1"/>
    <col min="15622" max="15622" width="8.77734375" style="2" customWidth="1"/>
    <col min="15623" max="15623" width="3.21875" style="2" customWidth="1"/>
    <col min="15624" max="15624" width="10.21875" style="2" customWidth="1"/>
    <col min="15625" max="15625" width="3.77734375" style="2" customWidth="1"/>
    <col min="15626" max="15626" width="8.21875" style="2" customWidth="1"/>
    <col min="15627" max="15627" width="6.21875" style="2" customWidth="1"/>
    <col min="15628" max="15628" width="5.5546875" style="2" customWidth="1"/>
    <col min="15629" max="15629" width="10.77734375" style="2" customWidth="1"/>
    <col min="15630" max="15630" width="8.21875" style="2" customWidth="1"/>
    <col min="15631" max="15631" width="12.21875" style="2" customWidth="1"/>
    <col min="15632" max="15632" width="10.21875" style="2" customWidth="1"/>
    <col min="15633" max="15633" width="9.21875" style="2" customWidth="1"/>
    <col min="15634" max="15872" width="8.77734375" style="2"/>
    <col min="15873" max="15873" width="4.21875" style="2" customWidth="1"/>
    <col min="15874" max="15874" width="2.5546875" style="2" customWidth="1"/>
    <col min="15875" max="15876" width="8.77734375" style="2"/>
    <col min="15877" max="15877" width="5.77734375" style="2" customWidth="1"/>
    <col min="15878" max="15878" width="8.77734375" style="2" customWidth="1"/>
    <col min="15879" max="15879" width="3.21875" style="2" customWidth="1"/>
    <col min="15880" max="15880" width="10.21875" style="2" customWidth="1"/>
    <col min="15881" max="15881" width="3.77734375" style="2" customWidth="1"/>
    <col min="15882" max="15882" width="8.21875" style="2" customWidth="1"/>
    <col min="15883" max="15883" width="6.21875" style="2" customWidth="1"/>
    <col min="15884" max="15884" width="5.5546875" style="2" customWidth="1"/>
    <col min="15885" max="15885" width="10.77734375" style="2" customWidth="1"/>
    <col min="15886" max="15886" width="8.21875" style="2" customWidth="1"/>
    <col min="15887" max="15887" width="12.21875" style="2" customWidth="1"/>
    <col min="15888" max="15888" width="10.21875" style="2" customWidth="1"/>
    <col min="15889" max="15889" width="9.21875" style="2" customWidth="1"/>
    <col min="15890" max="16128" width="8.77734375" style="2"/>
    <col min="16129" max="16129" width="4.21875" style="2" customWidth="1"/>
    <col min="16130" max="16130" width="2.5546875" style="2" customWidth="1"/>
    <col min="16131" max="16132" width="8.77734375" style="2"/>
    <col min="16133" max="16133" width="5.77734375" style="2" customWidth="1"/>
    <col min="16134" max="16134" width="8.77734375" style="2" customWidth="1"/>
    <col min="16135" max="16135" width="3.21875" style="2" customWidth="1"/>
    <col min="16136" max="16136" width="10.21875" style="2" customWidth="1"/>
    <col min="16137" max="16137" width="3.77734375" style="2" customWidth="1"/>
    <col min="16138" max="16138" width="8.21875" style="2" customWidth="1"/>
    <col min="16139" max="16139" width="6.21875" style="2" customWidth="1"/>
    <col min="16140" max="16140" width="5.5546875" style="2" customWidth="1"/>
    <col min="16141" max="16141" width="10.77734375" style="2" customWidth="1"/>
    <col min="16142" max="16142" width="8.21875" style="2" customWidth="1"/>
    <col min="16143" max="16143" width="12.21875" style="2" customWidth="1"/>
    <col min="16144" max="16144" width="10.21875" style="2" customWidth="1"/>
    <col min="16145" max="16145" width="9.21875" style="2" customWidth="1"/>
    <col min="16146" max="16384" width="8.77734375" style="2"/>
  </cols>
  <sheetData>
    <row r="1" spans="1:17" ht="14.25" customHeight="1">
      <c r="P1" s="31"/>
    </row>
    <row r="2" spans="1:17" ht="15.6">
      <c r="A2" s="1220" t="s">
        <v>20</v>
      </c>
      <c r="B2" s="1220"/>
      <c r="C2" s="1220"/>
      <c r="D2" s="1220"/>
      <c r="E2" s="1220"/>
      <c r="F2" s="1220"/>
      <c r="G2" s="1220"/>
      <c r="H2" s="1220"/>
      <c r="I2" s="1220"/>
      <c r="J2" s="1220"/>
      <c r="K2" s="1220"/>
      <c r="L2" s="1220"/>
      <c r="M2" s="1220"/>
      <c r="N2" s="1220"/>
      <c r="O2" s="1220"/>
    </row>
    <row r="3" spans="1:17" ht="15.6">
      <c r="A3" s="1220" t="s">
        <v>21</v>
      </c>
      <c r="B3" s="1220"/>
      <c r="C3" s="1220"/>
      <c r="D3" s="1220"/>
      <c r="E3" s="1220"/>
      <c r="F3" s="1220"/>
      <c r="G3" s="1220"/>
      <c r="H3" s="1220"/>
      <c r="I3" s="1220"/>
      <c r="J3" s="1220"/>
      <c r="K3" s="1220"/>
      <c r="L3" s="1220"/>
      <c r="M3" s="1220"/>
      <c r="N3" s="1220"/>
      <c r="O3" s="1220"/>
    </row>
    <row r="4" spans="1:17" ht="7.5" customHeight="1"/>
    <row r="5" spans="1:17" ht="31.5" customHeight="1">
      <c r="A5" s="33" t="s">
        <v>22</v>
      </c>
      <c r="F5" s="34" t="s">
        <v>23</v>
      </c>
      <c r="H5" s="35" t="s">
        <v>24</v>
      </c>
      <c r="I5" s="36"/>
      <c r="J5" s="1221" t="s">
        <v>25</v>
      </c>
      <c r="K5" s="1217"/>
      <c r="M5" s="3" t="s">
        <v>26</v>
      </c>
      <c r="O5" s="37" t="s">
        <v>27</v>
      </c>
    </row>
    <row r="6" spans="1:17" ht="6.75" customHeight="1"/>
    <row r="7" spans="1:17" ht="15">
      <c r="B7" s="5" t="s">
        <v>6</v>
      </c>
      <c r="F7" s="38">
        <f>IF('Input (6)'!$E$4=0,"0",'Input (6)'!$E$4)</f>
        <v>19</v>
      </c>
      <c r="G7" s="39"/>
      <c r="J7" s="1222">
        <f>IF('Input (6)'!$E$4=0,"0",'Input (6)'!$E$4)</f>
        <v>19</v>
      </c>
      <c r="K7" s="1222"/>
      <c r="L7" s="40" t="s">
        <v>28</v>
      </c>
      <c r="M7" s="41">
        <f>IF('Input (6)'!E4=0,0,LOOKUP(J7,'criteria (6)'!$A$3:$A$10,'criteria (6)'!$B$3:$B$10))</f>
        <v>40</v>
      </c>
      <c r="N7" s="42" t="s">
        <v>29</v>
      </c>
      <c r="O7" s="38">
        <f>IF(Q7=0,0,IF(Q7&lt;LOOKUP(J7,'criteria (6)'!$A$3:$A$10,'criteria (6)'!$C$3:$C$10),LOOKUP(J7,'criteria (6)'!$A$3:$A$10,'criteria (6)'!$C$3:$C$10),IF(LOOKUP(J7,'criteria (6)'!$A$3:$A$10,'criteria (6)'!$C$3:$C$10)=0,0,Q7)))</f>
        <v>0.6</v>
      </c>
      <c r="P7" s="28" t="str">
        <f>IF('Input (6)'!E4=0," ",IF(O7=0,"ADD to 1-6",IF(O7=Q7," ","Minimum")))</f>
        <v>Minimum</v>
      </c>
      <c r="Q7" s="32">
        <f>ROUND(IF('Input (6)'!E4=0,0,IF(M7=0,0,(J7/M7))),2)</f>
        <v>0.48</v>
      </c>
    </row>
    <row r="8" spans="1:17" ht="6.75" customHeight="1">
      <c r="J8" s="43"/>
      <c r="K8" s="43"/>
      <c r="O8" s="43"/>
    </row>
    <row r="9" spans="1:17">
      <c r="B9" s="5" t="s">
        <v>7</v>
      </c>
      <c r="J9" s="43"/>
      <c r="K9" s="43"/>
      <c r="O9" s="43"/>
    </row>
    <row r="10" spans="1:17">
      <c r="B10" s="28" t="s">
        <v>30</v>
      </c>
      <c r="J10" s="43"/>
      <c r="K10" s="43"/>
      <c r="O10" s="43"/>
    </row>
    <row r="11" spans="1:17" ht="16.5" customHeight="1">
      <c r="C11" s="12" t="s">
        <v>8</v>
      </c>
      <c r="F11" s="41" t="str">
        <f>IF(J11=0," ",IF($J$16&gt;300," ",'Input (6)'!E7))</f>
        <v xml:space="preserve"> </v>
      </c>
      <c r="G11" s="44" t="s">
        <v>31</v>
      </c>
      <c r="H11" s="38" t="str">
        <f>IF(J11=0," ",'C (6)'!H25)</f>
        <v xml:space="preserve"> </v>
      </c>
      <c r="I11" s="42" t="s">
        <v>29</v>
      </c>
      <c r="J11" s="1222">
        <f>IF('Input (6)'!E7=0,0,IF(SUM('Input (6)'!E7-'C (6)'!H25)+SUM('Input (6)'!E8-'C (6)'!H26)&gt;299.99,SUM('Input (6)'!E7-'C (6)'!H25),0))</f>
        <v>0</v>
      </c>
      <c r="K11" s="1222"/>
      <c r="L11" s="40" t="s">
        <v>28</v>
      </c>
      <c r="M11" s="41">
        <f>IF(SUM('Input (6)'!$E$7-'C (6)'!$H$25)+SUM('Input (6)'!$E$8-'C (6)'!$H$26)&gt;299.99,20,0)</f>
        <v>0</v>
      </c>
      <c r="N11" s="42" t="s">
        <v>29</v>
      </c>
      <c r="O11" s="38">
        <f>ROUND(IF(SUM('Input (6)'!$E$7-'C (6)'!$H$25)+SUM('Input (6)'!$E$8-'C (6)'!$H$26)&lt;299.99,0,IF(Q11+Q13&lt;15,0,(J11/M11))),2)</f>
        <v>0</v>
      </c>
      <c r="P11" s="2" t="str">
        <f>IF(O11=0," ",IF(O11=Q11," ","Minimum"))</f>
        <v xml:space="preserve"> </v>
      </c>
      <c r="Q11" s="32">
        <f>ROUND(IF(SUM('Input (6)'!$E$7-'C (6)'!$H$25)+SUM('Input (6)'!$E$8-'C (6)'!$H$26)&lt;299.99,0,(J11/M11)),2)</f>
        <v>0</v>
      </c>
    </row>
    <row r="12" spans="1:17" ht="9" customHeight="1">
      <c r="B12" s="12"/>
      <c r="J12" s="43"/>
      <c r="K12" s="43"/>
      <c r="O12" s="43"/>
    </row>
    <row r="13" spans="1:17" ht="15">
      <c r="C13" s="12" t="s">
        <v>9</v>
      </c>
      <c r="F13" s="41" t="str">
        <f>IF(J13=0," ",IF($J$16&gt;300," ",'Input (6)'!E8))</f>
        <v xml:space="preserve"> </v>
      </c>
      <c r="G13" s="44" t="s">
        <v>31</v>
      </c>
      <c r="H13" s="38" t="str">
        <f>IF(J13=0," ",'C (6)'!H26)</f>
        <v xml:space="preserve"> </v>
      </c>
      <c r="I13" s="42" t="s">
        <v>29</v>
      </c>
      <c r="J13" s="1222">
        <f>IF('Input (6)'!E8=0,0,IF(SUM('Input (6)'!E7-'C (6)'!H25)+SUM('Input (6)'!E8-'C (6)'!H26)&gt;299.99,SUM('Input (6)'!E8-'C (6)'!H26),0))</f>
        <v>0</v>
      </c>
      <c r="K13" s="1222"/>
      <c r="L13" s="40" t="s">
        <v>28</v>
      </c>
      <c r="M13" s="41">
        <f>IF(SUM('Input (6)'!$E$7-'C (6)'!$H$25)+SUM('Input (6)'!$E$8-'C (6)'!$H$26)&gt;299.99,23,0)</f>
        <v>0</v>
      </c>
      <c r="N13" s="42" t="s">
        <v>29</v>
      </c>
      <c r="O13" s="38">
        <f>ROUND(IF(SUM('Input (6)'!$E$7-'C (6)'!$H$25)+SUM('Input (6)'!$E$8-'C (6)'!$H$26)&lt;299.99,0,IF(Q11+Q13&lt;15,0,($J$13/$M$13))),2)</f>
        <v>0</v>
      </c>
      <c r="P13" s="2" t="str">
        <f>IF(O13=0," ",IF(O13=Q13," ","Minimum"))</f>
        <v xml:space="preserve"> </v>
      </c>
      <c r="Q13" s="32">
        <f>ROUND(IF(SUM('Input (6)'!$E$7-'C (6)'!$H$25)+SUM('Input (6)'!$E$8-'C (6)'!$H$26)&lt;299.99,0,($J$13/$M$13)),2)</f>
        <v>0</v>
      </c>
    </row>
    <row r="14" spans="1:17" ht="17.25" customHeight="1">
      <c r="B14" s="5" t="s">
        <v>7</v>
      </c>
      <c r="F14" s="36"/>
      <c r="G14" s="44"/>
      <c r="H14" s="39"/>
      <c r="I14" s="42"/>
      <c r="J14" s="39"/>
      <c r="K14" s="39"/>
      <c r="M14" s="36"/>
      <c r="N14" s="42"/>
      <c r="O14" s="39"/>
    </row>
    <row r="15" spans="1:17">
      <c r="B15" s="28" t="s">
        <v>32</v>
      </c>
      <c r="O15" s="39" t="str">
        <f>IF(P15="Minimum",15," ")</f>
        <v xml:space="preserve"> </v>
      </c>
      <c r="P15" s="2" t="str">
        <f>IF(Q11+Q13=0," ",IF(Q11+Q13&lt;15,"Minimum"," "))</f>
        <v xml:space="preserve"> </v>
      </c>
    </row>
    <row r="16" spans="1:17" ht="15">
      <c r="C16" s="12" t="s">
        <v>33</v>
      </c>
      <c r="F16" s="41">
        <f>IF(J16=0," ",IF(J16&lt;300,SUM('Input (6)'!E7+'Input (6)'!E8)," "))</f>
        <v>96.9</v>
      </c>
      <c r="G16" s="44" t="s">
        <v>31</v>
      </c>
      <c r="H16" s="38">
        <f>IF(J16=0," ",'C (6)'!H22)</f>
        <v>7.3199999999999994</v>
      </c>
      <c r="I16" s="42" t="s">
        <v>29</v>
      </c>
      <c r="J16" s="1222">
        <f>IF('Input (6)'!E9=0,0,IF(SUM('Input (6)'!E7-'C (6)'!H25)+SUM('Input (6)'!E8-'C (6)'!H26)&lt;300,IF(P7="ADD to 1-6",SUM('Input (6)'!E7-'C (6)'!H25)+SUM('Input (6)'!E8-'C (6)'!H26)+'Input (6)'!E4,SUM('Input (6)'!E7-'C (6)'!H25)+SUM('Input (6)'!E8-'C (6)'!H26)),0))</f>
        <v>89.58</v>
      </c>
      <c r="K16" s="1222"/>
      <c r="L16" s="40" t="s">
        <v>28</v>
      </c>
      <c r="M16" s="41">
        <f>IF(J16=0,0,LOOKUP(J16,'criteria (6)'!$M$3:$M$11,'criteria (6)'!$N$3:$N$11))</f>
        <v>16</v>
      </c>
      <c r="N16" s="42" t="s">
        <v>29</v>
      </c>
      <c r="O16" s="38">
        <f>IF(Q16=0,0,IF(Q16&lt;LOOKUP(J16,'criteria (6)'!$M$3:$M$10,'criteria (6)'!$O$3:$O$10),LOOKUP(J16,'criteria (6)'!$M$3:$M$10,'criteria (6)'!$O$3:$O$10),Q16))</f>
        <v>5.6</v>
      </c>
      <c r="P16" s="2" t="str">
        <f>IF(O16=0," ",IF(O16=Q16," ","Minimum"))</f>
        <v xml:space="preserve"> </v>
      </c>
      <c r="Q16" s="32">
        <f>ROUND(IF('Input (6)'!E9=0,0,IF(SUM('Input (6)'!$E$7-'C (6)'!$H$25)+SUM('Input (6)'!$E$8-'C (6)'!$H$26)&gt;299.99,0,(J16/M16))),2)</f>
        <v>5.6</v>
      </c>
    </row>
    <row r="17" spans="1:17" ht="6" customHeight="1">
      <c r="J17" s="43"/>
      <c r="K17" s="43"/>
      <c r="O17" s="43"/>
    </row>
    <row r="18" spans="1:17" ht="15">
      <c r="B18" s="5" t="s">
        <v>10</v>
      </c>
      <c r="F18" s="41">
        <f>IF(J18=0," ",'Input (6)'!E10)</f>
        <v>134.9</v>
      </c>
      <c r="G18" s="44" t="s">
        <v>31</v>
      </c>
      <c r="H18" s="38">
        <f>IF('C (6)'!$H$43=0," ",'C (6)'!$H$43)</f>
        <v>7.81</v>
      </c>
      <c r="I18" s="42" t="s">
        <v>29</v>
      </c>
      <c r="J18" s="1222">
        <f>IF('Input (6)'!E10=0,0,SUM('Input (6)'!E10-'C (6)'!H43))</f>
        <v>127.09</v>
      </c>
      <c r="K18" s="1222"/>
      <c r="L18" s="40" t="s">
        <v>28</v>
      </c>
      <c r="M18" s="41">
        <f>IF('Input (6)'!C10=0,0,IF(J18&gt;99.99,LOOKUP(J18,'criteria (6)'!Q3:Q10,'criteria (6)'!R3:R10),12))</f>
        <v>12</v>
      </c>
      <c r="N18" s="42" t="s">
        <v>29</v>
      </c>
      <c r="O18" s="38">
        <f>ROUND(IF(J18=0,0,IF(J18&lt;99.99,IF(M18=0,8,(J18/M18)),IF(Q18&lt;LOOKUP(J18,'criteria (6)'!$Q$3:$Q$10,'criteria (6)'!$S$3:$S$10),LOOKUP(J18,'criteria (6)'!$Q$3:$Q$10,'criteria (6)'!$S$3:$S$10),Q18))),2)</f>
        <v>10.59</v>
      </c>
      <c r="P18" s="2" t="str">
        <f>IF(O18=0," ",IF(O18=Q18," ","Minimum"))</f>
        <v xml:space="preserve"> </v>
      </c>
      <c r="Q18" s="32">
        <f>ROUND(IF(M18=0,0,(J18/M18)),2)</f>
        <v>10.59</v>
      </c>
    </row>
    <row r="19" spans="1:17" ht="9" customHeight="1">
      <c r="B19" s="5"/>
      <c r="F19" s="36"/>
      <c r="G19" s="44"/>
      <c r="H19" s="39"/>
      <c r="I19" s="42"/>
      <c r="J19" s="39"/>
      <c r="K19" s="39"/>
      <c r="M19" s="36"/>
      <c r="N19" s="42"/>
      <c r="O19" s="36"/>
    </row>
    <row r="20" spans="1:17" ht="15">
      <c r="A20" s="45" t="s">
        <v>34</v>
      </c>
      <c r="J20" s="43"/>
      <c r="K20" s="43"/>
    </row>
    <row r="21" spans="1:17" ht="3.75" customHeight="1">
      <c r="J21" s="43"/>
      <c r="K21" s="43"/>
    </row>
    <row r="22" spans="1:17">
      <c r="B22" s="2" t="s">
        <v>35</v>
      </c>
      <c r="J22" s="1222" t="str">
        <f>IF('C (6)'!H55=0," ",'C (6)'!H55)</f>
        <v xml:space="preserve"> </v>
      </c>
      <c r="K22" s="1222"/>
    </row>
    <row r="23" spans="1:17" ht="9" customHeight="1">
      <c r="J23" s="43"/>
      <c r="K23" s="43"/>
    </row>
    <row r="24" spans="1:17">
      <c r="B24" s="2" t="s">
        <v>36</v>
      </c>
      <c r="J24" s="1222">
        <f>IF('C (6)'!H22=0," ",'C (6)'!H22)</f>
        <v>7.3199999999999994</v>
      </c>
      <c r="K24" s="1222"/>
    </row>
    <row r="25" spans="1:17" ht="9" customHeight="1">
      <c r="J25" s="43"/>
      <c r="K25" s="43"/>
    </row>
    <row r="26" spans="1:17">
      <c r="B26" s="2" t="s">
        <v>37</v>
      </c>
      <c r="J26" s="1222">
        <f>IF('C (6)'!$H$43=0," ",'C (6)'!$H$43)</f>
        <v>7.81</v>
      </c>
      <c r="K26" s="1222"/>
    </row>
    <row r="27" spans="1:17" ht="8.25" customHeight="1">
      <c r="J27" s="43"/>
      <c r="K27" s="43"/>
    </row>
    <row r="28" spans="1:17" ht="6" customHeight="1">
      <c r="J28" s="39"/>
      <c r="K28" s="39"/>
    </row>
    <row r="29" spans="1:17" ht="15.6" thickBot="1">
      <c r="B29" s="46" t="s">
        <v>38</v>
      </c>
      <c r="J29" s="1219">
        <f>SUM(J22:K27)</f>
        <v>15.129999999999999</v>
      </c>
      <c r="K29" s="1219"/>
      <c r="L29" s="40" t="s">
        <v>28</v>
      </c>
      <c r="M29" s="41">
        <f>IF(SUM('Input (6)'!C4:C10)=0,0,IF(J29&gt;=14,LOOKUP(J29,'criteria (6)'!$U$3:$U$10,'criteria (6)'!$V$3:$V$10),0))</f>
        <v>14.5</v>
      </c>
      <c r="N29" s="42" t="s">
        <v>29</v>
      </c>
      <c r="O29" s="38">
        <f>IF(J29=0,0,IF(Q29&lt;LOOKUP(J29,'criteria (6)'!$U$3:$U$10,'criteria (6)'!$W$3:$W$10),LOOKUP(J29,'criteria (6)'!$U$3:$U$10,'criteria (6)'!$W$3:$W$10),Q29))</f>
        <v>1.04</v>
      </c>
      <c r="P29" s="2" t="str">
        <f>IF(O29=0," ",IF(O29=Q29," ","Minimum"))</f>
        <v xml:space="preserve"> </v>
      </c>
      <c r="Q29" s="32">
        <f>ROUND(IF(SUM('Input (6)'!C4:C10)=0,0,IF(M29=0,0,(J29/M29))),2)</f>
        <v>1.04</v>
      </c>
    </row>
    <row r="30" spans="1:17" ht="21" customHeight="1" thickTop="1">
      <c r="B30" s="47"/>
      <c r="C30" s="47"/>
      <c r="D30" s="47"/>
      <c r="E30" s="47"/>
      <c r="F30" s="47"/>
      <c r="G30" s="47"/>
      <c r="H30" s="47"/>
      <c r="J30" s="12"/>
      <c r="N30" s="42"/>
      <c r="O30" s="36"/>
      <c r="P30" s="46"/>
    </row>
    <row r="31" spans="1:17" ht="19.5" customHeight="1">
      <c r="A31" s="48" t="s">
        <v>39</v>
      </c>
    </row>
    <row r="32" spans="1:17" ht="15">
      <c r="B32" s="1223" t="str">
        <f>IF('Input (6)'!E14=0," ","Alternative Secondary High School")</f>
        <v xml:space="preserve"> </v>
      </c>
      <c r="C32" s="1223"/>
      <c r="D32" s="1223"/>
      <c r="E32" s="1223"/>
      <c r="F32" s="1223"/>
      <c r="G32" s="1223"/>
      <c r="J32" s="1222">
        <f>'Input (6)'!E14</f>
        <v>0</v>
      </c>
      <c r="K32" s="1222"/>
      <c r="L32" s="40" t="s">
        <v>28</v>
      </c>
      <c r="M32" s="41">
        <f>IF(J32=0,0,IF(Q32&lt;1,M18,12))</f>
        <v>0</v>
      </c>
      <c r="N32" s="42" t="s">
        <v>29</v>
      </c>
      <c r="O32" s="38">
        <f>ROUND(IF(J32=0,0,J32/M32),2)</f>
        <v>0</v>
      </c>
      <c r="P32" s="45"/>
      <c r="Q32" s="32">
        <f>ROUND(IF(J32=0,0,J32/12),2)</f>
        <v>0</v>
      </c>
    </row>
    <row r="33" spans="1:17" ht="11.25" customHeight="1">
      <c r="J33" s="43"/>
      <c r="K33" s="43"/>
      <c r="O33" s="43"/>
    </row>
    <row r="34" spans="1:17" ht="11.25" customHeight="1">
      <c r="B34" s="1223" t="str">
        <f>IF('Input (6)'!E15=0," ","Summer Alternative Secondary High School")</f>
        <v xml:space="preserve"> </v>
      </c>
      <c r="C34" s="1223"/>
      <c r="D34" s="1223"/>
      <c r="E34" s="1223"/>
      <c r="F34" s="1223"/>
      <c r="G34" s="1223"/>
      <c r="J34" s="1222">
        <f>'Input (6)'!E15</f>
        <v>0</v>
      </c>
      <c r="K34" s="1222"/>
      <c r="L34" s="40" t="s">
        <v>28</v>
      </c>
      <c r="M34" s="41">
        <f>IF(J34=0,0,40)</f>
        <v>0</v>
      </c>
      <c r="N34" s="42" t="s">
        <v>29</v>
      </c>
      <c r="O34" s="38">
        <f>ROUND(IF(J34=0,0,J34/M34),2)</f>
        <v>0</v>
      </c>
      <c r="P34" s="45"/>
      <c r="Q34" s="32">
        <f>ROUND(IF(J34=0,0,J34/12),2)</f>
        <v>0</v>
      </c>
    </row>
    <row r="35" spans="1:17" ht="13.5" customHeight="1">
      <c r="J35" s="36"/>
      <c r="K35" s="36"/>
      <c r="L35" s="40"/>
      <c r="M35" s="36"/>
      <c r="N35" s="42"/>
      <c r="O35" s="36"/>
      <c r="P35" s="46"/>
    </row>
    <row r="36" spans="1:17" ht="18.75" customHeight="1" thickBot="1">
      <c r="A36" s="45"/>
      <c r="B36" s="12" t="s">
        <v>40</v>
      </c>
      <c r="C36" s="46"/>
      <c r="D36" s="46"/>
      <c r="E36" s="46"/>
      <c r="F36" s="46"/>
      <c r="G36" s="46"/>
      <c r="H36" s="46"/>
      <c r="I36" s="46"/>
      <c r="J36" s="46"/>
      <c r="K36" s="46"/>
      <c r="M36" s="36" t="s">
        <v>29</v>
      </c>
      <c r="N36" s="1224">
        <f>ROUND(IF(SUM(O7:O34)=0,0,SUM(O7:O34)),2)</f>
        <v>17.829999999999998</v>
      </c>
      <c r="O36" s="1224"/>
    </row>
    <row r="37" spans="1:17" ht="13.8" thickTop="1"/>
  </sheetData>
  <sheetProtection password="CC16" sheet="1" objects="1" scenarios="1"/>
  <mergeCells count="17">
    <mergeCell ref="B32:G32"/>
    <mergeCell ref="J32:K32"/>
    <mergeCell ref="B34:G34"/>
    <mergeCell ref="J34:K34"/>
    <mergeCell ref="N36:O36"/>
    <mergeCell ref="J29:K29"/>
    <mergeCell ref="A2:O2"/>
    <mergeCell ref="A3:O3"/>
    <mergeCell ref="J5:K5"/>
    <mergeCell ref="J7:K7"/>
    <mergeCell ref="J11:K11"/>
    <mergeCell ref="J13:K13"/>
    <mergeCell ref="J16:K16"/>
    <mergeCell ref="J18:K18"/>
    <mergeCell ref="J22:K22"/>
    <mergeCell ref="J24:K24"/>
    <mergeCell ref="J26:K26"/>
  </mergeCells>
  <pageMargins left="0.5" right="0.5" top="0.5" bottom="0.5" header="0.25" footer="0.25"/>
  <pageSetup scale="81" orientation="portrait" r:id="rId1"/>
  <headerFooter alignWithMargins="0">
    <oddFooter>&amp;L&amp;F</oddFooter>
  </headerFooter>
  <colBreaks count="1" manualBreakCount="1">
    <brk id="16"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3"/>
  <dimension ref="A1:R37"/>
  <sheetViews>
    <sheetView showGridLines="0" zoomScale="90" zoomScaleNormal="100" workbookViewId="0">
      <selection activeCell="F6" sqref="F6"/>
    </sheetView>
  </sheetViews>
  <sheetFormatPr defaultRowHeight="13.2"/>
  <cols>
    <col min="1" max="1" width="4.21875" style="30" customWidth="1"/>
    <col min="2" max="2" width="2.5546875" style="2" customWidth="1"/>
    <col min="3" max="6" width="8.77734375" style="2"/>
    <col min="7" max="7" width="4.5546875" style="2" customWidth="1"/>
    <col min="8" max="8" width="10.21875" style="2" customWidth="1"/>
    <col min="9" max="9" width="3.21875" style="2" customWidth="1"/>
    <col min="10" max="10" width="8.77734375" style="2"/>
    <col min="11" max="11" width="6.21875" style="2" customWidth="1"/>
    <col min="12" max="12" width="3.77734375" style="2" customWidth="1"/>
    <col min="13" max="13" width="10.77734375" style="2" customWidth="1"/>
    <col min="14" max="14" width="4.21875" style="2" customWidth="1"/>
    <col min="15" max="15" width="12.21875" style="2" customWidth="1"/>
    <col min="16" max="16" width="10.21875" style="2" customWidth="1"/>
    <col min="17" max="17" width="9.21875" style="32" customWidth="1"/>
    <col min="18" max="256" width="8.77734375" style="2"/>
    <col min="257" max="257" width="4.21875" style="2" customWidth="1"/>
    <col min="258" max="258" width="2.5546875" style="2" customWidth="1"/>
    <col min="259" max="262" width="8.77734375" style="2"/>
    <col min="263" max="263" width="4.5546875" style="2" customWidth="1"/>
    <col min="264" max="264" width="10.21875" style="2" customWidth="1"/>
    <col min="265" max="265" width="3.21875" style="2" customWidth="1"/>
    <col min="266" max="266" width="8.77734375" style="2"/>
    <col min="267" max="267" width="6.21875" style="2" customWidth="1"/>
    <col min="268" max="268" width="3.77734375" style="2" customWidth="1"/>
    <col min="269" max="269" width="10.77734375" style="2" customWidth="1"/>
    <col min="270" max="270" width="4.21875" style="2" customWidth="1"/>
    <col min="271" max="271" width="12.21875" style="2" customWidth="1"/>
    <col min="272" max="272" width="10.21875" style="2" customWidth="1"/>
    <col min="273" max="273" width="9.21875" style="2" customWidth="1"/>
    <col min="274" max="512" width="8.77734375" style="2"/>
    <col min="513" max="513" width="4.21875" style="2" customWidth="1"/>
    <col min="514" max="514" width="2.5546875" style="2" customWidth="1"/>
    <col min="515" max="518" width="8.77734375" style="2"/>
    <col min="519" max="519" width="4.5546875" style="2" customWidth="1"/>
    <col min="520" max="520" width="10.21875" style="2" customWidth="1"/>
    <col min="521" max="521" width="3.21875" style="2" customWidth="1"/>
    <col min="522" max="522" width="8.77734375" style="2"/>
    <col min="523" max="523" width="6.21875" style="2" customWidth="1"/>
    <col min="524" max="524" width="3.77734375" style="2" customWidth="1"/>
    <col min="525" max="525" width="10.77734375" style="2" customWidth="1"/>
    <col min="526" max="526" width="4.21875" style="2" customWidth="1"/>
    <col min="527" max="527" width="12.21875" style="2" customWidth="1"/>
    <col min="528" max="528" width="10.21875" style="2" customWidth="1"/>
    <col min="529" max="529" width="9.21875" style="2" customWidth="1"/>
    <col min="530" max="768" width="8.77734375" style="2"/>
    <col min="769" max="769" width="4.21875" style="2" customWidth="1"/>
    <col min="770" max="770" width="2.5546875" style="2" customWidth="1"/>
    <col min="771" max="774" width="8.77734375" style="2"/>
    <col min="775" max="775" width="4.5546875" style="2" customWidth="1"/>
    <col min="776" max="776" width="10.21875" style="2" customWidth="1"/>
    <col min="777" max="777" width="3.21875" style="2" customWidth="1"/>
    <col min="778" max="778" width="8.77734375" style="2"/>
    <col min="779" max="779" width="6.21875" style="2" customWidth="1"/>
    <col min="780" max="780" width="3.77734375" style="2" customWidth="1"/>
    <col min="781" max="781" width="10.77734375" style="2" customWidth="1"/>
    <col min="782" max="782" width="4.21875" style="2" customWidth="1"/>
    <col min="783" max="783" width="12.21875" style="2" customWidth="1"/>
    <col min="784" max="784" width="10.21875" style="2" customWidth="1"/>
    <col min="785" max="785" width="9.21875" style="2" customWidth="1"/>
    <col min="786" max="1024" width="8.77734375" style="2"/>
    <col min="1025" max="1025" width="4.21875" style="2" customWidth="1"/>
    <col min="1026" max="1026" width="2.5546875" style="2" customWidth="1"/>
    <col min="1027" max="1030" width="8.77734375" style="2"/>
    <col min="1031" max="1031" width="4.5546875" style="2" customWidth="1"/>
    <col min="1032" max="1032" width="10.21875" style="2" customWidth="1"/>
    <col min="1033" max="1033" width="3.21875" style="2" customWidth="1"/>
    <col min="1034" max="1034" width="8.77734375" style="2"/>
    <col min="1035" max="1035" width="6.21875" style="2" customWidth="1"/>
    <col min="1036" max="1036" width="3.77734375" style="2" customWidth="1"/>
    <col min="1037" max="1037" width="10.77734375" style="2" customWidth="1"/>
    <col min="1038" max="1038" width="4.21875" style="2" customWidth="1"/>
    <col min="1039" max="1039" width="12.21875" style="2" customWidth="1"/>
    <col min="1040" max="1040" width="10.21875" style="2" customWidth="1"/>
    <col min="1041" max="1041" width="9.21875" style="2" customWidth="1"/>
    <col min="1042" max="1280" width="8.77734375" style="2"/>
    <col min="1281" max="1281" width="4.21875" style="2" customWidth="1"/>
    <col min="1282" max="1282" width="2.5546875" style="2" customWidth="1"/>
    <col min="1283" max="1286" width="8.77734375" style="2"/>
    <col min="1287" max="1287" width="4.5546875" style="2" customWidth="1"/>
    <col min="1288" max="1288" width="10.21875" style="2" customWidth="1"/>
    <col min="1289" max="1289" width="3.21875" style="2" customWidth="1"/>
    <col min="1290" max="1290" width="8.77734375" style="2"/>
    <col min="1291" max="1291" width="6.21875" style="2" customWidth="1"/>
    <col min="1292" max="1292" width="3.77734375" style="2" customWidth="1"/>
    <col min="1293" max="1293" width="10.77734375" style="2" customWidth="1"/>
    <col min="1294" max="1294" width="4.21875" style="2" customWidth="1"/>
    <col min="1295" max="1295" width="12.21875" style="2" customWidth="1"/>
    <col min="1296" max="1296" width="10.21875" style="2" customWidth="1"/>
    <col min="1297" max="1297" width="9.21875" style="2" customWidth="1"/>
    <col min="1298" max="1536" width="8.77734375" style="2"/>
    <col min="1537" max="1537" width="4.21875" style="2" customWidth="1"/>
    <col min="1538" max="1538" width="2.5546875" style="2" customWidth="1"/>
    <col min="1539" max="1542" width="8.77734375" style="2"/>
    <col min="1543" max="1543" width="4.5546875" style="2" customWidth="1"/>
    <col min="1544" max="1544" width="10.21875" style="2" customWidth="1"/>
    <col min="1545" max="1545" width="3.21875" style="2" customWidth="1"/>
    <col min="1546" max="1546" width="8.77734375" style="2"/>
    <col min="1547" max="1547" width="6.21875" style="2" customWidth="1"/>
    <col min="1548" max="1548" width="3.77734375" style="2" customWidth="1"/>
    <col min="1549" max="1549" width="10.77734375" style="2" customWidth="1"/>
    <col min="1550" max="1550" width="4.21875" style="2" customWidth="1"/>
    <col min="1551" max="1551" width="12.21875" style="2" customWidth="1"/>
    <col min="1552" max="1552" width="10.21875" style="2" customWidth="1"/>
    <col min="1553" max="1553" width="9.21875" style="2" customWidth="1"/>
    <col min="1554" max="1792" width="8.77734375" style="2"/>
    <col min="1793" max="1793" width="4.21875" style="2" customWidth="1"/>
    <col min="1794" max="1794" width="2.5546875" style="2" customWidth="1"/>
    <col min="1795" max="1798" width="8.77734375" style="2"/>
    <col min="1799" max="1799" width="4.5546875" style="2" customWidth="1"/>
    <col min="1800" max="1800" width="10.21875" style="2" customWidth="1"/>
    <col min="1801" max="1801" width="3.21875" style="2" customWidth="1"/>
    <col min="1802" max="1802" width="8.77734375" style="2"/>
    <col min="1803" max="1803" width="6.21875" style="2" customWidth="1"/>
    <col min="1804" max="1804" width="3.77734375" style="2" customWidth="1"/>
    <col min="1805" max="1805" width="10.77734375" style="2" customWidth="1"/>
    <col min="1806" max="1806" width="4.21875" style="2" customWidth="1"/>
    <col min="1807" max="1807" width="12.21875" style="2" customWidth="1"/>
    <col min="1808" max="1808" width="10.21875" style="2" customWidth="1"/>
    <col min="1809" max="1809" width="9.21875" style="2" customWidth="1"/>
    <col min="1810" max="2048" width="8.77734375" style="2"/>
    <col min="2049" max="2049" width="4.21875" style="2" customWidth="1"/>
    <col min="2050" max="2050" width="2.5546875" style="2" customWidth="1"/>
    <col min="2051" max="2054" width="8.77734375" style="2"/>
    <col min="2055" max="2055" width="4.5546875" style="2" customWidth="1"/>
    <col min="2056" max="2056" width="10.21875" style="2" customWidth="1"/>
    <col min="2057" max="2057" width="3.21875" style="2" customWidth="1"/>
    <col min="2058" max="2058" width="8.77734375" style="2"/>
    <col min="2059" max="2059" width="6.21875" style="2" customWidth="1"/>
    <col min="2060" max="2060" width="3.77734375" style="2" customWidth="1"/>
    <col min="2061" max="2061" width="10.77734375" style="2" customWidth="1"/>
    <col min="2062" max="2062" width="4.21875" style="2" customWidth="1"/>
    <col min="2063" max="2063" width="12.21875" style="2" customWidth="1"/>
    <col min="2064" max="2064" width="10.21875" style="2" customWidth="1"/>
    <col min="2065" max="2065" width="9.21875" style="2" customWidth="1"/>
    <col min="2066" max="2304" width="8.77734375" style="2"/>
    <col min="2305" max="2305" width="4.21875" style="2" customWidth="1"/>
    <col min="2306" max="2306" width="2.5546875" style="2" customWidth="1"/>
    <col min="2307" max="2310" width="8.77734375" style="2"/>
    <col min="2311" max="2311" width="4.5546875" style="2" customWidth="1"/>
    <col min="2312" max="2312" width="10.21875" style="2" customWidth="1"/>
    <col min="2313" max="2313" width="3.21875" style="2" customWidth="1"/>
    <col min="2314" max="2314" width="8.77734375" style="2"/>
    <col min="2315" max="2315" width="6.21875" style="2" customWidth="1"/>
    <col min="2316" max="2316" width="3.77734375" style="2" customWidth="1"/>
    <col min="2317" max="2317" width="10.77734375" style="2" customWidth="1"/>
    <col min="2318" max="2318" width="4.21875" style="2" customWidth="1"/>
    <col min="2319" max="2319" width="12.21875" style="2" customWidth="1"/>
    <col min="2320" max="2320" width="10.21875" style="2" customWidth="1"/>
    <col min="2321" max="2321" width="9.21875" style="2" customWidth="1"/>
    <col min="2322" max="2560" width="8.77734375" style="2"/>
    <col min="2561" max="2561" width="4.21875" style="2" customWidth="1"/>
    <col min="2562" max="2562" width="2.5546875" style="2" customWidth="1"/>
    <col min="2563" max="2566" width="8.77734375" style="2"/>
    <col min="2567" max="2567" width="4.5546875" style="2" customWidth="1"/>
    <col min="2568" max="2568" width="10.21875" style="2" customWidth="1"/>
    <col min="2569" max="2569" width="3.21875" style="2" customWidth="1"/>
    <col min="2570" max="2570" width="8.77734375" style="2"/>
    <col min="2571" max="2571" width="6.21875" style="2" customWidth="1"/>
    <col min="2572" max="2572" width="3.77734375" style="2" customWidth="1"/>
    <col min="2573" max="2573" width="10.77734375" style="2" customWidth="1"/>
    <col min="2574" max="2574" width="4.21875" style="2" customWidth="1"/>
    <col min="2575" max="2575" width="12.21875" style="2" customWidth="1"/>
    <col min="2576" max="2576" width="10.21875" style="2" customWidth="1"/>
    <col min="2577" max="2577" width="9.21875" style="2" customWidth="1"/>
    <col min="2578" max="2816" width="8.77734375" style="2"/>
    <col min="2817" max="2817" width="4.21875" style="2" customWidth="1"/>
    <col min="2818" max="2818" width="2.5546875" style="2" customWidth="1"/>
    <col min="2819" max="2822" width="8.77734375" style="2"/>
    <col min="2823" max="2823" width="4.5546875" style="2" customWidth="1"/>
    <col min="2824" max="2824" width="10.21875" style="2" customWidth="1"/>
    <col min="2825" max="2825" width="3.21875" style="2" customWidth="1"/>
    <col min="2826" max="2826" width="8.77734375" style="2"/>
    <col min="2827" max="2827" width="6.21875" style="2" customWidth="1"/>
    <col min="2828" max="2828" width="3.77734375" style="2" customWidth="1"/>
    <col min="2829" max="2829" width="10.77734375" style="2" customWidth="1"/>
    <col min="2830" max="2830" width="4.21875" style="2" customWidth="1"/>
    <col min="2831" max="2831" width="12.21875" style="2" customWidth="1"/>
    <col min="2832" max="2832" width="10.21875" style="2" customWidth="1"/>
    <col min="2833" max="2833" width="9.21875" style="2" customWidth="1"/>
    <col min="2834" max="3072" width="8.77734375" style="2"/>
    <col min="3073" max="3073" width="4.21875" style="2" customWidth="1"/>
    <col min="3074" max="3074" width="2.5546875" style="2" customWidth="1"/>
    <col min="3075" max="3078" width="8.77734375" style="2"/>
    <col min="3079" max="3079" width="4.5546875" style="2" customWidth="1"/>
    <col min="3080" max="3080" width="10.21875" style="2" customWidth="1"/>
    <col min="3081" max="3081" width="3.21875" style="2" customWidth="1"/>
    <col min="3082" max="3082" width="8.77734375" style="2"/>
    <col min="3083" max="3083" width="6.21875" style="2" customWidth="1"/>
    <col min="3084" max="3084" width="3.77734375" style="2" customWidth="1"/>
    <col min="3085" max="3085" width="10.77734375" style="2" customWidth="1"/>
    <col min="3086" max="3086" width="4.21875" style="2" customWidth="1"/>
    <col min="3087" max="3087" width="12.21875" style="2" customWidth="1"/>
    <col min="3088" max="3088" width="10.21875" style="2" customWidth="1"/>
    <col min="3089" max="3089" width="9.21875" style="2" customWidth="1"/>
    <col min="3090" max="3328" width="8.77734375" style="2"/>
    <col min="3329" max="3329" width="4.21875" style="2" customWidth="1"/>
    <col min="3330" max="3330" width="2.5546875" style="2" customWidth="1"/>
    <col min="3331" max="3334" width="8.77734375" style="2"/>
    <col min="3335" max="3335" width="4.5546875" style="2" customWidth="1"/>
    <col min="3336" max="3336" width="10.21875" style="2" customWidth="1"/>
    <col min="3337" max="3337" width="3.21875" style="2" customWidth="1"/>
    <col min="3338" max="3338" width="8.77734375" style="2"/>
    <col min="3339" max="3339" width="6.21875" style="2" customWidth="1"/>
    <col min="3340" max="3340" width="3.77734375" style="2" customWidth="1"/>
    <col min="3341" max="3341" width="10.77734375" style="2" customWidth="1"/>
    <col min="3342" max="3342" width="4.21875" style="2" customWidth="1"/>
    <col min="3343" max="3343" width="12.21875" style="2" customWidth="1"/>
    <col min="3344" max="3344" width="10.21875" style="2" customWidth="1"/>
    <col min="3345" max="3345" width="9.21875" style="2" customWidth="1"/>
    <col min="3346" max="3584" width="8.77734375" style="2"/>
    <col min="3585" max="3585" width="4.21875" style="2" customWidth="1"/>
    <col min="3586" max="3586" width="2.5546875" style="2" customWidth="1"/>
    <col min="3587" max="3590" width="8.77734375" style="2"/>
    <col min="3591" max="3591" width="4.5546875" style="2" customWidth="1"/>
    <col min="3592" max="3592" width="10.21875" style="2" customWidth="1"/>
    <col min="3593" max="3593" width="3.21875" style="2" customWidth="1"/>
    <col min="3594" max="3594" width="8.77734375" style="2"/>
    <col min="3595" max="3595" width="6.21875" style="2" customWidth="1"/>
    <col min="3596" max="3596" width="3.77734375" style="2" customWidth="1"/>
    <col min="3597" max="3597" width="10.77734375" style="2" customWidth="1"/>
    <col min="3598" max="3598" width="4.21875" style="2" customWidth="1"/>
    <col min="3599" max="3599" width="12.21875" style="2" customWidth="1"/>
    <col min="3600" max="3600" width="10.21875" style="2" customWidth="1"/>
    <col min="3601" max="3601" width="9.21875" style="2" customWidth="1"/>
    <col min="3602" max="3840" width="8.77734375" style="2"/>
    <col min="3841" max="3841" width="4.21875" style="2" customWidth="1"/>
    <col min="3842" max="3842" width="2.5546875" style="2" customWidth="1"/>
    <col min="3843" max="3846" width="8.77734375" style="2"/>
    <col min="3847" max="3847" width="4.5546875" style="2" customWidth="1"/>
    <col min="3848" max="3848" width="10.21875" style="2" customWidth="1"/>
    <col min="3849" max="3849" width="3.21875" style="2" customWidth="1"/>
    <col min="3850" max="3850" width="8.77734375" style="2"/>
    <col min="3851" max="3851" width="6.21875" style="2" customWidth="1"/>
    <col min="3852" max="3852" width="3.77734375" style="2" customWidth="1"/>
    <col min="3853" max="3853" width="10.77734375" style="2" customWidth="1"/>
    <col min="3854" max="3854" width="4.21875" style="2" customWidth="1"/>
    <col min="3855" max="3855" width="12.21875" style="2" customWidth="1"/>
    <col min="3856" max="3856" width="10.21875" style="2" customWidth="1"/>
    <col min="3857" max="3857" width="9.21875" style="2" customWidth="1"/>
    <col min="3858" max="4096" width="8.77734375" style="2"/>
    <col min="4097" max="4097" width="4.21875" style="2" customWidth="1"/>
    <col min="4098" max="4098" width="2.5546875" style="2" customWidth="1"/>
    <col min="4099" max="4102" width="8.77734375" style="2"/>
    <col min="4103" max="4103" width="4.5546875" style="2" customWidth="1"/>
    <col min="4104" max="4104" width="10.21875" style="2" customWidth="1"/>
    <col min="4105" max="4105" width="3.21875" style="2" customWidth="1"/>
    <col min="4106" max="4106" width="8.77734375" style="2"/>
    <col min="4107" max="4107" width="6.21875" style="2" customWidth="1"/>
    <col min="4108" max="4108" width="3.77734375" style="2" customWidth="1"/>
    <col min="4109" max="4109" width="10.77734375" style="2" customWidth="1"/>
    <col min="4110" max="4110" width="4.21875" style="2" customWidth="1"/>
    <col min="4111" max="4111" width="12.21875" style="2" customWidth="1"/>
    <col min="4112" max="4112" width="10.21875" style="2" customWidth="1"/>
    <col min="4113" max="4113" width="9.21875" style="2" customWidth="1"/>
    <col min="4114" max="4352" width="8.77734375" style="2"/>
    <col min="4353" max="4353" width="4.21875" style="2" customWidth="1"/>
    <col min="4354" max="4354" width="2.5546875" style="2" customWidth="1"/>
    <col min="4355" max="4358" width="8.77734375" style="2"/>
    <col min="4359" max="4359" width="4.5546875" style="2" customWidth="1"/>
    <col min="4360" max="4360" width="10.21875" style="2" customWidth="1"/>
    <col min="4361" max="4361" width="3.21875" style="2" customWidth="1"/>
    <col min="4362" max="4362" width="8.77734375" style="2"/>
    <col min="4363" max="4363" width="6.21875" style="2" customWidth="1"/>
    <col min="4364" max="4364" width="3.77734375" style="2" customWidth="1"/>
    <col min="4365" max="4365" width="10.77734375" style="2" customWidth="1"/>
    <col min="4366" max="4366" width="4.21875" style="2" customWidth="1"/>
    <col min="4367" max="4367" width="12.21875" style="2" customWidth="1"/>
    <col min="4368" max="4368" width="10.21875" style="2" customWidth="1"/>
    <col min="4369" max="4369" width="9.21875" style="2" customWidth="1"/>
    <col min="4370" max="4608" width="8.77734375" style="2"/>
    <col min="4609" max="4609" width="4.21875" style="2" customWidth="1"/>
    <col min="4610" max="4610" width="2.5546875" style="2" customWidth="1"/>
    <col min="4611" max="4614" width="8.77734375" style="2"/>
    <col min="4615" max="4615" width="4.5546875" style="2" customWidth="1"/>
    <col min="4616" max="4616" width="10.21875" style="2" customWidth="1"/>
    <col min="4617" max="4617" width="3.21875" style="2" customWidth="1"/>
    <col min="4618" max="4618" width="8.77734375" style="2"/>
    <col min="4619" max="4619" width="6.21875" style="2" customWidth="1"/>
    <col min="4620" max="4620" width="3.77734375" style="2" customWidth="1"/>
    <col min="4621" max="4621" width="10.77734375" style="2" customWidth="1"/>
    <col min="4622" max="4622" width="4.21875" style="2" customWidth="1"/>
    <col min="4623" max="4623" width="12.21875" style="2" customWidth="1"/>
    <col min="4624" max="4624" width="10.21875" style="2" customWidth="1"/>
    <col min="4625" max="4625" width="9.21875" style="2" customWidth="1"/>
    <col min="4626" max="4864" width="8.77734375" style="2"/>
    <col min="4865" max="4865" width="4.21875" style="2" customWidth="1"/>
    <col min="4866" max="4866" width="2.5546875" style="2" customWidth="1"/>
    <col min="4867" max="4870" width="8.77734375" style="2"/>
    <col min="4871" max="4871" width="4.5546875" style="2" customWidth="1"/>
    <col min="4872" max="4872" width="10.21875" style="2" customWidth="1"/>
    <col min="4873" max="4873" width="3.21875" style="2" customWidth="1"/>
    <col min="4874" max="4874" width="8.77734375" style="2"/>
    <col min="4875" max="4875" width="6.21875" style="2" customWidth="1"/>
    <col min="4876" max="4876" width="3.77734375" style="2" customWidth="1"/>
    <col min="4877" max="4877" width="10.77734375" style="2" customWidth="1"/>
    <col min="4878" max="4878" width="4.21875" style="2" customWidth="1"/>
    <col min="4879" max="4879" width="12.21875" style="2" customWidth="1"/>
    <col min="4880" max="4880" width="10.21875" style="2" customWidth="1"/>
    <col min="4881" max="4881" width="9.21875" style="2" customWidth="1"/>
    <col min="4882" max="5120" width="8.77734375" style="2"/>
    <col min="5121" max="5121" width="4.21875" style="2" customWidth="1"/>
    <col min="5122" max="5122" width="2.5546875" style="2" customWidth="1"/>
    <col min="5123" max="5126" width="8.77734375" style="2"/>
    <col min="5127" max="5127" width="4.5546875" style="2" customWidth="1"/>
    <col min="5128" max="5128" width="10.21875" style="2" customWidth="1"/>
    <col min="5129" max="5129" width="3.21875" style="2" customWidth="1"/>
    <col min="5130" max="5130" width="8.77734375" style="2"/>
    <col min="5131" max="5131" width="6.21875" style="2" customWidth="1"/>
    <col min="5132" max="5132" width="3.77734375" style="2" customWidth="1"/>
    <col min="5133" max="5133" width="10.77734375" style="2" customWidth="1"/>
    <col min="5134" max="5134" width="4.21875" style="2" customWidth="1"/>
    <col min="5135" max="5135" width="12.21875" style="2" customWidth="1"/>
    <col min="5136" max="5136" width="10.21875" style="2" customWidth="1"/>
    <col min="5137" max="5137" width="9.21875" style="2" customWidth="1"/>
    <col min="5138" max="5376" width="8.77734375" style="2"/>
    <col min="5377" max="5377" width="4.21875" style="2" customWidth="1"/>
    <col min="5378" max="5378" width="2.5546875" style="2" customWidth="1"/>
    <col min="5379" max="5382" width="8.77734375" style="2"/>
    <col min="5383" max="5383" width="4.5546875" style="2" customWidth="1"/>
    <col min="5384" max="5384" width="10.21875" style="2" customWidth="1"/>
    <col min="5385" max="5385" width="3.21875" style="2" customWidth="1"/>
    <col min="5386" max="5386" width="8.77734375" style="2"/>
    <col min="5387" max="5387" width="6.21875" style="2" customWidth="1"/>
    <col min="5388" max="5388" width="3.77734375" style="2" customWidth="1"/>
    <col min="5389" max="5389" width="10.77734375" style="2" customWidth="1"/>
    <col min="5390" max="5390" width="4.21875" style="2" customWidth="1"/>
    <col min="5391" max="5391" width="12.21875" style="2" customWidth="1"/>
    <col min="5392" max="5392" width="10.21875" style="2" customWidth="1"/>
    <col min="5393" max="5393" width="9.21875" style="2" customWidth="1"/>
    <col min="5394" max="5632" width="8.77734375" style="2"/>
    <col min="5633" max="5633" width="4.21875" style="2" customWidth="1"/>
    <col min="5634" max="5634" width="2.5546875" style="2" customWidth="1"/>
    <col min="5635" max="5638" width="8.77734375" style="2"/>
    <col min="5639" max="5639" width="4.5546875" style="2" customWidth="1"/>
    <col min="5640" max="5640" width="10.21875" style="2" customWidth="1"/>
    <col min="5641" max="5641" width="3.21875" style="2" customWidth="1"/>
    <col min="5642" max="5642" width="8.77734375" style="2"/>
    <col min="5643" max="5643" width="6.21875" style="2" customWidth="1"/>
    <col min="5644" max="5644" width="3.77734375" style="2" customWidth="1"/>
    <col min="5645" max="5645" width="10.77734375" style="2" customWidth="1"/>
    <col min="5646" max="5646" width="4.21875" style="2" customWidth="1"/>
    <col min="5647" max="5647" width="12.21875" style="2" customWidth="1"/>
    <col min="5648" max="5648" width="10.21875" style="2" customWidth="1"/>
    <col min="5649" max="5649" width="9.21875" style="2" customWidth="1"/>
    <col min="5650" max="5888" width="8.77734375" style="2"/>
    <col min="5889" max="5889" width="4.21875" style="2" customWidth="1"/>
    <col min="5890" max="5890" width="2.5546875" style="2" customWidth="1"/>
    <col min="5891" max="5894" width="8.77734375" style="2"/>
    <col min="5895" max="5895" width="4.5546875" style="2" customWidth="1"/>
    <col min="5896" max="5896" width="10.21875" style="2" customWidth="1"/>
    <col min="5897" max="5897" width="3.21875" style="2" customWidth="1"/>
    <col min="5898" max="5898" width="8.77734375" style="2"/>
    <col min="5899" max="5899" width="6.21875" style="2" customWidth="1"/>
    <col min="5900" max="5900" width="3.77734375" style="2" customWidth="1"/>
    <col min="5901" max="5901" width="10.77734375" style="2" customWidth="1"/>
    <col min="5902" max="5902" width="4.21875" style="2" customWidth="1"/>
    <col min="5903" max="5903" width="12.21875" style="2" customWidth="1"/>
    <col min="5904" max="5904" width="10.21875" style="2" customWidth="1"/>
    <col min="5905" max="5905" width="9.21875" style="2" customWidth="1"/>
    <col min="5906" max="6144" width="8.77734375" style="2"/>
    <col min="6145" max="6145" width="4.21875" style="2" customWidth="1"/>
    <col min="6146" max="6146" width="2.5546875" style="2" customWidth="1"/>
    <col min="6147" max="6150" width="8.77734375" style="2"/>
    <col min="6151" max="6151" width="4.5546875" style="2" customWidth="1"/>
    <col min="6152" max="6152" width="10.21875" style="2" customWidth="1"/>
    <col min="6153" max="6153" width="3.21875" style="2" customWidth="1"/>
    <col min="6154" max="6154" width="8.77734375" style="2"/>
    <col min="6155" max="6155" width="6.21875" style="2" customWidth="1"/>
    <col min="6156" max="6156" width="3.77734375" style="2" customWidth="1"/>
    <col min="6157" max="6157" width="10.77734375" style="2" customWidth="1"/>
    <col min="6158" max="6158" width="4.21875" style="2" customWidth="1"/>
    <col min="6159" max="6159" width="12.21875" style="2" customWidth="1"/>
    <col min="6160" max="6160" width="10.21875" style="2" customWidth="1"/>
    <col min="6161" max="6161" width="9.21875" style="2" customWidth="1"/>
    <col min="6162" max="6400" width="8.77734375" style="2"/>
    <col min="6401" max="6401" width="4.21875" style="2" customWidth="1"/>
    <col min="6402" max="6402" width="2.5546875" style="2" customWidth="1"/>
    <col min="6403" max="6406" width="8.77734375" style="2"/>
    <col min="6407" max="6407" width="4.5546875" style="2" customWidth="1"/>
    <col min="6408" max="6408" width="10.21875" style="2" customWidth="1"/>
    <col min="6409" max="6409" width="3.21875" style="2" customWidth="1"/>
    <col min="6410" max="6410" width="8.77734375" style="2"/>
    <col min="6411" max="6411" width="6.21875" style="2" customWidth="1"/>
    <col min="6412" max="6412" width="3.77734375" style="2" customWidth="1"/>
    <col min="6413" max="6413" width="10.77734375" style="2" customWidth="1"/>
    <col min="6414" max="6414" width="4.21875" style="2" customWidth="1"/>
    <col min="6415" max="6415" width="12.21875" style="2" customWidth="1"/>
    <col min="6416" max="6416" width="10.21875" style="2" customWidth="1"/>
    <col min="6417" max="6417" width="9.21875" style="2" customWidth="1"/>
    <col min="6418" max="6656" width="8.77734375" style="2"/>
    <col min="6657" max="6657" width="4.21875" style="2" customWidth="1"/>
    <col min="6658" max="6658" width="2.5546875" style="2" customWidth="1"/>
    <col min="6659" max="6662" width="8.77734375" style="2"/>
    <col min="6663" max="6663" width="4.5546875" style="2" customWidth="1"/>
    <col min="6664" max="6664" width="10.21875" style="2" customWidth="1"/>
    <col min="6665" max="6665" width="3.21875" style="2" customWidth="1"/>
    <col min="6666" max="6666" width="8.77734375" style="2"/>
    <col min="6667" max="6667" width="6.21875" style="2" customWidth="1"/>
    <col min="6668" max="6668" width="3.77734375" style="2" customWidth="1"/>
    <col min="6669" max="6669" width="10.77734375" style="2" customWidth="1"/>
    <col min="6670" max="6670" width="4.21875" style="2" customWidth="1"/>
    <col min="6671" max="6671" width="12.21875" style="2" customWidth="1"/>
    <col min="6672" max="6672" width="10.21875" style="2" customWidth="1"/>
    <col min="6673" max="6673" width="9.21875" style="2" customWidth="1"/>
    <col min="6674" max="6912" width="8.77734375" style="2"/>
    <col min="6913" max="6913" width="4.21875" style="2" customWidth="1"/>
    <col min="6914" max="6914" width="2.5546875" style="2" customWidth="1"/>
    <col min="6915" max="6918" width="8.77734375" style="2"/>
    <col min="6919" max="6919" width="4.5546875" style="2" customWidth="1"/>
    <col min="6920" max="6920" width="10.21875" style="2" customWidth="1"/>
    <col min="6921" max="6921" width="3.21875" style="2" customWidth="1"/>
    <col min="6922" max="6922" width="8.77734375" style="2"/>
    <col min="6923" max="6923" width="6.21875" style="2" customWidth="1"/>
    <col min="6924" max="6924" width="3.77734375" style="2" customWidth="1"/>
    <col min="6925" max="6925" width="10.77734375" style="2" customWidth="1"/>
    <col min="6926" max="6926" width="4.21875" style="2" customWidth="1"/>
    <col min="6927" max="6927" width="12.21875" style="2" customWidth="1"/>
    <col min="6928" max="6928" width="10.21875" style="2" customWidth="1"/>
    <col min="6929" max="6929" width="9.21875" style="2" customWidth="1"/>
    <col min="6930" max="7168" width="8.77734375" style="2"/>
    <col min="7169" max="7169" width="4.21875" style="2" customWidth="1"/>
    <col min="7170" max="7170" width="2.5546875" style="2" customWidth="1"/>
    <col min="7171" max="7174" width="8.77734375" style="2"/>
    <col min="7175" max="7175" width="4.5546875" style="2" customWidth="1"/>
    <col min="7176" max="7176" width="10.21875" style="2" customWidth="1"/>
    <col min="7177" max="7177" width="3.21875" style="2" customWidth="1"/>
    <col min="7178" max="7178" width="8.77734375" style="2"/>
    <col min="7179" max="7179" width="6.21875" style="2" customWidth="1"/>
    <col min="7180" max="7180" width="3.77734375" style="2" customWidth="1"/>
    <col min="7181" max="7181" width="10.77734375" style="2" customWidth="1"/>
    <col min="7182" max="7182" width="4.21875" style="2" customWidth="1"/>
    <col min="7183" max="7183" width="12.21875" style="2" customWidth="1"/>
    <col min="7184" max="7184" width="10.21875" style="2" customWidth="1"/>
    <col min="7185" max="7185" width="9.21875" style="2" customWidth="1"/>
    <col min="7186" max="7424" width="8.77734375" style="2"/>
    <col min="7425" max="7425" width="4.21875" style="2" customWidth="1"/>
    <col min="7426" max="7426" width="2.5546875" style="2" customWidth="1"/>
    <col min="7427" max="7430" width="8.77734375" style="2"/>
    <col min="7431" max="7431" width="4.5546875" style="2" customWidth="1"/>
    <col min="7432" max="7432" width="10.21875" style="2" customWidth="1"/>
    <col min="7433" max="7433" width="3.21875" style="2" customWidth="1"/>
    <col min="7434" max="7434" width="8.77734375" style="2"/>
    <col min="7435" max="7435" width="6.21875" style="2" customWidth="1"/>
    <col min="7436" max="7436" width="3.77734375" style="2" customWidth="1"/>
    <col min="7437" max="7437" width="10.77734375" style="2" customWidth="1"/>
    <col min="7438" max="7438" width="4.21875" style="2" customWidth="1"/>
    <col min="7439" max="7439" width="12.21875" style="2" customWidth="1"/>
    <col min="7440" max="7440" width="10.21875" style="2" customWidth="1"/>
    <col min="7441" max="7441" width="9.21875" style="2" customWidth="1"/>
    <col min="7442" max="7680" width="8.77734375" style="2"/>
    <col min="7681" max="7681" width="4.21875" style="2" customWidth="1"/>
    <col min="7682" max="7682" width="2.5546875" style="2" customWidth="1"/>
    <col min="7683" max="7686" width="8.77734375" style="2"/>
    <col min="7687" max="7687" width="4.5546875" style="2" customWidth="1"/>
    <col min="7688" max="7688" width="10.21875" style="2" customWidth="1"/>
    <col min="7689" max="7689" width="3.21875" style="2" customWidth="1"/>
    <col min="7690" max="7690" width="8.77734375" style="2"/>
    <col min="7691" max="7691" width="6.21875" style="2" customWidth="1"/>
    <col min="7692" max="7692" width="3.77734375" style="2" customWidth="1"/>
    <col min="7693" max="7693" width="10.77734375" style="2" customWidth="1"/>
    <col min="7694" max="7694" width="4.21875" style="2" customWidth="1"/>
    <col min="7695" max="7695" width="12.21875" style="2" customWidth="1"/>
    <col min="7696" max="7696" width="10.21875" style="2" customWidth="1"/>
    <col min="7697" max="7697" width="9.21875" style="2" customWidth="1"/>
    <col min="7698" max="7936" width="8.77734375" style="2"/>
    <col min="7937" max="7937" width="4.21875" style="2" customWidth="1"/>
    <col min="7938" max="7938" width="2.5546875" style="2" customWidth="1"/>
    <col min="7939" max="7942" width="8.77734375" style="2"/>
    <col min="7943" max="7943" width="4.5546875" style="2" customWidth="1"/>
    <col min="7944" max="7944" width="10.21875" style="2" customWidth="1"/>
    <col min="7945" max="7945" width="3.21875" style="2" customWidth="1"/>
    <col min="7946" max="7946" width="8.77734375" style="2"/>
    <col min="7947" max="7947" width="6.21875" style="2" customWidth="1"/>
    <col min="7948" max="7948" width="3.77734375" style="2" customWidth="1"/>
    <col min="7949" max="7949" width="10.77734375" style="2" customWidth="1"/>
    <col min="7950" max="7950" width="4.21875" style="2" customWidth="1"/>
    <col min="7951" max="7951" width="12.21875" style="2" customWidth="1"/>
    <col min="7952" max="7952" width="10.21875" style="2" customWidth="1"/>
    <col min="7953" max="7953" width="9.21875" style="2" customWidth="1"/>
    <col min="7954" max="8192" width="8.77734375" style="2"/>
    <col min="8193" max="8193" width="4.21875" style="2" customWidth="1"/>
    <col min="8194" max="8194" width="2.5546875" style="2" customWidth="1"/>
    <col min="8195" max="8198" width="8.77734375" style="2"/>
    <col min="8199" max="8199" width="4.5546875" style="2" customWidth="1"/>
    <col min="8200" max="8200" width="10.21875" style="2" customWidth="1"/>
    <col min="8201" max="8201" width="3.21875" style="2" customWidth="1"/>
    <col min="8202" max="8202" width="8.77734375" style="2"/>
    <col min="8203" max="8203" width="6.21875" style="2" customWidth="1"/>
    <col min="8204" max="8204" width="3.77734375" style="2" customWidth="1"/>
    <col min="8205" max="8205" width="10.77734375" style="2" customWidth="1"/>
    <col min="8206" max="8206" width="4.21875" style="2" customWidth="1"/>
    <col min="8207" max="8207" width="12.21875" style="2" customWidth="1"/>
    <col min="8208" max="8208" width="10.21875" style="2" customWidth="1"/>
    <col min="8209" max="8209" width="9.21875" style="2" customWidth="1"/>
    <col min="8210" max="8448" width="8.77734375" style="2"/>
    <col min="8449" max="8449" width="4.21875" style="2" customWidth="1"/>
    <col min="8450" max="8450" width="2.5546875" style="2" customWidth="1"/>
    <col min="8451" max="8454" width="8.77734375" style="2"/>
    <col min="8455" max="8455" width="4.5546875" style="2" customWidth="1"/>
    <col min="8456" max="8456" width="10.21875" style="2" customWidth="1"/>
    <col min="8457" max="8457" width="3.21875" style="2" customWidth="1"/>
    <col min="8458" max="8458" width="8.77734375" style="2"/>
    <col min="8459" max="8459" width="6.21875" style="2" customWidth="1"/>
    <col min="8460" max="8460" width="3.77734375" style="2" customWidth="1"/>
    <col min="8461" max="8461" width="10.77734375" style="2" customWidth="1"/>
    <col min="8462" max="8462" width="4.21875" style="2" customWidth="1"/>
    <col min="8463" max="8463" width="12.21875" style="2" customWidth="1"/>
    <col min="8464" max="8464" width="10.21875" style="2" customWidth="1"/>
    <col min="8465" max="8465" width="9.21875" style="2" customWidth="1"/>
    <col min="8466" max="8704" width="8.77734375" style="2"/>
    <col min="8705" max="8705" width="4.21875" style="2" customWidth="1"/>
    <col min="8706" max="8706" width="2.5546875" style="2" customWidth="1"/>
    <col min="8707" max="8710" width="8.77734375" style="2"/>
    <col min="8711" max="8711" width="4.5546875" style="2" customWidth="1"/>
    <col min="8712" max="8712" width="10.21875" style="2" customWidth="1"/>
    <col min="8713" max="8713" width="3.21875" style="2" customWidth="1"/>
    <col min="8714" max="8714" width="8.77734375" style="2"/>
    <col min="8715" max="8715" width="6.21875" style="2" customWidth="1"/>
    <col min="8716" max="8716" width="3.77734375" style="2" customWidth="1"/>
    <col min="8717" max="8717" width="10.77734375" style="2" customWidth="1"/>
    <col min="8718" max="8718" width="4.21875" style="2" customWidth="1"/>
    <col min="8719" max="8719" width="12.21875" style="2" customWidth="1"/>
    <col min="8720" max="8720" width="10.21875" style="2" customWidth="1"/>
    <col min="8721" max="8721" width="9.21875" style="2" customWidth="1"/>
    <col min="8722" max="8960" width="8.77734375" style="2"/>
    <col min="8961" max="8961" width="4.21875" style="2" customWidth="1"/>
    <col min="8962" max="8962" width="2.5546875" style="2" customWidth="1"/>
    <col min="8963" max="8966" width="8.77734375" style="2"/>
    <col min="8967" max="8967" width="4.5546875" style="2" customWidth="1"/>
    <col min="8968" max="8968" width="10.21875" style="2" customWidth="1"/>
    <col min="8969" max="8969" width="3.21875" style="2" customWidth="1"/>
    <col min="8970" max="8970" width="8.77734375" style="2"/>
    <col min="8971" max="8971" width="6.21875" style="2" customWidth="1"/>
    <col min="8972" max="8972" width="3.77734375" style="2" customWidth="1"/>
    <col min="8973" max="8973" width="10.77734375" style="2" customWidth="1"/>
    <col min="8974" max="8974" width="4.21875" style="2" customWidth="1"/>
    <col min="8975" max="8975" width="12.21875" style="2" customWidth="1"/>
    <col min="8976" max="8976" width="10.21875" style="2" customWidth="1"/>
    <col min="8977" max="8977" width="9.21875" style="2" customWidth="1"/>
    <col min="8978" max="9216" width="8.77734375" style="2"/>
    <col min="9217" max="9217" width="4.21875" style="2" customWidth="1"/>
    <col min="9218" max="9218" width="2.5546875" style="2" customWidth="1"/>
    <col min="9219" max="9222" width="8.77734375" style="2"/>
    <col min="9223" max="9223" width="4.5546875" style="2" customWidth="1"/>
    <col min="9224" max="9224" width="10.21875" style="2" customWidth="1"/>
    <col min="9225" max="9225" width="3.21875" style="2" customWidth="1"/>
    <col min="9226" max="9226" width="8.77734375" style="2"/>
    <col min="9227" max="9227" width="6.21875" style="2" customWidth="1"/>
    <col min="9228" max="9228" width="3.77734375" style="2" customWidth="1"/>
    <col min="9229" max="9229" width="10.77734375" style="2" customWidth="1"/>
    <col min="9230" max="9230" width="4.21875" style="2" customWidth="1"/>
    <col min="9231" max="9231" width="12.21875" style="2" customWidth="1"/>
    <col min="9232" max="9232" width="10.21875" style="2" customWidth="1"/>
    <col min="9233" max="9233" width="9.21875" style="2" customWidth="1"/>
    <col min="9234" max="9472" width="8.77734375" style="2"/>
    <col min="9473" max="9473" width="4.21875" style="2" customWidth="1"/>
    <col min="9474" max="9474" width="2.5546875" style="2" customWidth="1"/>
    <col min="9475" max="9478" width="8.77734375" style="2"/>
    <col min="9479" max="9479" width="4.5546875" style="2" customWidth="1"/>
    <col min="9480" max="9480" width="10.21875" style="2" customWidth="1"/>
    <col min="9481" max="9481" width="3.21875" style="2" customWidth="1"/>
    <col min="9482" max="9482" width="8.77734375" style="2"/>
    <col min="9483" max="9483" width="6.21875" style="2" customWidth="1"/>
    <col min="9484" max="9484" width="3.77734375" style="2" customWidth="1"/>
    <col min="9485" max="9485" width="10.77734375" style="2" customWidth="1"/>
    <col min="9486" max="9486" width="4.21875" style="2" customWidth="1"/>
    <col min="9487" max="9487" width="12.21875" style="2" customWidth="1"/>
    <col min="9488" max="9488" width="10.21875" style="2" customWidth="1"/>
    <col min="9489" max="9489" width="9.21875" style="2" customWidth="1"/>
    <col min="9490" max="9728" width="8.77734375" style="2"/>
    <col min="9729" max="9729" width="4.21875" style="2" customWidth="1"/>
    <col min="9730" max="9730" width="2.5546875" style="2" customWidth="1"/>
    <col min="9731" max="9734" width="8.77734375" style="2"/>
    <col min="9735" max="9735" width="4.5546875" style="2" customWidth="1"/>
    <col min="9736" max="9736" width="10.21875" style="2" customWidth="1"/>
    <col min="9737" max="9737" width="3.21875" style="2" customWidth="1"/>
    <col min="9738" max="9738" width="8.77734375" style="2"/>
    <col min="9739" max="9739" width="6.21875" style="2" customWidth="1"/>
    <col min="9740" max="9740" width="3.77734375" style="2" customWidth="1"/>
    <col min="9741" max="9741" width="10.77734375" style="2" customWidth="1"/>
    <col min="9742" max="9742" width="4.21875" style="2" customWidth="1"/>
    <col min="9743" max="9743" width="12.21875" style="2" customWidth="1"/>
    <col min="9744" max="9744" width="10.21875" style="2" customWidth="1"/>
    <col min="9745" max="9745" width="9.21875" style="2" customWidth="1"/>
    <col min="9746" max="9984" width="8.77734375" style="2"/>
    <col min="9985" max="9985" width="4.21875" style="2" customWidth="1"/>
    <col min="9986" max="9986" width="2.5546875" style="2" customWidth="1"/>
    <col min="9987" max="9990" width="8.77734375" style="2"/>
    <col min="9991" max="9991" width="4.5546875" style="2" customWidth="1"/>
    <col min="9992" max="9992" width="10.21875" style="2" customWidth="1"/>
    <col min="9993" max="9993" width="3.21875" style="2" customWidth="1"/>
    <col min="9994" max="9994" width="8.77734375" style="2"/>
    <col min="9995" max="9995" width="6.21875" style="2" customWidth="1"/>
    <col min="9996" max="9996" width="3.77734375" style="2" customWidth="1"/>
    <col min="9997" max="9997" width="10.77734375" style="2" customWidth="1"/>
    <col min="9998" max="9998" width="4.21875" style="2" customWidth="1"/>
    <col min="9999" max="9999" width="12.21875" style="2" customWidth="1"/>
    <col min="10000" max="10000" width="10.21875" style="2" customWidth="1"/>
    <col min="10001" max="10001" width="9.21875" style="2" customWidth="1"/>
    <col min="10002" max="10240" width="8.77734375" style="2"/>
    <col min="10241" max="10241" width="4.21875" style="2" customWidth="1"/>
    <col min="10242" max="10242" width="2.5546875" style="2" customWidth="1"/>
    <col min="10243" max="10246" width="8.77734375" style="2"/>
    <col min="10247" max="10247" width="4.5546875" style="2" customWidth="1"/>
    <col min="10248" max="10248" width="10.21875" style="2" customWidth="1"/>
    <col min="10249" max="10249" width="3.21875" style="2" customWidth="1"/>
    <col min="10250" max="10250" width="8.77734375" style="2"/>
    <col min="10251" max="10251" width="6.21875" style="2" customWidth="1"/>
    <col min="10252" max="10252" width="3.77734375" style="2" customWidth="1"/>
    <col min="10253" max="10253" width="10.77734375" style="2" customWidth="1"/>
    <col min="10254" max="10254" width="4.21875" style="2" customWidth="1"/>
    <col min="10255" max="10255" width="12.21875" style="2" customWidth="1"/>
    <col min="10256" max="10256" width="10.21875" style="2" customWidth="1"/>
    <col min="10257" max="10257" width="9.21875" style="2" customWidth="1"/>
    <col min="10258" max="10496" width="8.77734375" style="2"/>
    <col min="10497" max="10497" width="4.21875" style="2" customWidth="1"/>
    <col min="10498" max="10498" width="2.5546875" style="2" customWidth="1"/>
    <col min="10499" max="10502" width="8.77734375" style="2"/>
    <col min="10503" max="10503" width="4.5546875" style="2" customWidth="1"/>
    <col min="10504" max="10504" width="10.21875" style="2" customWidth="1"/>
    <col min="10505" max="10505" width="3.21875" style="2" customWidth="1"/>
    <col min="10506" max="10506" width="8.77734375" style="2"/>
    <col min="10507" max="10507" width="6.21875" style="2" customWidth="1"/>
    <col min="10508" max="10508" width="3.77734375" style="2" customWidth="1"/>
    <col min="10509" max="10509" width="10.77734375" style="2" customWidth="1"/>
    <col min="10510" max="10510" width="4.21875" style="2" customWidth="1"/>
    <col min="10511" max="10511" width="12.21875" style="2" customWidth="1"/>
    <col min="10512" max="10512" width="10.21875" style="2" customWidth="1"/>
    <col min="10513" max="10513" width="9.21875" style="2" customWidth="1"/>
    <col min="10514" max="10752" width="8.77734375" style="2"/>
    <col min="10753" max="10753" width="4.21875" style="2" customWidth="1"/>
    <col min="10754" max="10754" width="2.5546875" style="2" customWidth="1"/>
    <col min="10755" max="10758" width="8.77734375" style="2"/>
    <col min="10759" max="10759" width="4.5546875" style="2" customWidth="1"/>
    <col min="10760" max="10760" width="10.21875" style="2" customWidth="1"/>
    <col min="10761" max="10761" width="3.21875" style="2" customWidth="1"/>
    <col min="10762" max="10762" width="8.77734375" style="2"/>
    <col min="10763" max="10763" width="6.21875" style="2" customWidth="1"/>
    <col min="10764" max="10764" width="3.77734375" style="2" customWidth="1"/>
    <col min="10765" max="10765" width="10.77734375" style="2" customWidth="1"/>
    <col min="10766" max="10766" width="4.21875" style="2" customWidth="1"/>
    <col min="10767" max="10767" width="12.21875" style="2" customWidth="1"/>
    <col min="10768" max="10768" width="10.21875" style="2" customWidth="1"/>
    <col min="10769" max="10769" width="9.21875" style="2" customWidth="1"/>
    <col min="10770" max="11008" width="8.77734375" style="2"/>
    <col min="11009" max="11009" width="4.21875" style="2" customWidth="1"/>
    <col min="11010" max="11010" width="2.5546875" style="2" customWidth="1"/>
    <col min="11011" max="11014" width="8.77734375" style="2"/>
    <col min="11015" max="11015" width="4.5546875" style="2" customWidth="1"/>
    <col min="11016" max="11016" width="10.21875" style="2" customWidth="1"/>
    <col min="11017" max="11017" width="3.21875" style="2" customWidth="1"/>
    <col min="11018" max="11018" width="8.77734375" style="2"/>
    <col min="11019" max="11019" width="6.21875" style="2" customWidth="1"/>
    <col min="11020" max="11020" width="3.77734375" style="2" customWidth="1"/>
    <col min="11021" max="11021" width="10.77734375" style="2" customWidth="1"/>
    <col min="11022" max="11022" width="4.21875" style="2" customWidth="1"/>
    <col min="11023" max="11023" width="12.21875" style="2" customWidth="1"/>
    <col min="11024" max="11024" width="10.21875" style="2" customWidth="1"/>
    <col min="11025" max="11025" width="9.21875" style="2" customWidth="1"/>
    <col min="11026" max="11264" width="8.77734375" style="2"/>
    <col min="11265" max="11265" width="4.21875" style="2" customWidth="1"/>
    <col min="11266" max="11266" width="2.5546875" style="2" customWidth="1"/>
    <col min="11267" max="11270" width="8.77734375" style="2"/>
    <col min="11271" max="11271" width="4.5546875" style="2" customWidth="1"/>
    <col min="11272" max="11272" width="10.21875" style="2" customWidth="1"/>
    <col min="11273" max="11273" width="3.21875" style="2" customWidth="1"/>
    <col min="11274" max="11274" width="8.77734375" style="2"/>
    <col min="11275" max="11275" width="6.21875" style="2" customWidth="1"/>
    <col min="11276" max="11276" width="3.77734375" style="2" customWidth="1"/>
    <col min="11277" max="11277" width="10.77734375" style="2" customWidth="1"/>
    <col min="11278" max="11278" width="4.21875" style="2" customWidth="1"/>
    <col min="11279" max="11279" width="12.21875" style="2" customWidth="1"/>
    <col min="11280" max="11280" width="10.21875" style="2" customWidth="1"/>
    <col min="11281" max="11281" width="9.21875" style="2" customWidth="1"/>
    <col min="11282" max="11520" width="8.77734375" style="2"/>
    <col min="11521" max="11521" width="4.21875" style="2" customWidth="1"/>
    <col min="11522" max="11522" width="2.5546875" style="2" customWidth="1"/>
    <col min="11523" max="11526" width="8.77734375" style="2"/>
    <col min="11527" max="11527" width="4.5546875" style="2" customWidth="1"/>
    <col min="11528" max="11528" width="10.21875" style="2" customWidth="1"/>
    <col min="11529" max="11529" width="3.21875" style="2" customWidth="1"/>
    <col min="11530" max="11530" width="8.77734375" style="2"/>
    <col min="11531" max="11531" width="6.21875" style="2" customWidth="1"/>
    <col min="11532" max="11532" width="3.77734375" style="2" customWidth="1"/>
    <col min="11533" max="11533" width="10.77734375" style="2" customWidth="1"/>
    <col min="11534" max="11534" width="4.21875" style="2" customWidth="1"/>
    <col min="11535" max="11535" width="12.21875" style="2" customWidth="1"/>
    <col min="11536" max="11536" width="10.21875" style="2" customWidth="1"/>
    <col min="11537" max="11537" width="9.21875" style="2" customWidth="1"/>
    <col min="11538" max="11776" width="8.77734375" style="2"/>
    <col min="11777" max="11777" width="4.21875" style="2" customWidth="1"/>
    <col min="11778" max="11778" width="2.5546875" style="2" customWidth="1"/>
    <col min="11779" max="11782" width="8.77734375" style="2"/>
    <col min="11783" max="11783" width="4.5546875" style="2" customWidth="1"/>
    <col min="11784" max="11784" width="10.21875" style="2" customWidth="1"/>
    <col min="11785" max="11785" width="3.21875" style="2" customWidth="1"/>
    <col min="11786" max="11786" width="8.77734375" style="2"/>
    <col min="11787" max="11787" width="6.21875" style="2" customWidth="1"/>
    <col min="11788" max="11788" width="3.77734375" style="2" customWidth="1"/>
    <col min="11789" max="11789" width="10.77734375" style="2" customWidth="1"/>
    <col min="11790" max="11790" width="4.21875" style="2" customWidth="1"/>
    <col min="11791" max="11791" width="12.21875" style="2" customWidth="1"/>
    <col min="11792" max="11792" width="10.21875" style="2" customWidth="1"/>
    <col min="11793" max="11793" width="9.21875" style="2" customWidth="1"/>
    <col min="11794" max="12032" width="8.77734375" style="2"/>
    <col min="12033" max="12033" width="4.21875" style="2" customWidth="1"/>
    <col min="12034" max="12034" width="2.5546875" style="2" customWidth="1"/>
    <col min="12035" max="12038" width="8.77734375" style="2"/>
    <col min="12039" max="12039" width="4.5546875" style="2" customWidth="1"/>
    <col min="12040" max="12040" width="10.21875" style="2" customWidth="1"/>
    <col min="12041" max="12041" width="3.21875" style="2" customWidth="1"/>
    <col min="12042" max="12042" width="8.77734375" style="2"/>
    <col min="12043" max="12043" width="6.21875" style="2" customWidth="1"/>
    <col min="12044" max="12044" width="3.77734375" style="2" customWidth="1"/>
    <col min="12045" max="12045" width="10.77734375" style="2" customWidth="1"/>
    <col min="12046" max="12046" width="4.21875" style="2" customWidth="1"/>
    <col min="12047" max="12047" width="12.21875" style="2" customWidth="1"/>
    <col min="12048" max="12048" width="10.21875" style="2" customWidth="1"/>
    <col min="12049" max="12049" width="9.21875" style="2" customWidth="1"/>
    <col min="12050" max="12288" width="8.77734375" style="2"/>
    <col min="12289" max="12289" width="4.21875" style="2" customWidth="1"/>
    <col min="12290" max="12290" width="2.5546875" style="2" customWidth="1"/>
    <col min="12291" max="12294" width="8.77734375" style="2"/>
    <col min="12295" max="12295" width="4.5546875" style="2" customWidth="1"/>
    <col min="12296" max="12296" width="10.21875" style="2" customWidth="1"/>
    <col min="12297" max="12297" width="3.21875" style="2" customWidth="1"/>
    <col min="12298" max="12298" width="8.77734375" style="2"/>
    <col min="12299" max="12299" width="6.21875" style="2" customWidth="1"/>
    <col min="12300" max="12300" width="3.77734375" style="2" customWidth="1"/>
    <col min="12301" max="12301" width="10.77734375" style="2" customWidth="1"/>
    <col min="12302" max="12302" width="4.21875" style="2" customWidth="1"/>
    <col min="12303" max="12303" width="12.21875" style="2" customWidth="1"/>
    <col min="12304" max="12304" width="10.21875" style="2" customWidth="1"/>
    <col min="12305" max="12305" width="9.21875" style="2" customWidth="1"/>
    <col min="12306" max="12544" width="8.77734375" style="2"/>
    <col min="12545" max="12545" width="4.21875" style="2" customWidth="1"/>
    <col min="12546" max="12546" width="2.5546875" style="2" customWidth="1"/>
    <col min="12547" max="12550" width="8.77734375" style="2"/>
    <col min="12551" max="12551" width="4.5546875" style="2" customWidth="1"/>
    <col min="12552" max="12552" width="10.21875" style="2" customWidth="1"/>
    <col min="12553" max="12553" width="3.21875" style="2" customWidth="1"/>
    <col min="12554" max="12554" width="8.77734375" style="2"/>
    <col min="12555" max="12555" width="6.21875" style="2" customWidth="1"/>
    <col min="12556" max="12556" width="3.77734375" style="2" customWidth="1"/>
    <col min="12557" max="12557" width="10.77734375" style="2" customWidth="1"/>
    <col min="12558" max="12558" width="4.21875" style="2" customWidth="1"/>
    <col min="12559" max="12559" width="12.21875" style="2" customWidth="1"/>
    <col min="12560" max="12560" width="10.21875" style="2" customWidth="1"/>
    <col min="12561" max="12561" width="9.21875" style="2" customWidth="1"/>
    <col min="12562" max="12800" width="8.77734375" style="2"/>
    <col min="12801" max="12801" width="4.21875" style="2" customWidth="1"/>
    <col min="12802" max="12802" width="2.5546875" style="2" customWidth="1"/>
    <col min="12803" max="12806" width="8.77734375" style="2"/>
    <col min="12807" max="12807" width="4.5546875" style="2" customWidth="1"/>
    <col min="12808" max="12808" width="10.21875" style="2" customWidth="1"/>
    <col min="12809" max="12809" width="3.21875" style="2" customWidth="1"/>
    <col min="12810" max="12810" width="8.77734375" style="2"/>
    <col min="12811" max="12811" width="6.21875" style="2" customWidth="1"/>
    <col min="12812" max="12812" width="3.77734375" style="2" customWidth="1"/>
    <col min="12813" max="12813" width="10.77734375" style="2" customWidth="1"/>
    <col min="12814" max="12814" width="4.21875" style="2" customWidth="1"/>
    <col min="12815" max="12815" width="12.21875" style="2" customWidth="1"/>
    <col min="12816" max="12816" width="10.21875" style="2" customWidth="1"/>
    <col min="12817" max="12817" width="9.21875" style="2" customWidth="1"/>
    <col min="12818" max="13056" width="8.77734375" style="2"/>
    <col min="13057" max="13057" width="4.21875" style="2" customWidth="1"/>
    <col min="13058" max="13058" width="2.5546875" style="2" customWidth="1"/>
    <col min="13059" max="13062" width="8.77734375" style="2"/>
    <col min="13063" max="13063" width="4.5546875" style="2" customWidth="1"/>
    <col min="13064" max="13064" width="10.21875" style="2" customWidth="1"/>
    <col min="13065" max="13065" width="3.21875" style="2" customWidth="1"/>
    <col min="13066" max="13066" width="8.77734375" style="2"/>
    <col min="13067" max="13067" width="6.21875" style="2" customWidth="1"/>
    <col min="13068" max="13068" width="3.77734375" style="2" customWidth="1"/>
    <col min="13069" max="13069" width="10.77734375" style="2" customWidth="1"/>
    <col min="13070" max="13070" width="4.21875" style="2" customWidth="1"/>
    <col min="13071" max="13071" width="12.21875" style="2" customWidth="1"/>
    <col min="13072" max="13072" width="10.21875" style="2" customWidth="1"/>
    <col min="13073" max="13073" width="9.21875" style="2" customWidth="1"/>
    <col min="13074" max="13312" width="8.77734375" style="2"/>
    <col min="13313" max="13313" width="4.21875" style="2" customWidth="1"/>
    <col min="13314" max="13314" width="2.5546875" style="2" customWidth="1"/>
    <col min="13315" max="13318" width="8.77734375" style="2"/>
    <col min="13319" max="13319" width="4.5546875" style="2" customWidth="1"/>
    <col min="13320" max="13320" width="10.21875" style="2" customWidth="1"/>
    <col min="13321" max="13321" width="3.21875" style="2" customWidth="1"/>
    <col min="13322" max="13322" width="8.77734375" style="2"/>
    <col min="13323" max="13323" width="6.21875" style="2" customWidth="1"/>
    <col min="13324" max="13324" width="3.77734375" style="2" customWidth="1"/>
    <col min="13325" max="13325" width="10.77734375" style="2" customWidth="1"/>
    <col min="13326" max="13326" width="4.21875" style="2" customWidth="1"/>
    <col min="13327" max="13327" width="12.21875" style="2" customWidth="1"/>
    <col min="13328" max="13328" width="10.21875" style="2" customWidth="1"/>
    <col min="13329" max="13329" width="9.21875" style="2" customWidth="1"/>
    <col min="13330" max="13568" width="8.77734375" style="2"/>
    <col min="13569" max="13569" width="4.21875" style="2" customWidth="1"/>
    <col min="13570" max="13570" width="2.5546875" style="2" customWidth="1"/>
    <col min="13571" max="13574" width="8.77734375" style="2"/>
    <col min="13575" max="13575" width="4.5546875" style="2" customWidth="1"/>
    <col min="13576" max="13576" width="10.21875" style="2" customWidth="1"/>
    <col min="13577" max="13577" width="3.21875" style="2" customWidth="1"/>
    <col min="13578" max="13578" width="8.77734375" style="2"/>
    <col min="13579" max="13579" width="6.21875" style="2" customWidth="1"/>
    <col min="13580" max="13580" width="3.77734375" style="2" customWidth="1"/>
    <col min="13581" max="13581" width="10.77734375" style="2" customWidth="1"/>
    <col min="13582" max="13582" width="4.21875" style="2" customWidth="1"/>
    <col min="13583" max="13583" width="12.21875" style="2" customWidth="1"/>
    <col min="13584" max="13584" width="10.21875" style="2" customWidth="1"/>
    <col min="13585" max="13585" width="9.21875" style="2" customWidth="1"/>
    <col min="13586" max="13824" width="8.77734375" style="2"/>
    <col min="13825" max="13825" width="4.21875" style="2" customWidth="1"/>
    <col min="13826" max="13826" width="2.5546875" style="2" customWidth="1"/>
    <col min="13827" max="13830" width="8.77734375" style="2"/>
    <col min="13831" max="13831" width="4.5546875" style="2" customWidth="1"/>
    <col min="13832" max="13832" width="10.21875" style="2" customWidth="1"/>
    <col min="13833" max="13833" width="3.21875" style="2" customWidth="1"/>
    <col min="13834" max="13834" width="8.77734375" style="2"/>
    <col min="13835" max="13835" width="6.21875" style="2" customWidth="1"/>
    <col min="13836" max="13836" width="3.77734375" style="2" customWidth="1"/>
    <col min="13837" max="13837" width="10.77734375" style="2" customWidth="1"/>
    <col min="13838" max="13838" width="4.21875" style="2" customWidth="1"/>
    <col min="13839" max="13839" width="12.21875" style="2" customWidth="1"/>
    <col min="13840" max="13840" width="10.21875" style="2" customWidth="1"/>
    <col min="13841" max="13841" width="9.21875" style="2" customWidth="1"/>
    <col min="13842" max="14080" width="8.77734375" style="2"/>
    <col min="14081" max="14081" width="4.21875" style="2" customWidth="1"/>
    <col min="14082" max="14082" width="2.5546875" style="2" customWidth="1"/>
    <col min="14083" max="14086" width="8.77734375" style="2"/>
    <col min="14087" max="14087" width="4.5546875" style="2" customWidth="1"/>
    <col min="14088" max="14088" width="10.21875" style="2" customWidth="1"/>
    <col min="14089" max="14089" width="3.21875" style="2" customWidth="1"/>
    <col min="14090" max="14090" width="8.77734375" style="2"/>
    <col min="14091" max="14091" width="6.21875" style="2" customWidth="1"/>
    <col min="14092" max="14092" width="3.77734375" style="2" customWidth="1"/>
    <col min="14093" max="14093" width="10.77734375" style="2" customWidth="1"/>
    <col min="14094" max="14094" width="4.21875" style="2" customWidth="1"/>
    <col min="14095" max="14095" width="12.21875" style="2" customWidth="1"/>
    <col min="14096" max="14096" width="10.21875" style="2" customWidth="1"/>
    <col min="14097" max="14097" width="9.21875" style="2" customWidth="1"/>
    <col min="14098" max="14336" width="8.77734375" style="2"/>
    <col min="14337" max="14337" width="4.21875" style="2" customWidth="1"/>
    <col min="14338" max="14338" width="2.5546875" style="2" customWidth="1"/>
    <col min="14339" max="14342" width="8.77734375" style="2"/>
    <col min="14343" max="14343" width="4.5546875" style="2" customWidth="1"/>
    <col min="14344" max="14344" width="10.21875" style="2" customWidth="1"/>
    <col min="14345" max="14345" width="3.21875" style="2" customWidth="1"/>
    <col min="14346" max="14346" width="8.77734375" style="2"/>
    <col min="14347" max="14347" width="6.21875" style="2" customWidth="1"/>
    <col min="14348" max="14348" width="3.77734375" style="2" customWidth="1"/>
    <col min="14349" max="14349" width="10.77734375" style="2" customWidth="1"/>
    <col min="14350" max="14350" width="4.21875" style="2" customWidth="1"/>
    <col min="14351" max="14351" width="12.21875" style="2" customWidth="1"/>
    <col min="14352" max="14352" width="10.21875" style="2" customWidth="1"/>
    <col min="14353" max="14353" width="9.21875" style="2" customWidth="1"/>
    <col min="14354" max="14592" width="8.77734375" style="2"/>
    <col min="14593" max="14593" width="4.21875" style="2" customWidth="1"/>
    <col min="14594" max="14594" width="2.5546875" style="2" customWidth="1"/>
    <col min="14595" max="14598" width="8.77734375" style="2"/>
    <col min="14599" max="14599" width="4.5546875" style="2" customWidth="1"/>
    <col min="14600" max="14600" width="10.21875" style="2" customWidth="1"/>
    <col min="14601" max="14601" width="3.21875" style="2" customWidth="1"/>
    <col min="14602" max="14602" width="8.77734375" style="2"/>
    <col min="14603" max="14603" width="6.21875" style="2" customWidth="1"/>
    <col min="14604" max="14604" width="3.77734375" style="2" customWidth="1"/>
    <col min="14605" max="14605" width="10.77734375" style="2" customWidth="1"/>
    <col min="14606" max="14606" width="4.21875" style="2" customWidth="1"/>
    <col min="14607" max="14607" width="12.21875" style="2" customWidth="1"/>
    <col min="14608" max="14608" width="10.21875" style="2" customWidth="1"/>
    <col min="14609" max="14609" width="9.21875" style="2" customWidth="1"/>
    <col min="14610" max="14848" width="8.77734375" style="2"/>
    <col min="14849" max="14849" width="4.21875" style="2" customWidth="1"/>
    <col min="14850" max="14850" width="2.5546875" style="2" customWidth="1"/>
    <col min="14851" max="14854" width="8.77734375" style="2"/>
    <col min="14855" max="14855" width="4.5546875" style="2" customWidth="1"/>
    <col min="14856" max="14856" width="10.21875" style="2" customWidth="1"/>
    <col min="14857" max="14857" width="3.21875" style="2" customWidth="1"/>
    <col min="14858" max="14858" width="8.77734375" style="2"/>
    <col min="14859" max="14859" width="6.21875" style="2" customWidth="1"/>
    <col min="14860" max="14860" width="3.77734375" style="2" customWidth="1"/>
    <col min="14861" max="14861" width="10.77734375" style="2" customWidth="1"/>
    <col min="14862" max="14862" width="4.21875" style="2" customWidth="1"/>
    <col min="14863" max="14863" width="12.21875" style="2" customWidth="1"/>
    <col min="14864" max="14864" width="10.21875" style="2" customWidth="1"/>
    <col min="14865" max="14865" width="9.21875" style="2" customWidth="1"/>
    <col min="14866" max="15104" width="8.77734375" style="2"/>
    <col min="15105" max="15105" width="4.21875" style="2" customWidth="1"/>
    <col min="15106" max="15106" width="2.5546875" style="2" customWidth="1"/>
    <col min="15107" max="15110" width="8.77734375" style="2"/>
    <col min="15111" max="15111" width="4.5546875" style="2" customWidth="1"/>
    <col min="15112" max="15112" width="10.21875" style="2" customWidth="1"/>
    <col min="15113" max="15113" width="3.21875" style="2" customWidth="1"/>
    <col min="15114" max="15114" width="8.77734375" style="2"/>
    <col min="15115" max="15115" width="6.21875" style="2" customWidth="1"/>
    <col min="15116" max="15116" width="3.77734375" style="2" customWidth="1"/>
    <col min="15117" max="15117" width="10.77734375" style="2" customWidth="1"/>
    <col min="15118" max="15118" width="4.21875" style="2" customWidth="1"/>
    <col min="15119" max="15119" width="12.21875" style="2" customWidth="1"/>
    <col min="15120" max="15120" width="10.21875" style="2" customWidth="1"/>
    <col min="15121" max="15121" width="9.21875" style="2" customWidth="1"/>
    <col min="15122" max="15360" width="8.77734375" style="2"/>
    <col min="15361" max="15361" width="4.21875" style="2" customWidth="1"/>
    <col min="15362" max="15362" width="2.5546875" style="2" customWidth="1"/>
    <col min="15363" max="15366" width="8.77734375" style="2"/>
    <col min="15367" max="15367" width="4.5546875" style="2" customWidth="1"/>
    <col min="15368" max="15368" width="10.21875" style="2" customWidth="1"/>
    <col min="15369" max="15369" width="3.21875" style="2" customWidth="1"/>
    <col min="15370" max="15370" width="8.77734375" style="2"/>
    <col min="15371" max="15371" width="6.21875" style="2" customWidth="1"/>
    <col min="15372" max="15372" width="3.77734375" style="2" customWidth="1"/>
    <col min="15373" max="15373" width="10.77734375" style="2" customWidth="1"/>
    <col min="15374" max="15374" width="4.21875" style="2" customWidth="1"/>
    <col min="15375" max="15375" width="12.21875" style="2" customWidth="1"/>
    <col min="15376" max="15376" width="10.21875" style="2" customWidth="1"/>
    <col min="15377" max="15377" width="9.21875" style="2" customWidth="1"/>
    <col min="15378" max="15616" width="8.77734375" style="2"/>
    <col min="15617" max="15617" width="4.21875" style="2" customWidth="1"/>
    <col min="15618" max="15618" width="2.5546875" style="2" customWidth="1"/>
    <col min="15619" max="15622" width="8.77734375" style="2"/>
    <col min="15623" max="15623" width="4.5546875" style="2" customWidth="1"/>
    <col min="15624" max="15624" width="10.21875" style="2" customWidth="1"/>
    <col min="15625" max="15625" width="3.21875" style="2" customWidth="1"/>
    <col min="15626" max="15626" width="8.77734375" style="2"/>
    <col min="15627" max="15627" width="6.21875" style="2" customWidth="1"/>
    <col min="15628" max="15628" width="3.77734375" style="2" customWidth="1"/>
    <col min="15629" max="15629" width="10.77734375" style="2" customWidth="1"/>
    <col min="15630" max="15630" width="4.21875" style="2" customWidth="1"/>
    <col min="15631" max="15631" width="12.21875" style="2" customWidth="1"/>
    <col min="15632" max="15632" width="10.21875" style="2" customWidth="1"/>
    <col min="15633" max="15633" width="9.21875" style="2" customWidth="1"/>
    <col min="15634" max="15872" width="8.77734375" style="2"/>
    <col min="15873" max="15873" width="4.21875" style="2" customWidth="1"/>
    <col min="15874" max="15874" width="2.5546875" style="2" customWidth="1"/>
    <col min="15875" max="15878" width="8.77734375" style="2"/>
    <col min="15879" max="15879" width="4.5546875" style="2" customWidth="1"/>
    <col min="15880" max="15880" width="10.21875" style="2" customWidth="1"/>
    <col min="15881" max="15881" width="3.21875" style="2" customWidth="1"/>
    <col min="15882" max="15882" width="8.77734375" style="2"/>
    <col min="15883" max="15883" width="6.21875" style="2" customWidth="1"/>
    <col min="15884" max="15884" width="3.77734375" style="2" customWidth="1"/>
    <col min="15885" max="15885" width="10.77734375" style="2" customWidth="1"/>
    <col min="15886" max="15886" width="4.21875" style="2" customWidth="1"/>
    <col min="15887" max="15887" width="12.21875" style="2" customWidth="1"/>
    <col min="15888" max="15888" width="10.21875" style="2" customWidth="1"/>
    <col min="15889" max="15889" width="9.21875" style="2" customWidth="1"/>
    <col min="15890" max="16128" width="8.77734375" style="2"/>
    <col min="16129" max="16129" width="4.21875" style="2" customWidth="1"/>
    <col min="16130" max="16130" width="2.5546875" style="2" customWidth="1"/>
    <col min="16131" max="16134" width="8.77734375" style="2"/>
    <col min="16135" max="16135" width="4.5546875" style="2" customWidth="1"/>
    <col min="16136" max="16136" width="10.21875" style="2" customWidth="1"/>
    <col min="16137" max="16137" width="3.21875" style="2" customWidth="1"/>
    <col min="16138" max="16138" width="8.77734375" style="2"/>
    <col min="16139" max="16139" width="6.21875" style="2" customWidth="1"/>
    <col min="16140" max="16140" width="3.77734375" style="2" customWidth="1"/>
    <col min="16141" max="16141" width="10.77734375" style="2" customWidth="1"/>
    <col min="16142" max="16142" width="4.21875" style="2" customWidth="1"/>
    <col min="16143" max="16143" width="12.21875" style="2" customWidth="1"/>
    <col min="16144" max="16144" width="10.21875" style="2" customWidth="1"/>
    <col min="16145" max="16145" width="9.21875" style="2" customWidth="1"/>
    <col min="16146" max="16384" width="8.77734375" style="2"/>
  </cols>
  <sheetData>
    <row r="1" spans="1:18" ht="14.25" customHeight="1">
      <c r="A1" s="1220" t="s">
        <v>20</v>
      </c>
      <c r="B1" s="1220"/>
      <c r="C1" s="1220"/>
      <c r="D1" s="1220"/>
      <c r="E1" s="1220"/>
      <c r="F1" s="1220"/>
      <c r="G1" s="1220"/>
      <c r="H1" s="1220"/>
      <c r="I1" s="1220"/>
      <c r="J1" s="1220"/>
      <c r="K1" s="1220"/>
      <c r="L1" s="1220"/>
      <c r="M1" s="1220"/>
      <c r="N1" s="1220"/>
      <c r="O1" s="1220"/>
      <c r="P1" s="49"/>
      <c r="Q1" s="50"/>
      <c r="R1" s="49"/>
    </row>
    <row r="2" spans="1:18" ht="15.6">
      <c r="A2" s="1220" t="s">
        <v>21</v>
      </c>
      <c r="B2" s="1220"/>
      <c r="C2" s="1220"/>
      <c r="D2" s="1220"/>
      <c r="E2" s="1220"/>
      <c r="F2" s="1220"/>
      <c r="G2" s="1220"/>
      <c r="H2" s="1220"/>
      <c r="I2" s="1220"/>
      <c r="J2" s="1220"/>
      <c r="K2" s="1220"/>
      <c r="L2" s="1220"/>
      <c r="M2" s="1220"/>
      <c r="N2" s="1220"/>
      <c r="O2" s="1220"/>
      <c r="P2" s="49"/>
      <c r="Q2" s="50"/>
      <c r="R2" s="49"/>
    </row>
    <row r="3" spans="1:18" ht="15.6">
      <c r="A3" s="1225" t="s">
        <v>41</v>
      </c>
      <c r="B3" s="1225"/>
      <c r="C3" s="1225"/>
      <c r="D3" s="1225"/>
      <c r="E3" s="1225"/>
      <c r="F3" s="1225"/>
      <c r="G3" s="1225"/>
      <c r="H3" s="1225"/>
      <c r="I3" s="1225"/>
      <c r="J3" s="1225"/>
      <c r="K3" s="1225"/>
      <c r="L3" s="1225"/>
      <c r="M3" s="1225"/>
      <c r="N3" s="1225"/>
      <c r="O3" s="1225"/>
    </row>
    <row r="4" spans="1:18" ht="39" customHeight="1">
      <c r="A4" s="33" t="s">
        <v>22</v>
      </c>
      <c r="F4" s="34" t="s">
        <v>23</v>
      </c>
      <c r="H4" s="35" t="s">
        <v>24</v>
      </c>
      <c r="I4" s="36"/>
      <c r="J4" s="1221" t="s">
        <v>25</v>
      </c>
      <c r="K4" s="1217"/>
      <c r="M4" s="3" t="s">
        <v>26</v>
      </c>
      <c r="O4" s="37" t="s">
        <v>27</v>
      </c>
    </row>
    <row r="5" spans="1:18" ht="6.75" customHeight="1"/>
    <row r="6" spans="1:18" ht="15">
      <c r="B6" s="5" t="s">
        <v>6</v>
      </c>
      <c r="F6" s="38">
        <f>IF('Input (6)'!$E$4=0,"0",'Input (6)'!$E$4)</f>
        <v>19</v>
      </c>
      <c r="J6" s="1222">
        <f>IF('Input (6)'!E4=0,"0",'Input (6)'!E4)</f>
        <v>19</v>
      </c>
      <c r="K6" s="1222"/>
      <c r="L6" s="40" t="s">
        <v>28</v>
      </c>
      <c r="M6" s="41">
        <f>IF('Input (6)'!E4=0,0,LOOKUP(J6,'criteria (6)'!$A$3:$A$10,'criteria (6)'!$B$3:$B$10))</f>
        <v>40</v>
      </c>
      <c r="N6" s="42" t="s">
        <v>29</v>
      </c>
      <c r="O6" s="38">
        <f>IF(Q6=0,0,IF(Q6&lt;LOOKUP(J6,'criteria (6)'!$A$3:$A$10,'criteria (6)'!$C$3:$C$10),LOOKUP(J6,'criteria (6)'!$A$3:$A$10,'criteria (6)'!$C$3:$C$10),IF(LOOKUP(J6,'criteria (6)'!$A$3:$A$10,'criteria (6)'!$C$3:$C$10)=0,0,Q6)))</f>
        <v>0.6</v>
      </c>
      <c r="P6" s="28" t="str">
        <f>IF('Input (6)'!E4=0," ",IF(O6=0,"ADD to 1-6",IF(O6=Q6," ","Minimum")))</f>
        <v>Minimum</v>
      </c>
      <c r="Q6" s="32">
        <f>ROUND(IF('Input (6)'!E4=0,0,IF(M6=0,0,(J6/M6))),2)</f>
        <v>0.48</v>
      </c>
    </row>
    <row r="7" spans="1:18" ht="6.75" customHeight="1">
      <c r="J7" s="43"/>
      <c r="K7" s="43"/>
    </row>
    <row r="8" spans="1:18">
      <c r="B8" s="5" t="s">
        <v>7</v>
      </c>
      <c r="J8" s="43"/>
      <c r="K8" s="43"/>
    </row>
    <row r="9" spans="1:18">
      <c r="B9" s="28" t="s">
        <v>30</v>
      </c>
      <c r="J9" s="43"/>
      <c r="K9" s="43"/>
    </row>
    <row r="10" spans="1:18" ht="16.5" customHeight="1">
      <c r="C10" s="12" t="s">
        <v>8</v>
      </c>
      <c r="F10" s="41" t="str">
        <f>IF(J10=0," ",IF($J$15&gt;300," ",'Input (6)'!E7))</f>
        <v xml:space="preserve"> </v>
      </c>
      <c r="G10" s="44" t="s">
        <v>31</v>
      </c>
      <c r="H10" s="38" t="str">
        <f>IF(J10=0," ",'C (6)'!H25)</f>
        <v xml:space="preserve"> </v>
      </c>
      <c r="I10" s="42" t="s">
        <v>29</v>
      </c>
      <c r="J10" s="1222">
        <f>IF('Input (6)'!E7=0,0,IF(SUM('Input (6)'!E7-'C (6)'!H25)+SUM('Input (6)'!E8-'C (6)'!H26)&gt;299.99,SUM('Input (6)'!E7-'C (6)'!H25),0))</f>
        <v>0</v>
      </c>
      <c r="K10" s="1222"/>
      <c r="L10" s="40" t="s">
        <v>28</v>
      </c>
      <c r="M10" s="41">
        <f>IF(SUM('Input (6)'!$E$7-'C (6)'!$H$25)+SUM('Input (6)'!$E$8-'C (6)'!$H$26)&gt;299.99,20,0)</f>
        <v>0</v>
      </c>
      <c r="N10" s="42" t="s">
        <v>29</v>
      </c>
      <c r="O10" s="41">
        <f>ROUND(IF(SUM('Input (6)'!$E$7-'C (6)'!$H$25)+SUM('Input (6)'!$E$8-'C (6)'!$H$26)&lt;299.99,0,IF(Q10+Q12&lt;15,0,(J10/M10))),2)</f>
        <v>0</v>
      </c>
      <c r="P10" s="2" t="str">
        <f>IF(O10=0," ",IF(O10=Q10," ","Minimum"))</f>
        <v xml:space="preserve"> </v>
      </c>
      <c r="Q10" s="32">
        <f>ROUND(IF(SUM('Input (6)'!$E$7-'C (6)'!$H$25)+SUM('Input (6)'!$E$8-'C (6)'!$H$26)&lt;299.99,0,(J10/M10)),2)</f>
        <v>0</v>
      </c>
    </row>
    <row r="11" spans="1:18" ht="10.5" customHeight="1">
      <c r="B11" s="12"/>
      <c r="J11" s="43"/>
      <c r="K11" s="43"/>
    </row>
    <row r="12" spans="1:18" ht="15">
      <c r="C12" s="12" t="s">
        <v>9</v>
      </c>
      <c r="F12" s="41" t="str">
        <f>IF(J12=0," ",IF($J$15&gt;300," ",'Input (6)'!E8))</f>
        <v xml:space="preserve"> </v>
      </c>
      <c r="G12" s="44" t="s">
        <v>31</v>
      </c>
      <c r="H12" s="38" t="str">
        <f>IF(J12=0," ",'C (6)'!H26)</f>
        <v xml:space="preserve"> </v>
      </c>
      <c r="I12" s="42" t="s">
        <v>29</v>
      </c>
      <c r="J12" s="1222">
        <f>IF('Input (6)'!E8=0,0,IF(SUM('Input (6)'!E7-'C (6)'!H25)+SUM('Input (6)'!E8-'C (6)'!H26)&gt;299.99,SUM('Input (6)'!E8-'C (6)'!H26),0))</f>
        <v>0</v>
      </c>
      <c r="K12" s="1222"/>
      <c r="L12" s="40" t="s">
        <v>28</v>
      </c>
      <c r="M12" s="41">
        <f>IF(SUM('Input (6)'!$E$7-'C (6)'!$H$25)+SUM('Input (6)'!$E$8-'C (6)'!$H$26)&gt;299.99,23,0)</f>
        <v>0</v>
      </c>
      <c r="N12" s="42" t="s">
        <v>29</v>
      </c>
      <c r="O12" s="41">
        <f>ROUND(IF(SUM('Input (6)'!$E$7-'C (6)'!$H$25)+SUM('Input (6)'!$E$8-'C (6)'!$H$26)&lt;299.99,0,IF(Q10+Q12&lt;15,0,($J$12/$M$12))),2)</f>
        <v>0</v>
      </c>
      <c r="P12" s="2" t="str">
        <f>IF(O12=0," ",IF(O12=Q12," ","Minimum"))</f>
        <v xml:space="preserve"> </v>
      </c>
      <c r="Q12" s="32">
        <f>ROUND(IF(SUM('Input (6)'!$E$7-'C (6)'!$H$25)+SUM('Input (6)'!$E$8-'C (6)'!$H$26)&lt;299.99,0,($J$12/$M$12)),2)</f>
        <v>0</v>
      </c>
    </row>
    <row r="13" spans="1:18">
      <c r="O13" s="36" t="str">
        <f>IF(P13="Minimum",15," ")</f>
        <v xml:space="preserve"> </v>
      </c>
      <c r="P13" s="2" t="str">
        <f>IF(Q10+Q12=0," ",IF(Q10+Q12&lt;15,"Minimum"," "))</f>
        <v xml:space="preserve"> </v>
      </c>
    </row>
    <row r="14" spans="1:18">
      <c r="B14" s="5" t="s">
        <v>7</v>
      </c>
    </row>
    <row r="15" spans="1:18">
      <c r="B15" s="28" t="s">
        <v>32</v>
      </c>
    </row>
    <row r="16" spans="1:18" ht="15">
      <c r="C16" s="12" t="s">
        <v>33</v>
      </c>
      <c r="F16" s="41">
        <f>IF(J16=0," ",IF(J16&lt;300,SUM('Input (6)'!E7+'Input (6)'!E8)," "))</f>
        <v>96.9</v>
      </c>
      <c r="G16" s="44" t="s">
        <v>31</v>
      </c>
      <c r="H16" s="38">
        <f>IF(J16=0," ",'C (6)'!H22)</f>
        <v>7.3199999999999994</v>
      </c>
      <c r="I16" s="42" t="s">
        <v>29</v>
      </c>
      <c r="J16" s="1222">
        <f>IF('Input (6)'!E9=0,0,IF(SUM('Input (6)'!E7-'C (6)'!H25)+SUM('Input (6)'!E8-'C (6)'!H26)&lt;300,IF(P6="ADD to 1-6",SUM('Input (6)'!E7-'C (6)'!H25)+SUM('Input (6)'!E8-'C (6)'!H26)+'Input (6)'!E4,SUM('Input (6)'!E7-'C (6)'!H25)+SUM('Input (6)'!E8-'C (6)'!H26)),0))</f>
        <v>89.58</v>
      </c>
      <c r="K16" s="1222"/>
      <c r="L16" s="40" t="s">
        <v>28</v>
      </c>
      <c r="M16" s="41">
        <f>IF(J16=0,0,LOOKUP(J16,'criteria (6)'!$M$3:$M$11,'criteria (6)'!$N$3:$N$11))</f>
        <v>16</v>
      </c>
      <c r="N16" s="42" t="s">
        <v>29</v>
      </c>
      <c r="O16" s="38">
        <f>IF(Q16=0,0,IF(Q16&lt;LOOKUP(J16,'criteria (6)'!$M$3:$M$10,'criteria (6)'!$O$3:$O$10),LOOKUP(J16,'criteria (6)'!$M$3:$M$10,'criteria (6)'!$O$3:$O$10),Q16))</f>
        <v>5.6</v>
      </c>
      <c r="P16" s="2" t="str">
        <f>IF(O16=0," ",IF(O16=Q16," ","Minimum"))</f>
        <v xml:space="preserve"> </v>
      </c>
      <c r="Q16" s="32">
        <f>ROUND(IF('Input (6)'!E9=0,0,IF(SUM('Input (6)'!$E$7-'C (6)'!$H$25)+SUM('Input (6)'!$E$8-'C (6)'!$H$26)&gt;299.99,0,(J16/M16))),2)</f>
        <v>5.6</v>
      </c>
    </row>
    <row r="17" spans="1:17" ht="6" customHeight="1">
      <c r="J17" s="43"/>
      <c r="K17" s="43"/>
    </row>
    <row r="18" spans="1:17" ht="15">
      <c r="B18" s="5" t="s">
        <v>10</v>
      </c>
      <c r="F18" s="38">
        <f>IF('Input (6)'!$E$10=0,0,'Input (6)'!$E$10)</f>
        <v>134.9</v>
      </c>
      <c r="G18" s="44" t="s">
        <v>31</v>
      </c>
      <c r="H18" s="51"/>
      <c r="I18" s="42" t="s">
        <v>29</v>
      </c>
      <c r="J18" s="1222">
        <f>IF('Input (6)'!$E$10=0,0,'Input (6)'!$E$10)</f>
        <v>134.9</v>
      </c>
      <c r="K18" s="1222"/>
      <c r="L18" s="40" t="s">
        <v>28</v>
      </c>
      <c r="M18" s="41">
        <f>IF('Input (6)'!C10=0,0,IF(J18&gt;99.99,LOOKUP(J18,'criteria (6)'!Q3:Q10,'criteria (6)'!R3:R10),12))</f>
        <v>12</v>
      </c>
      <c r="N18" s="42" t="s">
        <v>29</v>
      </c>
      <c r="O18" s="41">
        <f>ROUND(IF(J18=0,0,IF(J18&lt;99.99,IF(M18=0,8,(J18/M18)),IF(Q18&lt;LOOKUP(J18,'criteria (6)'!$Q$3:$Q$10,'criteria (6)'!$S$3:$S$10),LOOKUP(J18,'criteria (6)'!$Q$3:$Q$10,'criteria (6)'!$S$3:$S$10),Q18))),2)</f>
        <v>11.24</v>
      </c>
      <c r="P18" s="2" t="str">
        <f>IF(O18=0," ",IF(O18=Q18," ","Minimum"))</f>
        <v xml:space="preserve"> </v>
      </c>
      <c r="Q18" s="32">
        <f>ROUND(IF(M18=0,0,(J18/M18)),2)</f>
        <v>11.24</v>
      </c>
    </row>
    <row r="19" spans="1:17">
      <c r="B19" s="5"/>
      <c r="J19" s="39"/>
      <c r="K19" s="39"/>
      <c r="M19" s="36"/>
      <c r="N19" s="42"/>
      <c r="O19" s="36"/>
    </row>
    <row r="20" spans="1:17" ht="15">
      <c r="A20" s="45" t="s">
        <v>34</v>
      </c>
      <c r="J20" s="43"/>
      <c r="K20" s="43"/>
    </row>
    <row r="21" spans="1:17" ht="3.75" customHeight="1">
      <c r="J21" s="43"/>
      <c r="K21" s="43"/>
    </row>
    <row r="22" spans="1:17">
      <c r="B22" s="2" t="s">
        <v>35</v>
      </c>
      <c r="J22" s="1222" t="str">
        <f>IF('C (6)'!H55=0," ",'C (6)'!H55)</f>
        <v xml:space="preserve"> </v>
      </c>
      <c r="K22" s="1222"/>
    </row>
    <row r="23" spans="1:17" ht="7.5" customHeight="1">
      <c r="J23" s="43"/>
      <c r="K23" s="43"/>
    </row>
    <row r="24" spans="1:17">
      <c r="B24" s="2" t="s">
        <v>36</v>
      </c>
      <c r="J24" s="1222">
        <f>IF('C (6)'!H22=0," ",'C (6)'!H22)</f>
        <v>7.3199999999999994</v>
      </c>
      <c r="K24" s="1222"/>
    </row>
    <row r="25" spans="1:17" ht="7.5" customHeight="1">
      <c r="J25" s="43"/>
      <c r="K25" s="43"/>
    </row>
    <row r="26" spans="1:17">
      <c r="B26" s="2" t="s">
        <v>37</v>
      </c>
      <c r="J26" s="1222">
        <f>0</f>
        <v>0</v>
      </c>
      <c r="K26" s="1222"/>
    </row>
    <row r="27" spans="1:17" ht="7.5" customHeight="1">
      <c r="J27" s="43"/>
      <c r="K27" s="43"/>
    </row>
    <row r="28" spans="1:17" ht="6" customHeight="1">
      <c r="J28" s="39"/>
      <c r="K28" s="39"/>
    </row>
    <row r="29" spans="1:17" ht="15.6" thickBot="1">
      <c r="B29" s="46" t="s">
        <v>38</v>
      </c>
      <c r="J29" s="1219">
        <f>SUM(J22:K27)</f>
        <v>7.3199999999999994</v>
      </c>
      <c r="K29" s="1219"/>
      <c r="L29" s="40" t="s">
        <v>28</v>
      </c>
      <c r="M29" s="41">
        <f>IF(SUM('Input (6)'!C4:C10)=0,0,IF(J29&gt;=14,LOOKUP(J29,'criteria (6)'!$U$3:$U$10,'criteria (6)'!$V$3:$V$10),0))</f>
        <v>0</v>
      </c>
      <c r="N29" s="42" t="s">
        <v>29</v>
      </c>
      <c r="O29" s="41">
        <f>IF(J29=0,0,IF(Q29&lt;LOOKUP(J29,'criteria (6)'!$U$3:$U$10,'criteria (6)'!$W$3:$W$10),LOOKUP(J29,'criteria (6)'!$U$3:$U$10,'criteria (6)'!$W$3:$W$10),Q29))</f>
        <v>0.5</v>
      </c>
      <c r="P29" s="2" t="str">
        <f>IF(O29=0," ",IF(O29=Q29," ","Minimum"))</f>
        <v>Minimum</v>
      </c>
      <c r="Q29" s="32">
        <f>ROUND(IF(SUM('Input (6)'!C4:C10)=0,0,IF(M29=0,0,(J29/M29))),2)</f>
        <v>0</v>
      </c>
    </row>
    <row r="30" spans="1:17" ht="11.25" customHeight="1" thickTop="1">
      <c r="B30" s="46"/>
      <c r="J30" s="39"/>
      <c r="K30" s="39"/>
      <c r="L30" s="40"/>
      <c r="M30" s="36"/>
      <c r="N30" s="42"/>
      <c r="O30" s="36"/>
    </row>
    <row r="31" spans="1:17" ht="19.5" customHeight="1">
      <c r="A31" s="48" t="s">
        <v>39</v>
      </c>
    </row>
    <row r="32" spans="1:17" ht="15">
      <c r="B32" s="1223" t="str">
        <f>IF('Input (6)'!E14=0," ","Alternative Secondary High School")</f>
        <v xml:space="preserve"> </v>
      </c>
      <c r="C32" s="1223"/>
      <c r="D32" s="1223"/>
      <c r="E32" s="1223"/>
      <c r="F32" s="1223"/>
      <c r="G32" s="1223"/>
      <c r="H32" s="1223"/>
      <c r="J32" s="1222">
        <f>'Input (6)'!E14</f>
        <v>0</v>
      </c>
      <c r="K32" s="1222"/>
      <c r="L32" s="40" t="s">
        <v>28</v>
      </c>
      <c r="M32" s="41">
        <f>IF(J32=0,0,IF(Q32&lt;1,M18,12))</f>
        <v>0</v>
      </c>
      <c r="N32" s="42" t="s">
        <v>29</v>
      </c>
      <c r="O32" s="38">
        <f>ROUND(IF(J32=0,0,J32/M32),2)</f>
        <v>0</v>
      </c>
      <c r="P32" s="45"/>
      <c r="Q32" s="32">
        <f>ROUND(IF(J32=0,0,J32/12),2)</f>
        <v>0</v>
      </c>
    </row>
    <row r="33" spans="1:17" ht="11.25" customHeight="1">
      <c r="J33" s="43"/>
      <c r="K33" s="43"/>
      <c r="O33" s="43"/>
    </row>
    <row r="34" spans="1:17" ht="11.25" customHeight="1">
      <c r="B34" s="1223" t="str">
        <f>IF('Input (6)'!E15=0," ","Summer Alternative Secondary High School")</f>
        <v xml:space="preserve"> </v>
      </c>
      <c r="C34" s="1223"/>
      <c r="D34" s="1223"/>
      <c r="E34" s="1223"/>
      <c r="F34" s="1223"/>
      <c r="G34" s="1223"/>
      <c r="J34" s="1222">
        <f>'Input (6)'!E15</f>
        <v>0</v>
      </c>
      <c r="K34" s="1222"/>
      <c r="L34" s="40" t="s">
        <v>28</v>
      </c>
      <c r="M34" s="41">
        <f>IF(J34=0,0,40)</f>
        <v>0</v>
      </c>
      <c r="N34" s="42" t="s">
        <v>29</v>
      </c>
      <c r="O34" s="38">
        <f>ROUND(IF(J34=0,0,J34/M34),2)</f>
        <v>0</v>
      </c>
      <c r="P34" s="45"/>
      <c r="Q34" s="32">
        <f>ROUND(IF(J34=0,0,J34/12),2)</f>
        <v>0</v>
      </c>
    </row>
    <row r="35" spans="1:17" ht="13.5" customHeight="1">
      <c r="J35" s="36"/>
      <c r="K35" s="36"/>
      <c r="L35" s="40"/>
      <c r="M35" s="36"/>
      <c r="N35" s="42"/>
      <c r="O35" s="36"/>
      <c r="P35" s="46"/>
    </row>
    <row r="36" spans="1:17" ht="18.75" customHeight="1" thickBot="1">
      <c r="A36" s="45"/>
      <c r="B36" s="12" t="s">
        <v>40</v>
      </c>
      <c r="C36" s="46"/>
      <c r="D36" s="46"/>
      <c r="E36" s="46"/>
      <c r="F36" s="46"/>
      <c r="G36" s="46"/>
      <c r="H36" s="46"/>
      <c r="I36" s="46"/>
      <c r="J36" s="46"/>
      <c r="K36" s="46"/>
      <c r="M36" s="36" t="s">
        <v>29</v>
      </c>
      <c r="N36" s="1224">
        <f>ROUND(IF(SUM(O6:O34)=0,0,SUM(O6:O34)),2)</f>
        <v>17.940000000000001</v>
      </c>
      <c r="O36" s="1224"/>
    </row>
    <row r="37" spans="1:17" ht="13.8" thickTop="1">
      <c r="M37" s="1218" t="str">
        <f>IF(N36=0," ",IF(N36&lt;'Current Year (6)'!N36,"Do Not Use","You May Use this Calculation"))</f>
        <v>You May Use this Calculation</v>
      </c>
      <c r="N37" s="1218"/>
      <c r="O37" s="1218"/>
      <c r="P37" s="1218"/>
    </row>
  </sheetData>
  <sheetProtection password="CC16" sheet="1" objects="1" scenarios="1"/>
  <mergeCells count="19">
    <mergeCell ref="M37:P37"/>
    <mergeCell ref="J29:K29"/>
    <mergeCell ref="B32:H32"/>
    <mergeCell ref="J32:K32"/>
    <mergeCell ref="B34:G34"/>
    <mergeCell ref="J34:K34"/>
    <mergeCell ref="N36:O36"/>
    <mergeCell ref="J26:K26"/>
    <mergeCell ref="A1:O1"/>
    <mergeCell ref="A2:O2"/>
    <mergeCell ref="A3:O3"/>
    <mergeCell ref="J4:K4"/>
    <mergeCell ref="J6:K6"/>
    <mergeCell ref="J10:K10"/>
    <mergeCell ref="J12:K12"/>
    <mergeCell ref="J16:K16"/>
    <mergeCell ref="J18:K18"/>
    <mergeCell ref="J22:K22"/>
    <mergeCell ref="J24:K24"/>
  </mergeCells>
  <conditionalFormatting sqref="M37:P37">
    <cfRule type="cellIs" dxfId="17" priority="1" stopIfTrue="1" operator="equal">
      <formula>"Do Not Use"</formula>
    </cfRule>
    <cfRule type="cellIs" dxfId="16" priority="2" stopIfTrue="1" operator="equal">
      <formula>"You May Use this Calculation"</formula>
    </cfRule>
  </conditionalFormatting>
  <pageMargins left="0.5" right="0.5" top="0.5" bottom="0.5" header="0.25" footer="0.25"/>
  <pageSetup scale="82" orientation="portrait" r:id="rId1"/>
  <headerFooter alignWithMargins="0">
    <oddFooter>&amp;L&amp;F</oddFooter>
  </headerFooter>
  <colBreaks count="1" manualBreakCount="1">
    <brk id="16"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4"/>
  <dimension ref="A1:R37"/>
  <sheetViews>
    <sheetView showGridLines="0" zoomScale="90" zoomScaleNormal="100" workbookViewId="0">
      <selection activeCell="F7" sqref="F7"/>
    </sheetView>
  </sheetViews>
  <sheetFormatPr defaultRowHeight="13.2"/>
  <cols>
    <col min="1" max="1" width="4.21875" style="30" customWidth="1"/>
    <col min="2" max="2" width="2.5546875" style="2" customWidth="1"/>
    <col min="3" max="4" width="8.77734375" style="2"/>
    <col min="5" max="5" width="7.21875" style="2" customWidth="1"/>
    <col min="6" max="6" width="8.21875" style="2" customWidth="1"/>
    <col min="7" max="8" width="10.21875" style="2" customWidth="1"/>
    <col min="9" max="9" width="3.77734375" style="2" customWidth="1"/>
    <col min="10" max="10" width="8.77734375" style="2"/>
    <col min="11" max="11" width="6.21875" style="2" customWidth="1"/>
    <col min="12" max="12" width="5.5546875" style="2" customWidth="1"/>
    <col min="13" max="13" width="10.77734375" style="2" customWidth="1"/>
    <col min="14" max="14" width="8.21875" style="2" customWidth="1"/>
    <col min="15" max="15" width="12.21875" style="2" customWidth="1"/>
    <col min="16" max="16" width="10.21875" style="2" customWidth="1"/>
    <col min="17" max="17" width="9.21875" style="32" customWidth="1"/>
    <col min="18" max="256" width="8.77734375" style="2"/>
    <col min="257" max="257" width="4.21875" style="2" customWidth="1"/>
    <col min="258" max="258" width="2.5546875" style="2" customWidth="1"/>
    <col min="259" max="260" width="8.77734375" style="2"/>
    <col min="261" max="261" width="7.21875" style="2" customWidth="1"/>
    <col min="262" max="262" width="8.21875" style="2" customWidth="1"/>
    <col min="263" max="264" width="10.21875" style="2" customWidth="1"/>
    <col min="265" max="265" width="3.77734375" style="2" customWidth="1"/>
    <col min="266" max="266" width="8.77734375" style="2"/>
    <col min="267" max="267" width="6.21875" style="2" customWidth="1"/>
    <col min="268" max="268" width="5.5546875" style="2" customWidth="1"/>
    <col min="269" max="269" width="10.77734375" style="2" customWidth="1"/>
    <col min="270" max="270" width="8.21875" style="2" customWidth="1"/>
    <col min="271" max="271" width="12.21875" style="2" customWidth="1"/>
    <col min="272" max="272" width="10.21875" style="2" customWidth="1"/>
    <col min="273" max="273" width="9.21875" style="2" customWidth="1"/>
    <col min="274" max="512" width="8.77734375" style="2"/>
    <col min="513" max="513" width="4.21875" style="2" customWidth="1"/>
    <col min="514" max="514" width="2.5546875" style="2" customWidth="1"/>
    <col min="515" max="516" width="8.77734375" style="2"/>
    <col min="517" max="517" width="7.21875" style="2" customWidth="1"/>
    <col min="518" max="518" width="8.21875" style="2" customWidth="1"/>
    <col min="519" max="520" width="10.21875" style="2" customWidth="1"/>
    <col min="521" max="521" width="3.77734375" style="2" customWidth="1"/>
    <col min="522" max="522" width="8.77734375" style="2"/>
    <col min="523" max="523" width="6.21875" style="2" customWidth="1"/>
    <col min="524" max="524" width="5.5546875" style="2" customWidth="1"/>
    <col min="525" max="525" width="10.77734375" style="2" customWidth="1"/>
    <col min="526" max="526" width="8.21875" style="2" customWidth="1"/>
    <col min="527" max="527" width="12.21875" style="2" customWidth="1"/>
    <col min="528" max="528" width="10.21875" style="2" customWidth="1"/>
    <col min="529" max="529" width="9.21875" style="2" customWidth="1"/>
    <col min="530" max="768" width="8.77734375" style="2"/>
    <col min="769" max="769" width="4.21875" style="2" customWidth="1"/>
    <col min="770" max="770" width="2.5546875" style="2" customWidth="1"/>
    <col min="771" max="772" width="8.77734375" style="2"/>
    <col min="773" max="773" width="7.21875" style="2" customWidth="1"/>
    <col min="774" max="774" width="8.21875" style="2" customWidth="1"/>
    <col min="775" max="776" width="10.21875" style="2" customWidth="1"/>
    <col min="777" max="777" width="3.77734375" style="2" customWidth="1"/>
    <col min="778" max="778" width="8.77734375" style="2"/>
    <col min="779" max="779" width="6.21875" style="2" customWidth="1"/>
    <col min="780" max="780" width="5.5546875" style="2" customWidth="1"/>
    <col min="781" max="781" width="10.77734375" style="2" customWidth="1"/>
    <col min="782" max="782" width="8.21875" style="2" customWidth="1"/>
    <col min="783" max="783" width="12.21875" style="2" customWidth="1"/>
    <col min="784" max="784" width="10.21875" style="2" customWidth="1"/>
    <col min="785" max="785" width="9.21875" style="2" customWidth="1"/>
    <col min="786" max="1024" width="8.77734375" style="2"/>
    <col min="1025" max="1025" width="4.21875" style="2" customWidth="1"/>
    <col min="1026" max="1026" width="2.5546875" style="2" customWidth="1"/>
    <col min="1027" max="1028" width="8.77734375" style="2"/>
    <col min="1029" max="1029" width="7.21875" style="2" customWidth="1"/>
    <col min="1030" max="1030" width="8.21875" style="2" customWidth="1"/>
    <col min="1031" max="1032" width="10.21875" style="2" customWidth="1"/>
    <col min="1033" max="1033" width="3.77734375" style="2" customWidth="1"/>
    <col min="1034" max="1034" width="8.77734375" style="2"/>
    <col min="1035" max="1035" width="6.21875" style="2" customWidth="1"/>
    <col min="1036" max="1036" width="5.5546875" style="2" customWidth="1"/>
    <col min="1037" max="1037" width="10.77734375" style="2" customWidth="1"/>
    <col min="1038" max="1038" width="8.21875" style="2" customWidth="1"/>
    <col min="1039" max="1039" width="12.21875" style="2" customWidth="1"/>
    <col min="1040" max="1040" width="10.21875" style="2" customWidth="1"/>
    <col min="1041" max="1041" width="9.21875" style="2" customWidth="1"/>
    <col min="1042" max="1280" width="8.77734375" style="2"/>
    <col min="1281" max="1281" width="4.21875" style="2" customWidth="1"/>
    <col min="1282" max="1282" width="2.5546875" style="2" customWidth="1"/>
    <col min="1283" max="1284" width="8.77734375" style="2"/>
    <col min="1285" max="1285" width="7.21875" style="2" customWidth="1"/>
    <col min="1286" max="1286" width="8.21875" style="2" customWidth="1"/>
    <col min="1287" max="1288" width="10.21875" style="2" customWidth="1"/>
    <col min="1289" max="1289" width="3.77734375" style="2" customWidth="1"/>
    <col min="1290" max="1290" width="8.77734375" style="2"/>
    <col min="1291" max="1291" width="6.21875" style="2" customWidth="1"/>
    <col min="1292" max="1292" width="5.5546875" style="2" customWidth="1"/>
    <col min="1293" max="1293" width="10.77734375" style="2" customWidth="1"/>
    <col min="1294" max="1294" width="8.21875" style="2" customWidth="1"/>
    <col min="1295" max="1295" width="12.21875" style="2" customWidth="1"/>
    <col min="1296" max="1296" width="10.21875" style="2" customWidth="1"/>
    <col min="1297" max="1297" width="9.21875" style="2" customWidth="1"/>
    <col min="1298" max="1536" width="8.77734375" style="2"/>
    <col min="1537" max="1537" width="4.21875" style="2" customWidth="1"/>
    <col min="1538" max="1538" width="2.5546875" style="2" customWidth="1"/>
    <col min="1539" max="1540" width="8.77734375" style="2"/>
    <col min="1541" max="1541" width="7.21875" style="2" customWidth="1"/>
    <col min="1542" max="1542" width="8.21875" style="2" customWidth="1"/>
    <col min="1543" max="1544" width="10.21875" style="2" customWidth="1"/>
    <col min="1545" max="1545" width="3.77734375" style="2" customWidth="1"/>
    <col min="1546" max="1546" width="8.77734375" style="2"/>
    <col min="1547" max="1547" width="6.21875" style="2" customWidth="1"/>
    <col min="1548" max="1548" width="5.5546875" style="2" customWidth="1"/>
    <col min="1549" max="1549" width="10.77734375" style="2" customWidth="1"/>
    <col min="1550" max="1550" width="8.21875" style="2" customWidth="1"/>
    <col min="1551" max="1551" width="12.21875" style="2" customWidth="1"/>
    <col min="1552" max="1552" width="10.21875" style="2" customWidth="1"/>
    <col min="1553" max="1553" width="9.21875" style="2" customWidth="1"/>
    <col min="1554" max="1792" width="8.77734375" style="2"/>
    <col min="1793" max="1793" width="4.21875" style="2" customWidth="1"/>
    <col min="1794" max="1794" width="2.5546875" style="2" customWidth="1"/>
    <col min="1795" max="1796" width="8.77734375" style="2"/>
    <col min="1797" max="1797" width="7.21875" style="2" customWidth="1"/>
    <col min="1798" max="1798" width="8.21875" style="2" customWidth="1"/>
    <col min="1799" max="1800" width="10.21875" style="2" customWidth="1"/>
    <col min="1801" max="1801" width="3.77734375" style="2" customWidth="1"/>
    <col min="1802" max="1802" width="8.77734375" style="2"/>
    <col min="1803" max="1803" width="6.21875" style="2" customWidth="1"/>
    <col min="1804" max="1804" width="5.5546875" style="2" customWidth="1"/>
    <col min="1805" max="1805" width="10.77734375" style="2" customWidth="1"/>
    <col min="1806" max="1806" width="8.21875" style="2" customWidth="1"/>
    <col min="1807" max="1807" width="12.21875" style="2" customWidth="1"/>
    <col min="1808" max="1808" width="10.21875" style="2" customWidth="1"/>
    <col min="1809" max="1809" width="9.21875" style="2" customWidth="1"/>
    <col min="1810" max="2048" width="8.77734375" style="2"/>
    <col min="2049" max="2049" width="4.21875" style="2" customWidth="1"/>
    <col min="2050" max="2050" width="2.5546875" style="2" customWidth="1"/>
    <col min="2051" max="2052" width="8.77734375" style="2"/>
    <col min="2053" max="2053" width="7.21875" style="2" customWidth="1"/>
    <col min="2054" max="2054" width="8.21875" style="2" customWidth="1"/>
    <col min="2055" max="2056" width="10.21875" style="2" customWidth="1"/>
    <col min="2057" max="2057" width="3.77734375" style="2" customWidth="1"/>
    <col min="2058" max="2058" width="8.77734375" style="2"/>
    <col min="2059" max="2059" width="6.21875" style="2" customWidth="1"/>
    <col min="2060" max="2060" width="5.5546875" style="2" customWidth="1"/>
    <col min="2061" max="2061" width="10.77734375" style="2" customWidth="1"/>
    <col min="2062" max="2062" width="8.21875" style="2" customWidth="1"/>
    <col min="2063" max="2063" width="12.21875" style="2" customWidth="1"/>
    <col min="2064" max="2064" width="10.21875" style="2" customWidth="1"/>
    <col min="2065" max="2065" width="9.21875" style="2" customWidth="1"/>
    <col min="2066" max="2304" width="8.77734375" style="2"/>
    <col min="2305" max="2305" width="4.21875" style="2" customWidth="1"/>
    <col min="2306" max="2306" width="2.5546875" style="2" customWidth="1"/>
    <col min="2307" max="2308" width="8.77734375" style="2"/>
    <col min="2309" max="2309" width="7.21875" style="2" customWidth="1"/>
    <col min="2310" max="2310" width="8.21875" style="2" customWidth="1"/>
    <col min="2311" max="2312" width="10.21875" style="2" customWidth="1"/>
    <col min="2313" max="2313" width="3.77734375" style="2" customWidth="1"/>
    <col min="2314" max="2314" width="8.77734375" style="2"/>
    <col min="2315" max="2315" width="6.21875" style="2" customWidth="1"/>
    <col min="2316" max="2316" width="5.5546875" style="2" customWidth="1"/>
    <col min="2317" max="2317" width="10.77734375" style="2" customWidth="1"/>
    <col min="2318" max="2318" width="8.21875" style="2" customWidth="1"/>
    <col min="2319" max="2319" width="12.21875" style="2" customWidth="1"/>
    <col min="2320" max="2320" width="10.21875" style="2" customWidth="1"/>
    <col min="2321" max="2321" width="9.21875" style="2" customWidth="1"/>
    <col min="2322" max="2560" width="8.77734375" style="2"/>
    <col min="2561" max="2561" width="4.21875" style="2" customWidth="1"/>
    <col min="2562" max="2562" width="2.5546875" style="2" customWidth="1"/>
    <col min="2563" max="2564" width="8.77734375" style="2"/>
    <col min="2565" max="2565" width="7.21875" style="2" customWidth="1"/>
    <col min="2566" max="2566" width="8.21875" style="2" customWidth="1"/>
    <col min="2567" max="2568" width="10.21875" style="2" customWidth="1"/>
    <col min="2569" max="2569" width="3.77734375" style="2" customWidth="1"/>
    <col min="2570" max="2570" width="8.77734375" style="2"/>
    <col min="2571" max="2571" width="6.21875" style="2" customWidth="1"/>
    <col min="2572" max="2572" width="5.5546875" style="2" customWidth="1"/>
    <col min="2573" max="2573" width="10.77734375" style="2" customWidth="1"/>
    <col min="2574" max="2574" width="8.21875" style="2" customWidth="1"/>
    <col min="2575" max="2575" width="12.21875" style="2" customWidth="1"/>
    <col min="2576" max="2576" width="10.21875" style="2" customWidth="1"/>
    <col min="2577" max="2577" width="9.21875" style="2" customWidth="1"/>
    <col min="2578" max="2816" width="8.77734375" style="2"/>
    <col min="2817" max="2817" width="4.21875" style="2" customWidth="1"/>
    <col min="2818" max="2818" width="2.5546875" style="2" customWidth="1"/>
    <col min="2819" max="2820" width="8.77734375" style="2"/>
    <col min="2821" max="2821" width="7.21875" style="2" customWidth="1"/>
    <col min="2822" max="2822" width="8.21875" style="2" customWidth="1"/>
    <col min="2823" max="2824" width="10.21875" style="2" customWidth="1"/>
    <col min="2825" max="2825" width="3.77734375" style="2" customWidth="1"/>
    <col min="2826" max="2826" width="8.77734375" style="2"/>
    <col min="2827" max="2827" width="6.21875" style="2" customWidth="1"/>
    <col min="2828" max="2828" width="5.5546875" style="2" customWidth="1"/>
    <col min="2829" max="2829" width="10.77734375" style="2" customWidth="1"/>
    <col min="2830" max="2830" width="8.21875" style="2" customWidth="1"/>
    <col min="2831" max="2831" width="12.21875" style="2" customWidth="1"/>
    <col min="2832" max="2832" width="10.21875" style="2" customWidth="1"/>
    <col min="2833" max="2833" width="9.21875" style="2" customWidth="1"/>
    <col min="2834" max="3072" width="8.77734375" style="2"/>
    <col min="3073" max="3073" width="4.21875" style="2" customWidth="1"/>
    <col min="3074" max="3074" width="2.5546875" style="2" customWidth="1"/>
    <col min="3075" max="3076" width="8.77734375" style="2"/>
    <col min="3077" max="3077" width="7.21875" style="2" customWidth="1"/>
    <col min="3078" max="3078" width="8.21875" style="2" customWidth="1"/>
    <col min="3079" max="3080" width="10.21875" style="2" customWidth="1"/>
    <col min="3081" max="3081" width="3.77734375" style="2" customWidth="1"/>
    <col min="3082" max="3082" width="8.77734375" style="2"/>
    <col min="3083" max="3083" width="6.21875" style="2" customWidth="1"/>
    <col min="3084" max="3084" width="5.5546875" style="2" customWidth="1"/>
    <col min="3085" max="3085" width="10.77734375" style="2" customWidth="1"/>
    <col min="3086" max="3086" width="8.21875" style="2" customWidth="1"/>
    <col min="3087" max="3087" width="12.21875" style="2" customWidth="1"/>
    <col min="3088" max="3088" width="10.21875" style="2" customWidth="1"/>
    <col min="3089" max="3089" width="9.21875" style="2" customWidth="1"/>
    <col min="3090" max="3328" width="8.77734375" style="2"/>
    <col min="3329" max="3329" width="4.21875" style="2" customWidth="1"/>
    <col min="3330" max="3330" width="2.5546875" style="2" customWidth="1"/>
    <col min="3331" max="3332" width="8.77734375" style="2"/>
    <col min="3333" max="3333" width="7.21875" style="2" customWidth="1"/>
    <col min="3334" max="3334" width="8.21875" style="2" customWidth="1"/>
    <col min="3335" max="3336" width="10.21875" style="2" customWidth="1"/>
    <col min="3337" max="3337" width="3.77734375" style="2" customWidth="1"/>
    <col min="3338" max="3338" width="8.77734375" style="2"/>
    <col min="3339" max="3339" width="6.21875" style="2" customWidth="1"/>
    <col min="3340" max="3340" width="5.5546875" style="2" customWidth="1"/>
    <col min="3341" max="3341" width="10.77734375" style="2" customWidth="1"/>
    <col min="3342" max="3342" width="8.21875" style="2" customWidth="1"/>
    <col min="3343" max="3343" width="12.21875" style="2" customWidth="1"/>
    <col min="3344" max="3344" width="10.21875" style="2" customWidth="1"/>
    <col min="3345" max="3345" width="9.21875" style="2" customWidth="1"/>
    <col min="3346" max="3584" width="8.77734375" style="2"/>
    <col min="3585" max="3585" width="4.21875" style="2" customWidth="1"/>
    <col min="3586" max="3586" width="2.5546875" style="2" customWidth="1"/>
    <col min="3587" max="3588" width="8.77734375" style="2"/>
    <col min="3589" max="3589" width="7.21875" style="2" customWidth="1"/>
    <col min="3590" max="3590" width="8.21875" style="2" customWidth="1"/>
    <col min="3591" max="3592" width="10.21875" style="2" customWidth="1"/>
    <col min="3593" max="3593" width="3.77734375" style="2" customWidth="1"/>
    <col min="3594" max="3594" width="8.77734375" style="2"/>
    <col min="3595" max="3595" width="6.21875" style="2" customWidth="1"/>
    <col min="3596" max="3596" width="5.5546875" style="2" customWidth="1"/>
    <col min="3597" max="3597" width="10.77734375" style="2" customWidth="1"/>
    <col min="3598" max="3598" width="8.21875" style="2" customWidth="1"/>
    <col min="3599" max="3599" width="12.21875" style="2" customWidth="1"/>
    <col min="3600" max="3600" width="10.21875" style="2" customWidth="1"/>
    <col min="3601" max="3601" width="9.21875" style="2" customWidth="1"/>
    <col min="3602" max="3840" width="8.77734375" style="2"/>
    <col min="3841" max="3841" width="4.21875" style="2" customWidth="1"/>
    <col min="3842" max="3842" width="2.5546875" style="2" customWidth="1"/>
    <col min="3843" max="3844" width="8.77734375" style="2"/>
    <col min="3845" max="3845" width="7.21875" style="2" customWidth="1"/>
    <col min="3846" max="3846" width="8.21875" style="2" customWidth="1"/>
    <col min="3847" max="3848" width="10.21875" style="2" customWidth="1"/>
    <col min="3849" max="3849" width="3.77734375" style="2" customWidth="1"/>
    <col min="3850" max="3850" width="8.77734375" style="2"/>
    <col min="3851" max="3851" width="6.21875" style="2" customWidth="1"/>
    <col min="3852" max="3852" width="5.5546875" style="2" customWidth="1"/>
    <col min="3853" max="3853" width="10.77734375" style="2" customWidth="1"/>
    <col min="3854" max="3854" width="8.21875" style="2" customWidth="1"/>
    <col min="3855" max="3855" width="12.21875" style="2" customWidth="1"/>
    <col min="3856" max="3856" width="10.21875" style="2" customWidth="1"/>
    <col min="3857" max="3857" width="9.21875" style="2" customWidth="1"/>
    <col min="3858" max="4096" width="8.77734375" style="2"/>
    <col min="4097" max="4097" width="4.21875" style="2" customWidth="1"/>
    <col min="4098" max="4098" width="2.5546875" style="2" customWidth="1"/>
    <col min="4099" max="4100" width="8.77734375" style="2"/>
    <col min="4101" max="4101" width="7.21875" style="2" customWidth="1"/>
    <col min="4102" max="4102" width="8.21875" style="2" customWidth="1"/>
    <col min="4103" max="4104" width="10.21875" style="2" customWidth="1"/>
    <col min="4105" max="4105" width="3.77734375" style="2" customWidth="1"/>
    <col min="4106" max="4106" width="8.77734375" style="2"/>
    <col min="4107" max="4107" width="6.21875" style="2" customWidth="1"/>
    <col min="4108" max="4108" width="5.5546875" style="2" customWidth="1"/>
    <col min="4109" max="4109" width="10.77734375" style="2" customWidth="1"/>
    <col min="4110" max="4110" width="8.21875" style="2" customWidth="1"/>
    <col min="4111" max="4111" width="12.21875" style="2" customWidth="1"/>
    <col min="4112" max="4112" width="10.21875" style="2" customWidth="1"/>
    <col min="4113" max="4113" width="9.21875" style="2" customWidth="1"/>
    <col min="4114" max="4352" width="8.77734375" style="2"/>
    <col min="4353" max="4353" width="4.21875" style="2" customWidth="1"/>
    <col min="4354" max="4354" width="2.5546875" style="2" customWidth="1"/>
    <col min="4355" max="4356" width="8.77734375" style="2"/>
    <col min="4357" max="4357" width="7.21875" style="2" customWidth="1"/>
    <col min="4358" max="4358" width="8.21875" style="2" customWidth="1"/>
    <col min="4359" max="4360" width="10.21875" style="2" customWidth="1"/>
    <col min="4361" max="4361" width="3.77734375" style="2" customWidth="1"/>
    <col min="4362" max="4362" width="8.77734375" style="2"/>
    <col min="4363" max="4363" width="6.21875" style="2" customWidth="1"/>
    <col min="4364" max="4364" width="5.5546875" style="2" customWidth="1"/>
    <col min="4365" max="4365" width="10.77734375" style="2" customWidth="1"/>
    <col min="4366" max="4366" width="8.21875" style="2" customWidth="1"/>
    <col min="4367" max="4367" width="12.21875" style="2" customWidth="1"/>
    <col min="4368" max="4368" width="10.21875" style="2" customWidth="1"/>
    <col min="4369" max="4369" width="9.21875" style="2" customWidth="1"/>
    <col min="4370" max="4608" width="8.77734375" style="2"/>
    <col min="4609" max="4609" width="4.21875" style="2" customWidth="1"/>
    <col min="4610" max="4610" width="2.5546875" style="2" customWidth="1"/>
    <col min="4611" max="4612" width="8.77734375" style="2"/>
    <col min="4613" max="4613" width="7.21875" style="2" customWidth="1"/>
    <col min="4614" max="4614" width="8.21875" style="2" customWidth="1"/>
    <col min="4615" max="4616" width="10.21875" style="2" customWidth="1"/>
    <col min="4617" max="4617" width="3.77734375" style="2" customWidth="1"/>
    <col min="4618" max="4618" width="8.77734375" style="2"/>
    <col min="4619" max="4619" width="6.21875" style="2" customWidth="1"/>
    <col min="4620" max="4620" width="5.5546875" style="2" customWidth="1"/>
    <col min="4621" max="4621" width="10.77734375" style="2" customWidth="1"/>
    <col min="4622" max="4622" width="8.21875" style="2" customWidth="1"/>
    <col min="4623" max="4623" width="12.21875" style="2" customWidth="1"/>
    <col min="4624" max="4624" width="10.21875" style="2" customWidth="1"/>
    <col min="4625" max="4625" width="9.21875" style="2" customWidth="1"/>
    <col min="4626" max="4864" width="8.77734375" style="2"/>
    <col min="4865" max="4865" width="4.21875" style="2" customWidth="1"/>
    <col min="4866" max="4866" width="2.5546875" style="2" customWidth="1"/>
    <col min="4867" max="4868" width="8.77734375" style="2"/>
    <col min="4869" max="4869" width="7.21875" style="2" customWidth="1"/>
    <col min="4870" max="4870" width="8.21875" style="2" customWidth="1"/>
    <col min="4871" max="4872" width="10.21875" style="2" customWidth="1"/>
    <col min="4873" max="4873" width="3.77734375" style="2" customWidth="1"/>
    <col min="4874" max="4874" width="8.77734375" style="2"/>
    <col min="4875" max="4875" width="6.21875" style="2" customWidth="1"/>
    <col min="4876" max="4876" width="5.5546875" style="2" customWidth="1"/>
    <col min="4877" max="4877" width="10.77734375" style="2" customWidth="1"/>
    <col min="4878" max="4878" width="8.21875" style="2" customWidth="1"/>
    <col min="4879" max="4879" width="12.21875" style="2" customWidth="1"/>
    <col min="4880" max="4880" width="10.21875" style="2" customWidth="1"/>
    <col min="4881" max="4881" width="9.21875" style="2" customWidth="1"/>
    <col min="4882" max="5120" width="8.77734375" style="2"/>
    <col min="5121" max="5121" width="4.21875" style="2" customWidth="1"/>
    <col min="5122" max="5122" width="2.5546875" style="2" customWidth="1"/>
    <col min="5123" max="5124" width="8.77734375" style="2"/>
    <col min="5125" max="5125" width="7.21875" style="2" customWidth="1"/>
    <col min="5126" max="5126" width="8.21875" style="2" customWidth="1"/>
    <col min="5127" max="5128" width="10.21875" style="2" customWidth="1"/>
    <col min="5129" max="5129" width="3.77734375" style="2" customWidth="1"/>
    <col min="5130" max="5130" width="8.77734375" style="2"/>
    <col min="5131" max="5131" width="6.21875" style="2" customWidth="1"/>
    <col min="5132" max="5132" width="5.5546875" style="2" customWidth="1"/>
    <col min="5133" max="5133" width="10.77734375" style="2" customWidth="1"/>
    <col min="5134" max="5134" width="8.21875" style="2" customWidth="1"/>
    <col min="5135" max="5135" width="12.21875" style="2" customWidth="1"/>
    <col min="5136" max="5136" width="10.21875" style="2" customWidth="1"/>
    <col min="5137" max="5137" width="9.21875" style="2" customWidth="1"/>
    <col min="5138" max="5376" width="8.77734375" style="2"/>
    <col min="5377" max="5377" width="4.21875" style="2" customWidth="1"/>
    <col min="5378" max="5378" width="2.5546875" style="2" customWidth="1"/>
    <col min="5379" max="5380" width="8.77734375" style="2"/>
    <col min="5381" max="5381" width="7.21875" style="2" customWidth="1"/>
    <col min="5382" max="5382" width="8.21875" style="2" customWidth="1"/>
    <col min="5383" max="5384" width="10.21875" style="2" customWidth="1"/>
    <col min="5385" max="5385" width="3.77734375" style="2" customWidth="1"/>
    <col min="5386" max="5386" width="8.77734375" style="2"/>
    <col min="5387" max="5387" width="6.21875" style="2" customWidth="1"/>
    <col min="5388" max="5388" width="5.5546875" style="2" customWidth="1"/>
    <col min="5389" max="5389" width="10.77734375" style="2" customWidth="1"/>
    <col min="5390" max="5390" width="8.21875" style="2" customWidth="1"/>
    <col min="5391" max="5391" width="12.21875" style="2" customWidth="1"/>
    <col min="5392" max="5392" width="10.21875" style="2" customWidth="1"/>
    <col min="5393" max="5393" width="9.21875" style="2" customWidth="1"/>
    <col min="5394" max="5632" width="8.77734375" style="2"/>
    <col min="5633" max="5633" width="4.21875" style="2" customWidth="1"/>
    <col min="5634" max="5634" width="2.5546875" style="2" customWidth="1"/>
    <col min="5635" max="5636" width="8.77734375" style="2"/>
    <col min="5637" max="5637" width="7.21875" style="2" customWidth="1"/>
    <col min="5638" max="5638" width="8.21875" style="2" customWidth="1"/>
    <col min="5639" max="5640" width="10.21875" style="2" customWidth="1"/>
    <col min="5641" max="5641" width="3.77734375" style="2" customWidth="1"/>
    <col min="5642" max="5642" width="8.77734375" style="2"/>
    <col min="5643" max="5643" width="6.21875" style="2" customWidth="1"/>
    <col min="5644" max="5644" width="5.5546875" style="2" customWidth="1"/>
    <col min="5645" max="5645" width="10.77734375" style="2" customWidth="1"/>
    <col min="5646" max="5646" width="8.21875" style="2" customWidth="1"/>
    <col min="5647" max="5647" width="12.21875" style="2" customWidth="1"/>
    <col min="5648" max="5648" width="10.21875" style="2" customWidth="1"/>
    <col min="5649" max="5649" width="9.21875" style="2" customWidth="1"/>
    <col min="5650" max="5888" width="8.77734375" style="2"/>
    <col min="5889" max="5889" width="4.21875" style="2" customWidth="1"/>
    <col min="5890" max="5890" width="2.5546875" style="2" customWidth="1"/>
    <col min="5891" max="5892" width="8.77734375" style="2"/>
    <col min="5893" max="5893" width="7.21875" style="2" customWidth="1"/>
    <col min="5894" max="5894" width="8.21875" style="2" customWidth="1"/>
    <col min="5895" max="5896" width="10.21875" style="2" customWidth="1"/>
    <col min="5897" max="5897" width="3.77734375" style="2" customWidth="1"/>
    <col min="5898" max="5898" width="8.77734375" style="2"/>
    <col min="5899" max="5899" width="6.21875" style="2" customWidth="1"/>
    <col min="5900" max="5900" width="5.5546875" style="2" customWidth="1"/>
    <col min="5901" max="5901" width="10.77734375" style="2" customWidth="1"/>
    <col min="5902" max="5902" width="8.21875" style="2" customWidth="1"/>
    <col min="5903" max="5903" width="12.21875" style="2" customWidth="1"/>
    <col min="5904" max="5904" width="10.21875" style="2" customWidth="1"/>
    <col min="5905" max="5905" width="9.21875" style="2" customWidth="1"/>
    <col min="5906" max="6144" width="8.77734375" style="2"/>
    <col min="6145" max="6145" width="4.21875" style="2" customWidth="1"/>
    <col min="6146" max="6146" width="2.5546875" style="2" customWidth="1"/>
    <col min="6147" max="6148" width="8.77734375" style="2"/>
    <col min="6149" max="6149" width="7.21875" style="2" customWidth="1"/>
    <col min="6150" max="6150" width="8.21875" style="2" customWidth="1"/>
    <col min="6151" max="6152" width="10.21875" style="2" customWidth="1"/>
    <col min="6153" max="6153" width="3.77734375" style="2" customWidth="1"/>
    <col min="6154" max="6154" width="8.77734375" style="2"/>
    <col min="6155" max="6155" width="6.21875" style="2" customWidth="1"/>
    <col min="6156" max="6156" width="5.5546875" style="2" customWidth="1"/>
    <col min="6157" max="6157" width="10.77734375" style="2" customWidth="1"/>
    <col min="6158" max="6158" width="8.21875" style="2" customWidth="1"/>
    <col min="6159" max="6159" width="12.21875" style="2" customWidth="1"/>
    <col min="6160" max="6160" width="10.21875" style="2" customWidth="1"/>
    <col min="6161" max="6161" width="9.21875" style="2" customWidth="1"/>
    <col min="6162" max="6400" width="8.77734375" style="2"/>
    <col min="6401" max="6401" width="4.21875" style="2" customWidth="1"/>
    <col min="6402" max="6402" width="2.5546875" style="2" customWidth="1"/>
    <col min="6403" max="6404" width="8.77734375" style="2"/>
    <col min="6405" max="6405" width="7.21875" style="2" customWidth="1"/>
    <col min="6406" max="6406" width="8.21875" style="2" customWidth="1"/>
    <col min="6407" max="6408" width="10.21875" style="2" customWidth="1"/>
    <col min="6409" max="6409" width="3.77734375" style="2" customWidth="1"/>
    <col min="6410" max="6410" width="8.77734375" style="2"/>
    <col min="6411" max="6411" width="6.21875" style="2" customWidth="1"/>
    <col min="6412" max="6412" width="5.5546875" style="2" customWidth="1"/>
    <col min="6413" max="6413" width="10.77734375" style="2" customWidth="1"/>
    <col min="6414" max="6414" width="8.21875" style="2" customWidth="1"/>
    <col min="6415" max="6415" width="12.21875" style="2" customWidth="1"/>
    <col min="6416" max="6416" width="10.21875" style="2" customWidth="1"/>
    <col min="6417" max="6417" width="9.21875" style="2" customWidth="1"/>
    <col min="6418" max="6656" width="8.77734375" style="2"/>
    <col min="6657" max="6657" width="4.21875" style="2" customWidth="1"/>
    <col min="6658" max="6658" width="2.5546875" style="2" customWidth="1"/>
    <col min="6659" max="6660" width="8.77734375" style="2"/>
    <col min="6661" max="6661" width="7.21875" style="2" customWidth="1"/>
    <col min="6662" max="6662" width="8.21875" style="2" customWidth="1"/>
    <col min="6663" max="6664" width="10.21875" style="2" customWidth="1"/>
    <col min="6665" max="6665" width="3.77734375" style="2" customWidth="1"/>
    <col min="6666" max="6666" width="8.77734375" style="2"/>
    <col min="6667" max="6667" width="6.21875" style="2" customWidth="1"/>
    <col min="6668" max="6668" width="5.5546875" style="2" customWidth="1"/>
    <col min="6669" max="6669" width="10.77734375" style="2" customWidth="1"/>
    <col min="6670" max="6670" width="8.21875" style="2" customWidth="1"/>
    <col min="6671" max="6671" width="12.21875" style="2" customWidth="1"/>
    <col min="6672" max="6672" width="10.21875" style="2" customWidth="1"/>
    <col min="6673" max="6673" width="9.21875" style="2" customWidth="1"/>
    <col min="6674" max="6912" width="8.77734375" style="2"/>
    <col min="6913" max="6913" width="4.21875" style="2" customWidth="1"/>
    <col min="6914" max="6914" width="2.5546875" style="2" customWidth="1"/>
    <col min="6915" max="6916" width="8.77734375" style="2"/>
    <col min="6917" max="6917" width="7.21875" style="2" customWidth="1"/>
    <col min="6918" max="6918" width="8.21875" style="2" customWidth="1"/>
    <col min="6919" max="6920" width="10.21875" style="2" customWidth="1"/>
    <col min="6921" max="6921" width="3.77734375" style="2" customWidth="1"/>
    <col min="6922" max="6922" width="8.77734375" style="2"/>
    <col min="6923" max="6923" width="6.21875" style="2" customWidth="1"/>
    <col min="6924" max="6924" width="5.5546875" style="2" customWidth="1"/>
    <col min="6925" max="6925" width="10.77734375" style="2" customWidth="1"/>
    <col min="6926" max="6926" width="8.21875" style="2" customWidth="1"/>
    <col min="6927" max="6927" width="12.21875" style="2" customWidth="1"/>
    <col min="6928" max="6928" width="10.21875" style="2" customWidth="1"/>
    <col min="6929" max="6929" width="9.21875" style="2" customWidth="1"/>
    <col min="6930" max="7168" width="8.77734375" style="2"/>
    <col min="7169" max="7169" width="4.21875" style="2" customWidth="1"/>
    <col min="7170" max="7170" width="2.5546875" style="2" customWidth="1"/>
    <col min="7171" max="7172" width="8.77734375" style="2"/>
    <col min="7173" max="7173" width="7.21875" style="2" customWidth="1"/>
    <col min="7174" max="7174" width="8.21875" style="2" customWidth="1"/>
    <col min="7175" max="7176" width="10.21875" style="2" customWidth="1"/>
    <col min="7177" max="7177" width="3.77734375" style="2" customWidth="1"/>
    <col min="7178" max="7178" width="8.77734375" style="2"/>
    <col min="7179" max="7179" width="6.21875" style="2" customWidth="1"/>
    <col min="7180" max="7180" width="5.5546875" style="2" customWidth="1"/>
    <col min="7181" max="7181" width="10.77734375" style="2" customWidth="1"/>
    <col min="7182" max="7182" width="8.21875" style="2" customWidth="1"/>
    <col min="7183" max="7183" width="12.21875" style="2" customWidth="1"/>
    <col min="7184" max="7184" width="10.21875" style="2" customWidth="1"/>
    <col min="7185" max="7185" width="9.21875" style="2" customWidth="1"/>
    <col min="7186" max="7424" width="8.77734375" style="2"/>
    <col min="7425" max="7425" width="4.21875" style="2" customWidth="1"/>
    <col min="7426" max="7426" width="2.5546875" style="2" customWidth="1"/>
    <col min="7427" max="7428" width="8.77734375" style="2"/>
    <col min="7429" max="7429" width="7.21875" style="2" customWidth="1"/>
    <col min="7430" max="7430" width="8.21875" style="2" customWidth="1"/>
    <col min="7431" max="7432" width="10.21875" style="2" customWidth="1"/>
    <col min="7433" max="7433" width="3.77734375" style="2" customWidth="1"/>
    <col min="7434" max="7434" width="8.77734375" style="2"/>
    <col min="7435" max="7435" width="6.21875" style="2" customWidth="1"/>
    <col min="7436" max="7436" width="5.5546875" style="2" customWidth="1"/>
    <col min="7437" max="7437" width="10.77734375" style="2" customWidth="1"/>
    <col min="7438" max="7438" width="8.21875" style="2" customWidth="1"/>
    <col min="7439" max="7439" width="12.21875" style="2" customWidth="1"/>
    <col min="7440" max="7440" width="10.21875" style="2" customWidth="1"/>
    <col min="7441" max="7441" width="9.21875" style="2" customWidth="1"/>
    <col min="7442" max="7680" width="8.77734375" style="2"/>
    <col min="7681" max="7681" width="4.21875" style="2" customWidth="1"/>
    <col min="7682" max="7682" width="2.5546875" style="2" customWidth="1"/>
    <col min="7683" max="7684" width="8.77734375" style="2"/>
    <col min="7685" max="7685" width="7.21875" style="2" customWidth="1"/>
    <col min="7686" max="7686" width="8.21875" style="2" customWidth="1"/>
    <col min="7687" max="7688" width="10.21875" style="2" customWidth="1"/>
    <col min="7689" max="7689" width="3.77734375" style="2" customWidth="1"/>
    <col min="7690" max="7690" width="8.77734375" style="2"/>
    <col min="7691" max="7691" width="6.21875" style="2" customWidth="1"/>
    <col min="7692" max="7692" width="5.5546875" style="2" customWidth="1"/>
    <col min="7693" max="7693" width="10.77734375" style="2" customWidth="1"/>
    <col min="7694" max="7694" width="8.21875" style="2" customWidth="1"/>
    <col min="7695" max="7695" width="12.21875" style="2" customWidth="1"/>
    <col min="7696" max="7696" width="10.21875" style="2" customWidth="1"/>
    <col min="7697" max="7697" width="9.21875" style="2" customWidth="1"/>
    <col min="7698" max="7936" width="8.77734375" style="2"/>
    <col min="7937" max="7937" width="4.21875" style="2" customWidth="1"/>
    <col min="7938" max="7938" width="2.5546875" style="2" customWidth="1"/>
    <col min="7939" max="7940" width="8.77734375" style="2"/>
    <col min="7941" max="7941" width="7.21875" style="2" customWidth="1"/>
    <col min="7942" max="7942" width="8.21875" style="2" customWidth="1"/>
    <col min="7943" max="7944" width="10.21875" style="2" customWidth="1"/>
    <col min="7945" max="7945" width="3.77734375" style="2" customWidth="1"/>
    <col min="7946" max="7946" width="8.77734375" style="2"/>
    <col min="7947" max="7947" width="6.21875" style="2" customWidth="1"/>
    <col min="7948" max="7948" width="5.5546875" style="2" customWidth="1"/>
    <col min="7949" max="7949" width="10.77734375" style="2" customWidth="1"/>
    <col min="7950" max="7950" width="8.21875" style="2" customWidth="1"/>
    <col min="7951" max="7951" width="12.21875" style="2" customWidth="1"/>
    <col min="7952" max="7952" width="10.21875" style="2" customWidth="1"/>
    <col min="7953" max="7953" width="9.21875" style="2" customWidth="1"/>
    <col min="7954" max="8192" width="8.77734375" style="2"/>
    <col min="8193" max="8193" width="4.21875" style="2" customWidth="1"/>
    <col min="8194" max="8194" width="2.5546875" style="2" customWidth="1"/>
    <col min="8195" max="8196" width="8.77734375" style="2"/>
    <col min="8197" max="8197" width="7.21875" style="2" customWidth="1"/>
    <col min="8198" max="8198" width="8.21875" style="2" customWidth="1"/>
    <col min="8199" max="8200" width="10.21875" style="2" customWidth="1"/>
    <col min="8201" max="8201" width="3.77734375" style="2" customWidth="1"/>
    <col min="8202" max="8202" width="8.77734375" style="2"/>
    <col min="8203" max="8203" width="6.21875" style="2" customWidth="1"/>
    <col min="8204" max="8204" width="5.5546875" style="2" customWidth="1"/>
    <col min="8205" max="8205" width="10.77734375" style="2" customWidth="1"/>
    <col min="8206" max="8206" width="8.21875" style="2" customWidth="1"/>
    <col min="8207" max="8207" width="12.21875" style="2" customWidth="1"/>
    <col min="8208" max="8208" width="10.21875" style="2" customWidth="1"/>
    <col min="8209" max="8209" width="9.21875" style="2" customWidth="1"/>
    <col min="8210" max="8448" width="8.77734375" style="2"/>
    <col min="8449" max="8449" width="4.21875" style="2" customWidth="1"/>
    <col min="8450" max="8450" width="2.5546875" style="2" customWidth="1"/>
    <col min="8451" max="8452" width="8.77734375" style="2"/>
    <col min="8453" max="8453" width="7.21875" style="2" customWidth="1"/>
    <col min="8454" max="8454" width="8.21875" style="2" customWidth="1"/>
    <col min="8455" max="8456" width="10.21875" style="2" customWidth="1"/>
    <col min="8457" max="8457" width="3.77734375" style="2" customWidth="1"/>
    <col min="8458" max="8458" width="8.77734375" style="2"/>
    <col min="8459" max="8459" width="6.21875" style="2" customWidth="1"/>
    <col min="8460" max="8460" width="5.5546875" style="2" customWidth="1"/>
    <col min="8461" max="8461" width="10.77734375" style="2" customWidth="1"/>
    <col min="8462" max="8462" width="8.21875" style="2" customWidth="1"/>
    <col min="8463" max="8463" width="12.21875" style="2" customWidth="1"/>
    <col min="8464" max="8464" width="10.21875" style="2" customWidth="1"/>
    <col min="8465" max="8465" width="9.21875" style="2" customWidth="1"/>
    <col min="8466" max="8704" width="8.77734375" style="2"/>
    <col min="8705" max="8705" width="4.21875" style="2" customWidth="1"/>
    <col min="8706" max="8706" width="2.5546875" style="2" customWidth="1"/>
    <col min="8707" max="8708" width="8.77734375" style="2"/>
    <col min="8709" max="8709" width="7.21875" style="2" customWidth="1"/>
    <col min="8710" max="8710" width="8.21875" style="2" customWidth="1"/>
    <col min="8711" max="8712" width="10.21875" style="2" customWidth="1"/>
    <col min="8713" max="8713" width="3.77734375" style="2" customWidth="1"/>
    <col min="8714" max="8714" width="8.77734375" style="2"/>
    <col min="8715" max="8715" width="6.21875" style="2" customWidth="1"/>
    <col min="8716" max="8716" width="5.5546875" style="2" customWidth="1"/>
    <col min="8717" max="8717" width="10.77734375" style="2" customWidth="1"/>
    <col min="8718" max="8718" width="8.21875" style="2" customWidth="1"/>
    <col min="8719" max="8719" width="12.21875" style="2" customWidth="1"/>
    <col min="8720" max="8720" width="10.21875" style="2" customWidth="1"/>
    <col min="8721" max="8721" width="9.21875" style="2" customWidth="1"/>
    <col min="8722" max="8960" width="8.77734375" style="2"/>
    <col min="8961" max="8961" width="4.21875" style="2" customWidth="1"/>
    <col min="8962" max="8962" width="2.5546875" style="2" customWidth="1"/>
    <col min="8963" max="8964" width="8.77734375" style="2"/>
    <col min="8965" max="8965" width="7.21875" style="2" customWidth="1"/>
    <col min="8966" max="8966" width="8.21875" style="2" customWidth="1"/>
    <col min="8967" max="8968" width="10.21875" style="2" customWidth="1"/>
    <col min="8969" max="8969" width="3.77734375" style="2" customWidth="1"/>
    <col min="8970" max="8970" width="8.77734375" style="2"/>
    <col min="8971" max="8971" width="6.21875" style="2" customWidth="1"/>
    <col min="8972" max="8972" width="5.5546875" style="2" customWidth="1"/>
    <col min="8973" max="8973" width="10.77734375" style="2" customWidth="1"/>
    <col min="8974" max="8974" width="8.21875" style="2" customWidth="1"/>
    <col min="8975" max="8975" width="12.21875" style="2" customWidth="1"/>
    <col min="8976" max="8976" width="10.21875" style="2" customWidth="1"/>
    <col min="8977" max="8977" width="9.21875" style="2" customWidth="1"/>
    <col min="8978" max="9216" width="8.77734375" style="2"/>
    <col min="9217" max="9217" width="4.21875" style="2" customWidth="1"/>
    <col min="9218" max="9218" width="2.5546875" style="2" customWidth="1"/>
    <col min="9219" max="9220" width="8.77734375" style="2"/>
    <col min="9221" max="9221" width="7.21875" style="2" customWidth="1"/>
    <col min="9222" max="9222" width="8.21875" style="2" customWidth="1"/>
    <col min="9223" max="9224" width="10.21875" style="2" customWidth="1"/>
    <col min="9225" max="9225" width="3.77734375" style="2" customWidth="1"/>
    <col min="9226" max="9226" width="8.77734375" style="2"/>
    <col min="9227" max="9227" width="6.21875" style="2" customWidth="1"/>
    <col min="9228" max="9228" width="5.5546875" style="2" customWidth="1"/>
    <col min="9229" max="9229" width="10.77734375" style="2" customWidth="1"/>
    <col min="9230" max="9230" width="8.21875" style="2" customWidth="1"/>
    <col min="9231" max="9231" width="12.21875" style="2" customWidth="1"/>
    <col min="9232" max="9232" width="10.21875" style="2" customWidth="1"/>
    <col min="9233" max="9233" width="9.21875" style="2" customWidth="1"/>
    <col min="9234" max="9472" width="8.77734375" style="2"/>
    <col min="9473" max="9473" width="4.21875" style="2" customWidth="1"/>
    <col min="9474" max="9474" width="2.5546875" style="2" customWidth="1"/>
    <col min="9475" max="9476" width="8.77734375" style="2"/>
    <col min="9477" max="9477" width="7.21875" style="2" customWidth="1"/>
    <col min="9478" max="9478" width="8.21875" style="2" customWidth="1"/>
    <col min="9479" max="9480" width="10.21875" style="2" customWidth="1"/>
    <col min="9481" max="9481" width="3.77734375" style="2" customWidth="1"/>
    <col min="9482" max="9482" width="8.77734375" style="2"/>
    <col min="9483" max="9483" width="6.21875" style="2" customWidth="1"/>
    <col min="9484" max="9484" width="5.5546875" style="2" customWidth="1"/>
    <col min="9485" max="9485" width="10.77734375" style="2" customWidth="1"/>
    <col min="9486" max="9486" width="8.21875" style="2" customWidth="1"/>
    <col min="9487" max="9487" width="12.21875" style="2" customWidth="1"/>
    <col min="9488" max="9488" width="10.21875" style="2" customWidth="1"/>
    <col min="9489" max="9489" width="9.21875" style="2" customWidth="1"/>
    <col min="9490" max="9728" width="8.77734375" style="2"/>
    <col min="9729" max="9729" width="4.21875" style="2" customWidth="1"/>
    <col min="9730" max="9730" width="2.5546875" style="2" customWidth="1"/>
    <col min="9731" max="9732" width="8.77734375" style="2"/>
    <col min="9733" max="9733" width="7.21875" style="2" customWidth="1"/>
    <col min="9734" max="9734" width="8.21875" style="2" customWidth="1"/>
    <col min="9735" max="9736" width="10.21875" style="2" customWidth="1"/>
    <col min="9737" max="9737" width="3.77734375" style="2" customWidth="1"/>
    <col min="9738" max="9738" width="8.77734375" style="2"/>
    <col min="9739" max="9739" width="6.21875" style="2" customWidth="1"/>
    <col min="9740" max="9740" width="5.5546875" style="2" customWidth="1"/>
    <col min="9741" max="9741" width="10.77734375" style="2" customWidth="1"/>
    <col min="9742" max="9742" width="8.21875" style="2" customWidth="1"/>
    <col min="9743" max="9743" width="12.21875" style="2" customWidth="1"/>
    <col min="9744" max="9744" width="10.21875" style="2" customWidth="1"/>
    <col min="9745" max="9745" width="9.21875" style="2" customWidth="1"/>
    <col min="9746" max="9984" width="8.77734375" style="2"/>
    <col min="9985" max="9985" width="4.21875" style="2" customWidth="1"/>
    <col min="9986" max="9986" width="2.5546875" style="2" customWidth="1"/>
    <col min="9987" max="9988" width="8.77734375" style="2"/>
    <col min="9989" max="9989" width="7.21875" style="2" customWidth="1"/>
    <col min="9990" max="9990" width="8.21875" style="2" customWidth="1"/>
    <col min="9991" max="9992" width="10.21875" style="2" customWidth="1"/>
    <col min="9993" max="9993" width="3.77734375" style="2" customWidth="1"/>
    <col min="9994" max="9994" width="8.77734375" style="2"/>
    <col min="9995" max="9995" width="6.21875" style="2" customWidth="1"/>
    <col min="9996" max="9996" width="5.5546875" style="2" customWidth="1"/>
    <col min="9997" max="9997" width="10.77734375" style="2" customWidth="1"/>
    <col min="9998" max="9998" width="8.21875" style="2" customWidth="1"/>
    <col min="9999" max="9999" width="12.21875" style="2" customWidth="1"/>
    <col min="10000" max="10000" width="10.21875" style="2" customWidth="1"/>
    <col min="10001" max="10001" width="9.21875" style="2" customWidth="1"/>
    <col min="10002" max="10240" width="8.77734375" style="2"/>
    <col min="10241" max="10241" width="4.21875" style="2" customWidth="1"/>
    <col min="10242" max="10242" width="2.5546875" style="2" customWidth="1"/>
    <col min="10243" max="10244" width="8.77734375" style="2"/>
    <col min="10245" max="10245" width="7.21875" style="2" customWidth="1"/>
    <col min="10246" max="10246" width="8.21875" style="2" customWidth="1"/>
    <col min="10247" max="10248" width="10.21875" style="2" customWidth="1"/>
    <col min="10249" max="10249" width="3.77734375" style="2" customWidth="1"/>
    <col min="10250" max="10250" width="8.77734375" style="2"/>
    <col min="10251" max="10251" width="6.21875" style="2" customWidth="1"/>
    <col min="10252" max="10252" width="5.5546875" style="2" customWidth="1"/>
    <col min="10253" max="10253" width="10.77734375" style="2" customWidth="1"/>
    <col min="10254" max="10254" width="8.21875" style="2" customWidth="1"/>
    <col min="10255" max="10255" width="12.21875" style="2" customWidth="1"/>
    <col min="10256" max="10256" width="10.21875" style="2" customWidth="1"/>
    <col min="10257" max="10257" width="9.21875" style="2" customWidth="1"/>
    <col min="10258" max="10496" width="8.77734375" style="2"/>
    <col min="10497" max="10497" width="4.21875" style="2" customWidth="1"/>
    <col min="10498" max="10498" width="2.5546875" style="2" customWidth="1"/>
    <col min="10499" max="10500" width="8.77734375" style="2"/>
    <col min="10501" max="10501" width="7.21875" style="2" customWidth="1"/>
    <col min="10502" max="10502" width="8.21875" style="2" customWidth="1"/>
    <col min="10503" max="10504" width="10.21875" style="2" customWidth="1"/>
    <col min="10505" max="10505" width="3.77734375" style="2" customWidth="1"/>
    <col min="10506" max="10506" width="8.77734375" style="2"/>
    <col min="10507" max="10507" width="6.21875" style="2" customWidth="1"/>
    <col min="10508" max="10508" width="5.5546875" style="2" customWidth="1"/>
    <col min="10509" max="10509" width="10.77734375" style="2" customWidth="1"/>
    <col min="10510" max="10510" width="8.21875" style="2" customWidth="1"/>
    <col min="10511" max="10511" width="12.21875" style="2" customWidth="1"/>
    <col min="10512" max="10512" width="10.21875" style="2" customWidth="1"/>
    <col min="10513" max="10513" width="9.21875" style="2" customWidth="1"/>
    <col min="10514" max="10752" width="8.77734375" style="2"/>
    <col min="10753" max="10753" width="4.21875" style="2" customWidth="1"/>
    <col min="10754" max="10754" width="2.5546875" style="2" customWidth="1"/>
    <col min="10755" max="10756" width="8.77734375" style="2"/>
    <col min="10757" max="10757" width="7.21875" style="2" customWidth="1"/>
    <col min="10758" max="10758" width="8.21875" style="2" customWidth="1"/>
    <col min="10759" max="10760" width="10.21875" style="2" customWidth="1"/>
    <col min="10761" max="10761" width="3.77734375" style="2" customWidth="1"/>
    <col min="10762" max="10762" width="8.77734375" style="2"/>
    <col min="10763" max="10763" width="6.21875" style="2" customWidth="1"/>
    <col min="10764" max="10764" width="5.5546875" style="2" customWidth="1"/>
    <col min="10765" max="10765" width="10.77734375" style="2" customWidth="1"/>
    <col min="10766" max="10766" width="8.21875" style="2" customWidth="1"/>
    <col min="10767" max="10767" width="12.21875" style="2" customWidth="1"/>
    <col min="10768" max="10768" width="10.21875" style="2" customWidth="1"/>
    <col min="10769" max="10769" width="9.21875" style="2" customWidth="1"/>
    <col min="10770" max="11008" width="8.77734375" style="2"/>
    <col min="11009" max="11009" width="4.21875" style="2" customWidth="1"/>
    <col min="11010" max="11010" width="2.5546875" style="2" customWidth="1"/>
    <col min="11011" max="11012" width="8.77734375" style="2"/>
    <col min="11013" max="11013" width="7.21875" style="2" customWidth="1"/>
    <col min="11014" max="11014" width="8.21875" style="2" customWidth="1"/>
    <col min="11015" max="11016" width="10.21875" style="2" customWidth="1"/>
    <col min="11017" max="11017" width="3.77734375" style="2" customWidth="1"/>
    <col min="11018" max="11018" width="8.77734375" style="2"/>
    <col min="11019" max="11019" width="6.21875" style="2" customWidth="1"/>
    <col min="11020" max="11020" width="5.5546875" style="2" customWidth="1"/>
    <col min="11021" max="11021" width="10.77734375" style="2" customWidth="1"/>
    <col min="11022" max="11022" width="8.21875" style="2" customWidth="1"/>
    <col min="11023" max="11023" width="12.21875" style="2" customWidth="1"/>
    <col min="11024" max="11024" width="10.21875" style="2" customWidth="1"/>
    <col min="11025" max="11025" width="9.21875" style="2" customWidth="1"/>
    <col min="11026" max="11264" width="8.77734375" style="2"/>
    <col min="11265" max="11265" width="4.21875" style="2" customWidth="1"/>
    <col min="11266" max="11266" width="2.5546875" style="2" customWidth="1"/>
    <col min="11267" max="11268" width="8.77734375" style="2"/>
    <col min="11269" max="11269" width="7.21875" style="2" customWidth="1"/>
    <col min="11270" max="11270" width="8.21875" style="2" customWidth="1"/>
    <col min="11271" max="11272" width="10.21875" style="2" customWidth="1"/>
    <col min="11273" max="11273" width="3.77734375" style="2" customWidth="1"/>
    <col min="11274" max="11274" width="8.77734375" style="2"/>
    <col min="11275" max="11275" width="6.21875" style="2" customWidth="1"/>
    <col min="11276" max="11276" width="5.5546875" style="2" customWidth="1"/>
    <col min="11277" max="11277" width="10.77734375" style="2" customWidth="1"/>
    <col min="11278" max="11278" width="8.21875" style="2" customWidth="1"/>
    <col min="11279" max="11279" width="12.21875" style="2" customWidth="1"/>
    <col min="11280" max="11280" width="10.21875" style="2" customWidth="1"/>
    <col min="11281" max="11281" width="9.21875" style="2" customWidth="1"/>
    <col min="11282" max="11520" width="8.77734375" style="2"/>
    <col min="11521" max="11521" width="4.21875" style="2" customWidth="1"/>
    <col min="11522" max="11522" width="2.5546875" style="2" customWidth="1"/>
    <col min="11523" max="11524" width="8.77734375" style="2"/>
    <col min="11525" max="11525" width="7.21875" style="2" customWidth="1"/>
    <col min="11526" max="11526" width="8.21875" style="2" customWidth="1"/>
    <col min="11527" max="11528" width="10.21875" style="2" customWidth="1"/>
    <col min="11529" max="11529" width="3.77734375" style="2" customWidth="1"/>
    <col min="11530" max="11530" width="8.77734375" style="2"/>
    <col min="11531" max="11531" width="6.21875" style="2" customWidth="1"/>
    <col min="11532" max="11532" width="5.5546875" style="2" customWidth="1"/>
    <col min="11533" max="11533" width="10.77734375" style="2" customWidth="1"/>
    <col min="11534" max="11534" width="8.21875" style="2" customWidth="1"/>
    <col min="11535" max="11535" width="12.21875" style="2" customWidth="1"/>
    <col min="11536" max="11536" width="10.21875" style="2" customWidth="1"/>
    <col min="11537" max="11537" width="9.21875" style="2" customWidth="1"/>
    <col min="11538" max="11776" width="8.77734375" style="2"/>
    <col min="11777" max="11777" width="4.21875" style="2" customWidth="1"/>
    <col min="11778" max="11778" width="2.5546875" style="2" customWidth="1"/>
    <col min="11779" max="11780" width="8.77734375" style="2"/>
    <col min="11781" max="11781" width="7.21875" style="2" customWidth="1"/>
    <col min="11782" max="11782" width="8.21875" style="2" customWidth="1"/>
    <col min="11783" max="11784" width="10.21875" style="2" customWidth="1"/>
    <col min="11785" max="11785" width="3.77734375" style="2" customWidth="1"/>
    <col min="11786" max="11786" width="8.77734375" style="2"/>
    <col min="11787" max="11787" width="6.21875" style="2" customWidth="1"/>
    <col min="11788" max="11788" width="5.5546875" style="2" customWidth="1"/>
    <col min="11789" max="11789" width="10.77734375" style="2" customWidth="1"/>
    <col min="11790" max="11790" width="8.21875" style="2" customWidth="1"/>
    <col min="11791" max="11791" width="12.21875" style="2" customWidth="1"/>
    <col min="11792" max="11792" width="10.21875" style="2" customWidth="1"/>
    <col min="11793" max="11793" width="9.21875" style="2" customWidth="1"/>
    <col min="11794" max="12032" width="8.77734375" style="2"/>
    <col min="12033" max="12033" width="4.21875" style="2" customWidth="1"/>
    <col min="12034" max="12034" width="2.5546875" style="2" customWidth="1"/>
    <col min="12035" max="12036" width="8.77734375" style="2"/>
    <col min="12037" max="12037" width="7.21875" style="2" customWidth="1"/>
    <col min="12038" max="12038" width="8.21875" style="2" customWidth="1"/>
    <col min="12039" max="12040" width="10.21875" style="2" customWidth="1"/>
    <col min="12041" max="12041" width="3.77734375" style="2" customWidth="1"/>
    <col min="12042" max="12042" width="8.77734375" style="2"/>
    <col min="12043" max="12043" width="6.21875" style="2" customWidth="1"/>
    <col min="12044" max="12044" width="5.5546875" style="2" customWidth="1"/>
    <col min="12045" max="12045" width="10.77734375" style="2" customWidth="1"/>
    <col min="12046" max="12046" width="8.21875" style="2" customWidth="1"/>
    <col min="12047" max="12047" width="12.21875" style="2" customWidth="1"/>
    <col min="12048" max="12048" width="10.21875" style="2" customWidth="1"/>
    <col min="12049" max="12049" width="9.21875" style="2" customWidth="1"/>
    <col min="12050" max="12288" width="8.77734375" style="2"/>
    <col min="12289" max="12289" width="4.21875" style="2" customWidth="1"/>
    <col min="12290" max="12290" width="2.5546875" style="2" customWidth="1"/>
    <col min="12291" max="12292" width="8.77734375" style="2"/>
    <col min="12293" max="12293" width="7.21875" style="2" customWidth="1"/>
    <col min="12294" max="12294" width="8.21875" style="2" customWidth="1"/>
    <col min="12295" max="12296" width="10.21875" style="2" customWidth="1"/>
    <col min="12297" max="12297" width="3.77734375" style="2" customWidth="1"/>
    <col min="12298" max="12298" width="8.77734375" style="2"/>
    <col min="12299" max="12299" width="6.21875" style="2" customWidth="1"/>
    <col min="12300" max="12300" width="5.5546875" style="2" customWidth="1"/>
    <col min="12301" max="12301" width="10.77734375" style="2" customWidth="1"/>
    <col min="12302" max="12302" width="8.21875" style="2" customWidth="1"/>
    <col min="12303" max="12303" width="12.21875" style="2" customWidth="1"/>
    <col min="12304" max="12304" width="10.21875" style="2" customWidth="1"/>
    <col min="12305" max="12305" width="9.21875" style="2" customWidth="1"/>
    <col min="12306" max="12544" width="8.77734375" style="2"/>
    <col min="12545" max="12545" width="4.21875" style="2" customWidth="1"/>
    <col min="12546" max="12546" width="2.5546875" style="2" customWidth="1"/>
    <col min="12547" max="12548" width="8.77734375" style="2"/>
    <col min="12549" max="12549" width="7.21875" style="2" customWidth="1"/>
    <col min="12550" max="12550" width="8.21875" style="2" customWidth="1"/>
    <col min="12551" max="12552" width="10.21875" style="2" customWidth="1"/>
    <col min="12553" max="12553" width="3.77734375" style="2" customWidth="1"/>
    <col min="12554" max="12554" width="8.77734375" style="2"/>
    <col min="12555" max="12555" width="6.21875" style="2" customWidth="1"/>
    <col min="12556" max="12556" width="5.5546875" style="2" customWidth="1"/>
    <col min="12557" max="12557" width="10.77734375" style="2" customWidth="1"/>
    <col min="12558" max="12558" width="8.21875" style="2" customWidth="1"/>
    <col min="12559" max="12559" width="12.21875" style="2" customWidth="1"/>
    <col min="12560" max="12560" width="10.21875" style="2" customWidth="1"/>
    <col min="12561" max="12561" width="9.21875" style="2" customWidth="1"/>
    <col min="12562" max="12800" width="8.77734375" style="2"/>
    <col min="12801" max="12801" width="4.21875" style="2" customWidth="1"/>
    <col min="12802" max="12802" width="2.5546875" style="2" customWidth="1"/>
    <col min="12803" max="12804" width="8.77734375" style="2"/>
    <col min="12805" max="12805" width="7.21875" style="2" customWidth="1"/>
    <col min="12806" max="12806" width="8.21875" style="2" customWidth="1"/>
    <col min="12807" max="12808" width="10.21875" style="2" customWidth="1"/>
    <col min="12809" max="12809" width="3.77734375" style="2" customWidth="1"/>
    <col min="12810" max="12810" width="8.77734375" style="2"/>
    <col min="12811" max="12811" width="6.21875" style="2" customWidth="1"/>
    <col min="12812" max="12812" width="5.5546875" style="2" customWidth="1"/>
    <col min="12813" max="12813" width="10.77734375" style="2" customWidth="1"/>
    <col min="12814" max="12814" width="8.21875" style="2" customWidth="1"/>
    <col min="12815" max="12815" width="12.21875" style="2" customWidth="1"/>
    <col min="12816" max="12816" width="10.21875" style="2" customWidth="1"/>
    <col min="12817" max="12817" width="9.21875" style="2" customWidth="1"/>
    <col min="12818" max="13056" width="8.77734375" style="2"/>
    <col min="13057" max="13057" width="4.21875" style="2" customWidth="1"/>
    <col min="13058" max="13058" width="2.5546875" style="2" customWidth="1"/>
    <col min="13059" max="13060" width="8.77734375" style="2"/>
    <col min="13061" max="13061" width="7.21875" style="2" customWidth="1"/>
    <col min="13062" max="13062" width="8.21875" style="2" customWidth="1"/>
    <col min="13063" max="13064" width="10.21875" style="2" customWidth="1"/>
    <col min="13065" max="13065" width="3.77734375" style="2" customWidth="1"/>
    <col min="13066" max="13066" width="8.77734375" style="2"/>
    <col min="13067" max="13067" width="6.21875" style="2" customWidth="1"/>
    <col min="13068" max="13068" width="5.5546875" style="2" customWidth="1"/>
    <col min="13069" max="13069" width="10.77734375" style="2" customWidth="1"/>
    <col min="13070" max="13070" width="8.21875" style="2" customWidth="1"/>
    <col min="13071" max="13071" width="12.21875" style="2" customWidth="1"/>
    <col min="13072" max="13072" width="10.21875" style="2" customWidth="1"/>
    <col min="13073" max="13073" width="9.21875" style="2" customWidth="1"/>
    <col min="13074" max="13312" width="8.77734375" style="2"/>
    <col min="13313" max="13313" width="4.21875" style="2" customWidth="1"/>
    <col min="13314" max="13314" width="2.5546875" style="2" customWidth="1"/>
    <col min="13315" max="13316" width="8.77734375" style="2"/>
    <col min="13317" max="13317" width="7.21875" style="2" customWidth="1"/>
    <col min="13318" max="13318" width="8.21875" style="2" customWidth="1"/>
    <col min="13319" max="13320" width="10.21875" style="2" customWidth="1"/>
    <col min="13321" max="13321" width="3.77734375" style="2" customWidth="1"/>
    <col min="13322" max="13322" width="8.77734375" style="2"/>
    <col min="13323" max="13323" width="6.21875" style="2" customWidth="1"/>
    <col min="13324" max="13324" width="5.5546875" style="2" customWidth="1"/>
    <col min="13325" max="13325" width="10.77734375" style="2" customWidth="1"/>
    <col min="13326" max="13326" width="8.21875" style="2" customWidth="1"/>
    <col min="13327" max="13327" width="12.21875" style="2" customWidth="1"/>
    <col min="13328" max="13328" width="10.21875" style="2" customWidth="1"/>
    <col min="13329" max="13329" width="9.21875" style="2" customWidth="1"/>
    <col min="13330" max="13568" width="8.77734375" style="2"/>
    <col min="13569" max="13569" width="4.21875" style="2" customWidth="1"/>
    <col min="13570" max="13570" width="2.5546875" style="2" customWidth="1"/>
    <col min="13571" max="13572" width="8.77734375" style="2"/>
    <col min="13573" max="13573" width="7.21875" style="2" customWidth="1"/>
    <col min="13574" max="13574" width="8.21875" style="2" customWidth="1"/>
    <col min="13575" max="13576" width="10.21875" style="2" customWidth="1"/>
    <col min="13577" max="13577" width="3.77734375" style="2" customWidth="1"/>
    <col min="13578" max="13578" width="8.77734375" style="2"/>
    <col min="13579" max="13579" width="6.21875" style="2" customWidth="1"/>
    <col min="13580" max="13580" width="5.5546875" style="2" customWidth="1"/>
    <col min="13581" max="13581" width="10.77734375" style="2" customWidth="1"/>
    <col min="13582" max="13582" width="8.21875" style="2" customWidth="1"/>
    <col min="13583" max="13583" width="12.21875" style="2" customWidth="1"/>
    <col min="13584" max="13584" width="10.21875" style="2" customWidth="1"/>
    <col min="13585" max="13585" width="9.21875" style="2" customWidth="1"/>
    <col min="13586" max="13824" width="8.77734375" style="2"/>
    <col min="13825" max="13825" width="4.21875" style="2" customWidth="1"/>
    <col min="13826" max="13826" width="2.5546875" style="2" customWidth="1"/>
    <col min="13827" max="13828" width="8.77734375" style="2"/>
    <col min="13829" max="13829" width="7.21875" style="2" customWidth="1"/>
    <col min="13830" max="13830" width="8.21875" style="2" customWidth="1"/>
    <col min="13831" max="13832" width="10.21875" style="2" customWidth="1"/>
    <col min="13833" max="13833" width="3.77734375" style="2" customWidth="1"/>
    <col min="13834" max="13834" width="8.77734375" style="2"/>
    <col min="13835" max="13835" width="6.21875" style="2" customWidth="1"/>
    <col min="13836" max="13836" width="5.5546875" style="2" customWidth="1"/>
    <col min="13837" max="13837" width="10.77734375" style="2" customWidth="1"/>
    <col min="13838" max="13838" width="8.21875" style="2" customWidth="1"/>
    <col min="13839" max="13839" width="12.21875" style="2" customWidth="1"/>
    <col min="13840" max="13840" width="10.21875" style="2" customWidth="1"/>
    <col min="13841" max="13841" width="9.21875" style="2" customWidth="1"/>
    <col min="13842" max="14080" width="8.77734375" style="2"/>
    <col min="14081" max="14081" width="4.21875" style="2" customWidth="1"/>
    <col min="14082" max="14082" width="2.5546875" style="2" customWidth="1"/>
    <col min="14083" max="14084" width="8.77734375" style="2"/>
    <col min="14085" max="14085" width="7.21875" style="2" customWidth="1"/>
    <col min="14086" max="14086" width="8.21875" style="2" customWidth="1"/>
    <col min="14087" max="14088" width="10.21875" style="2" customWidth="1"/>
    <col min="14089" max="14089" width="3.77734375" style="2" customWidth="1"/>
    <col min="14090" max="14090" width="8.77734375" style="2"/>
    <col min="14091" max="14091" width="6.21875" style="2" customWidth="1"/>
    <col min="14092" max="14092" width="5.5546875" style="2" customWidth="1"/>
    <col min="14093" max="14093" width="10.77734375" style="2" customWidth="1"/>
    <col min="14094" max="14094" width="8.21875" style="2" customWidth="1"/>
    <col min="14095" max="14095" width="12.21875" style="2" customWidth="1"/>
    <col min="14096" max="14096" width="10.21875" style="2" customWidth="1"/>
    <col min="14097" max="14097" width="9.21875" style="2" customWidth="1"/>
    <col min="14098" max="14336" width="8.77734375" style="2"/>
    <col min="14337" max="14337" width="4.21875" style="2" customWidth="1"/>
    <col min="14338" max="14338" width="2.5546875" style="2" customWidth="1"/>
    <col min="14339" max="14340" width="8.77734375" style="2"/>
    <col min="14341" max="14341" width="7.21875" style="2" customWidth="1"/>
    <col min="14342" max="14342" width="8.21875" style="2" customWidth="1"/>
    <col min="14343" max="14344" width="10.21875" style="2" customWidth="1"/>
    <col min="14345" max="14345" width="3.77734375" style="2" customWidth="1"/>
    <col min="14346" max="14346" width="8.77734375" style="2"/>
    <col min="14347" max="14347" width="6.21875" style="2" customWidth="1"/>
    <col min="14348" max="14348" width="5.5546875" style="2" customWidth="1"/>
    <col min="14349" max="14349" width="10.77734375" style="2" customWidth="1"/>
    <col min="14350" max="14350" width="8.21875" style="2" customWidth="1"/>
    <col min="14351" max="14351" width="12.21875" style="2" customWidth="1"/>
    <col min="14352" max="14352" width="10.21875" style="2" customWidth="1"/>
    <col min="14353" max="14353" width="9.21875" style="2" customWidth="1"/>
    <col min="14354" max="14592" width="8.77734375" style="2"/>
    <col min="14593" max="14593" width="4.21875" style="2" customWidth="1"/>
    <col min="14594" max="14594" width="2.5546875" style="2" customWidth="1"/>
    <col min="14595" max="14596" width="8.77734375" style="2"/>
    <col min="14597" max="14597" width="7.21875" style="2" customWidth="1"/>
    <col min="14598" max="14598" width="8.21875" style="2" customWidth="1"/>
    <col min="14599" max="14600" width="10.21875" style="2" customWidth="1"/>
    <col min="14601" max="14601" width="3.77734375" style="2" customWidth="1"/>
    <col min="14602" max="14602" width="8.77734375" style="2"/>
    <col min="14603" max="14603" width="6.21875" style="2" customWidth="1"/>
    <col min="14604" max="14604" width="5.5546875" style="2" customWidth="1"/>
    <col min="14605" max="14605" width="10.77734375" style="2" customWidth="1"/>
    <col min="14606" max="14606" width="8.21875" style="2" customWidth="1"/>
    <col min="14607" max="14607" width="12.21875" style="2" customWidth="1"/>
    <col min="14608" max="14608" width="10.21875" style="2" customWidth="1"/>
    <col min="14609" max="14609" width="9.21875" style="2" customWidth="1"/>
    <col min="14610" max="14848" width="8.77734375" style="2"/>
    <col min="14849" max="14849" width="4.21875" style="2" customWidth="1"/>
    <col min="14850" max="14850" width="2.5546875" style="2" customWidth="1"/>
    <col min="14851" max="14852" width="8.77734375" style="2"/>
    <col min="14853" max="14853" width="7.21875" style="2" customWidth="1"/>
    <col min="14854" max="14854" width="8.21875" style="2" customWidth="1"/>
    <col min="14855" max="14856" width="10.21875" style="2" customWidth="1"/>
    <col min="14857" max="14857" width="3.77734375" style="2" customWidth="1"/>
    <col min="14858" max="14858" width="8.77734375" style="2"/>
    <col min="14859" max="14859" width="6.21875" style="2" customWidth="1"/>
    <col min="14860" max="14860" width="5.5546875" style="2" customWidth="1"/>
    <col min="14861" max="14861" width="10.77734375" style="2" customWidth="1"/>
    <col min="14862" max="14862" width="8.21875" style="2" customWidth="1"/>
    <col min="14863" max="14863" width="12.21875" style="2" customWidth="1"/>
    <col min="14864" max="14864" width="10.21875" style="2" customWidth="1"/>
    <col min="14865" max="14865" width="9.21875" style="2" customWidth="1"/>
    <col min="14866" max="15104" width="8.77734375" style="2"/>
    <col min="15105" max="15105" width="4.21875" style="2" customWidth="1"/>
    <col min="15106" max="15106" width="2.5546875" style="2" customWidth="1"/>
    <col min="15107" max="15108" width="8.77734375" style="2"/>
    <col min="15109" max="15109" width="7.21875" style="2" customWidth="1"/>
    <col min="15110" max="15110" width="8.21875" style="2" customWidth="1"/>
    <col min="15111" max="15112" width="10.21875" style="2" customWidth="1"/>
    <col min="15113" max="15113" width="3.77734375" style="2" customWidth="1"/>
    <col min="15114" max="15114" width="8.77734375" style="2"/>
    <col min="15115" max="15115" width="6.21875" style="2" customWidth="1"/>
    <col min="15116" max="15116" width="5.5546875" style="2" customWidth="1"/>
    <col min="15117" max="15117" width="10.77734375" style="2" customWidth="1"/>
    <col min="15118" max="15118" width="8.21875" style="2" customWidth="1"/>
    <col min="15119" max="15119" width="12.21875" style="2" customWidth="1"/>
    <col min="15120" max="15120" width="10.21875" style="2" customWidth="1"/>
    <col min="15121" max="15121" width="9.21875" style="2" customWidth="1"/>
    <col min="15122" max="15360" width="8.77734375" style="2"/>
    <col min="15361" max="15361" width="4.21875" style="2" customWidth="1"/>
    <col min="15362" max="15362" width="2.5546875" style="2" customWidth="1"/>
    <col min="15363" max="15364" width="8.77734375" style="2"/>
    <col min="15365" max="15365" width="7.21875" style="2" customWidth="1"/>
    <col min="15366" max="15366" width="8.21875" style="2" customWidth="1"/>
    <col min="15367" max="15368" width="10.21875" style="2" customWidth="1"/>
    <col min="15369" max="15369" width="3.77734375" style="2" customWidth="1"/>
    <col min="15370" max="15370" width="8.77734375" style="2"/>
    <col min="15371" max="15371" width="6.21875" style="2" customWidth="1"/>
    <col min="15372" max="15372" width="5.5546875" style="2" customWidth="1"/>
    <col min="15373" max="15373" width="10.77734375" style="2" customWidth="1"/>
    <col min="15374" max="15374" width="8.21875" style="2" customWidth="1"/>
    <col min="15375" max="15375" width="12.21875" style="2" customWidth="1"/>
    <col min="15376" max="15376" width="10.21875" style="2" customWidth="1"/>
    <col min="15377" max="15377" width="9.21875" style="2" customWidth="1"/>
    <col min="15378" max="15616" width="8.77734375" style="2"/>
    <col min="15617" max="15617" width="4.21875" style="2" customWidth="1"/>
    <col min="15618" max="15618" width="2.5546875" style="2" customWidth="1"/>
    <col min="15619" max="15620" width="8.77734375" style="2"/>
    <col min="15621" max="15621" width="7.21875" style="2" customWidth="1"/>
    <col min="15622" max="15622" width="8.21875" style="2" customWidth="1"/>
    <col min="15623" max="15624" width="10.21875" style="2" customWidth="1"/>
    <col min="15625" max="15625" width="3.77734375" style="2" customWidth="1"/>
    <col min="15626" max="15626" width="8.77734375" style="2"/>
    <col min="15627" max="15627" width="6.21875" style="2" customWidth="1"/>
    <col min="15628" max="15628" width="5.5546875" style="2" customWidth="1"/>
    <col min="15629" max="15629" width="10.77734375" style="2" customWidth="1"/>
    <col min="15630" max="15630" width="8.21875" style="2" customWidth="1"/>
    <col min="15631" max="15631" width="12.21875" style="2" customWidth="1"/>
    <col min="15632" max="15632" width="10.21875" style="2" customWidth="1"/>
    <col min="15633" max="15633" width="9.21875" style="2" customWidth="1"/>
    <col min="15634" max="15872" width="8.77734375" style="2"/>
    <col min="15873" max="15873" width="4.21875" style="2" customWidth="1"/>
    <col min="15874" max="15874" width="2.5546875" style="2" customWidth="1"/>
    <col min="15875" max="15876" width="8.77734375" style="2"/>
    <col min="15877" max="15877" width="7.21875" style="2" customWidth="1"/>
    <col min="15878" max="15878" width="8.21875" style="2" customWidth="1"/>
    <col min="15879" max="15880" width="10.21875" style="2" customWidth="1"/>
    <col min="15881" max="15881" width="3.77734375" style="2" customWidth="1"/>
    <col min="15882" max="15882" width="8.77734375" style="2"/>
    <col min="15883" max="15883" width="6.21875" style="2" customWidth="1"/>
    <col min="15884" max="15884" width="5.5546875" style="2" customWidth="1"/>
    <col min="15885" max="15885" width="10.77734375" style="2" customWidth="1"/>
    <col min="15886" max="15886" width="8.21875" style="2" customWidth="1"/>
    <col min="15887" max="15887" width="12.21875" style="2" customWidth="1"/>
    <col min="15888" max="15888" width="10.21875" style="2" customWidth="1"/>
    <col min="15889" max="15889" width="9.21875" style="2" customWidth="1"/>
    <col min="15890" max="16128" width="8.77734375" style="2"/>
    <col min="16129" max="16129" width="4.21875" style="2" customWidth="1"/>
    <col min="16130" max="16130" width="2.5546875" style="2" customWidth="1"/>
    <col min="16131" max="16132" width="8.77734375" style="2"/>
    <col min="16133" max="16133" width="7.21875" style="2" customWidth="1"/>
    <col min="16134" max="16134" width="8.21875" style="2" customWidth="1"/>
    <col min="16135" max="16136" width="10.21875" style="2" customWidth="1"/>
    <col min="16137" max="16137" width="3.77734375" style="2" customWidth="1"/>
    <col min="16138" max="16138" width="8.77734375" style="2"/>
    <col min="16139" max="16139" width="6.21875" style="2" customWidth="1"/>
    <col min="16140" max="16140" width="5.5546875" style="2" customWidth="1"/>
    <col min="16141" max="16141" width="10.77734375" style="2" customWidth="1"/>
    <col min="16142" max="16142" width="8.21875" style="2" customWidth="1"/>
    <col min="16143" max="16143" width="12.21875" style="2" customWidth="1"/>
    <col min="16144" max="16144" width="10.21875" style="2" customWidth="1"/>
    <col min="16145" max="16145" width="9.21875" style="2" customWidth="1"/>
    <col min="16146" max="16384" width="8.77734375" style="2"/>
  </cols>
  <sheetData>
    <row r="1" spans="1:18" ht="15.6">
      <c r="A1" s="1220" t="s">
        <v>20</v>
      </c>
      <c r="B1" s="1220"/>
      <c r="C1" s="1220"/>
      <c r="D1" s="1220"/>
      <c r="E1" s="1220"/>
      <c r="F1" s="1220"/>
      <c r="G1" s="1220"/>
      <c r="H1" s="1220"/>
      <c r="I1" s="1220"/>
      <c r="J1" s="1220"/>
      <c r="K1" s="1220"/>
      <c r="L1" s="1220"/>
      <c r="M1" s="1220"/>
      <c r="N1" s="1220"/>
      <c r="O1" s="1220"/>
      <c r="P1" s="49"/>
      <c r="Q1" s="50"/>
      <c r="R1" s="49"/>
    </row>
    <row r="2" spans="1:18" ht="15.6">
      <c r="A2" s="1220" t="s">
        <v>42</v>
      </c>
      <c r="B2" s="1220"/>
      <c r="C2" s="1220"/>
      <c r="D2" s="1220"/>
      <c r="E2" s="1220"/>
      <c r="F2" s="1220"/>
      <c r="G2" s="1220"/>
      <c r="H2" s="1220"/>
      <c r="I2" s="1220"/>
      <c r="J2" s="1220"/>
      <c r="K2" s="1220"/>
      <c r="L2" s="1220"/>
      <c r="M2" s="1220"/>
      <c r="N2" s="1220"/>
      <c r="O2" s="1220"/>
    </row>
    <row r="3" spans="1:18" ht="9" customHeight="1">
      <c r="A3" s="49"/>
      <c r="B3" s="49"/>
      <c r="C3" s="49"/>
      <c r="D3" s="49"/>
      <c r="E3" s="49"/>
      <c r="F3" s="49"/>
      <c r="G3" s="49"/>
      <c r="H3" s="49"/>
      <c r="I3" s="49"/>
      <c r="J3" s="49"/>
      <c r="K3" s="49"/>
      <c r="L3" s="49"/>
      <c r="M3" s="49"/>
      <c r="N3" s="49"/>
      <c r="O3" s="49"/>
    </row>
    <row r="4" spans="1:18" ht="7.5" customHeight="1"/>
    <row r="5" spans="1:18" ht="39" customHeight="1">
      <c r="A5" s="33" t="s">
        <v>22</v>
      </c>
      <c r="F5" s="34" t="s">
        <v>23</v>
      </c>
      <c r="H5" s="35" t="s">
        <v>24</v>
      </c>
      <c r="I5" s="36"/>
      <c r="J5" s="1221" t="s">
        <v>25</v>
      </c>
      <c r="K5" s="1217"/>
      <c r="M5" s="3" t="s">
        <v>26</v>
      </c>
      <c r="O5" s="37" t="s">
        <v>27</v>
      </c>
    </row>
    <row r="6" spans="1:18" ht="6.75" customHeight="1"/>
    <row r="7" spans="1:18" ht="15">
      <c r="B7" s="5" t="s">
        <v>6</v>
      </c>
      <c r="F7" s="38">
        <f>IF('Input (6)'!$G$4=0," ",'Input (6)'!$G$4)</f>
        <v>19</v>
      </c>
      <c r="G7" s="39"/>
      <c r="J7" s="1222">
        <f>IF('Input (6)'!G4=0,"0",'Input (6)'!G4)</f>
        <v>19</v>
      </c>
      <c r="K7" s="1222"/>
      <c r="L7" s="40" t="s">
        <v>28</v>
      </c>
      <c r="M7" s="41">
        <f>IF('Input (6)'!G4=0,0,LOOKUP(J7,'criteria (6)'!$A$3:$A$10,'criteria (6)'!$B$3:$B$10))</f>
        <v>40</v>
      </c>
      <c r="N7" s="42" t="s">
        <v>29</v>
      </c>
      <c r="O7" s="38">
        <f>IF(Q7=0,0,IF(Q7&lt;LOOKUP(J7,'criteria (6)'!$A$3:$A$10,'criteria (6)'!$C$3:$C$10),LOOKUP(J7,'criteria (6)'!$A$3:$A$10,'criteria (6)'!$C$3:$C$10),IF(LOOKUP(J7,'criteria (6)'!$A$3:$A$10,'criteria (6)'!$C$3:$C$10)=0,0,Q7)))</f>
        <v>0.6</v>
      </c>
      <c r="P7" s="28" t="str">
        <f>IF('Input (6)'!G4=0," ",IF(O7=0,"ADD to 1-6",IF(O7=Q7," ","Minimum")))</f>
        <v>Minimum</v>
      </c>
      <c r="Q7" s="32">
        <f>ROUND(IF('Input (6)'!G4=0,0,IF(M7=0,0,(J7/M7))),2)</f>
        <v>0.48</v>
      </c>
    </row>
    <row r="8" spans="1:18" ht="6.75" customHeight="1">
      <c r="J8" s="43"/>
      <c r="K8" s="43"/>
      <c r="O8" s="43"/>
    </row>
    <row r="9" spans="1:18">
      <c r="B9" s="5" t="s">
        <v>7</v>
      </c>
      <c r="J9" s="43"/>
      <c r="K9" s="43"/>
      <c r="O9" s="43"/>
    </row>
    <row r="10" spans="1:18">
      <c r="B10" s="28" t="s">
        <v>30</v>
      </c>
      <c r="J10" s="43"/>
      <c r="K10" s="43"/>
      <c r="O10" s="43"/>
    </row>
    <row r="11" spans="1:18" ht="16.5" customHeight="1">
      <c r="C11" s="12" t="s">
        <v>8</v>
      </c>
      <c r="F11" s="41" t="str">
        <f>IF(J11=0," ",IF($J$16&gt;300," ",'Input (6)'!G7))</f>
        <v xml:space="preserve"> </v>
      </c>
      <c r="G11" s="44" t="s">
        <v>31</v>
      </c>
      <c r="H11" s="38" t="str">
        <f>IF(J11=0," ",'C (6)'!H25)</f>
        <v xml:space="preserve"> </v>
      </c>
      <c r="I11" s="42" t="s">
        <v>29</v>
      </c>
      <c r="J11" s="1222">
        <f>IF('Input (6)'!G7=0,0,IF(SUM('Input (6)'!G7-'C (6)'!H25)+SUM('Input (6)'!G8-'C (6)'!H26)&gt;299.99,SUM('Input (6)'!G7-'C (6)'!H25),0))</f>
        <v>0</v>
      </c>
      <c r="K11" s="1222"/>
      <c r="L11" s="40" t="s">
        <v>28</v>
      </c>
      <c r="M11" s="41">
        <f>IF(SUM('Input (6)'!$G$7-'C (6)'!$H$25)+SUM('Input (6)'!$G$8-'C (6)'!$H$26)&gt;299.99,20,0)</f>
        <v>0</v>
      </c>
      <c r="N11" s="42" t="s">
        <v>29</v>
      </c>
      <c r="O11" s="38">
        <f>ROUND(IF(SUM('Input (6)'!$G$7-'C (6)'!$H$25)+SUM('Input (6)'!$G$8-'C (6)'!$H$26)&lt;299.99,0,IF(Q11+Q13&lt;15,0,(J11/M11))),2)</f>
        <v>0</v>
      </c>
      <c r="P11" s="2" t="str">
        <f>IF(O11=0," ",IF(O11=Q11," ","Minimum"))</f>
        <v xml:space="preserve"> </v>
      </c>
      <c r="Q11" s="32">
        <f>ROUND(IF(SUM('Input (6)'!$G$7-'C (6)'!$H$25)+SUM('Input (6)'!$G$8-'C (6)'!$H$26)&lt;299.99,0,(J11/M11)),2)</f>
        <v>0</v>
      </c>
    </row>
    <row r="12" spans="1:18" ht="9" customHeight="1">
      <c r="B12" s="12"/>
      <c r="J12" s="43"/>
      <c r="K12" s="43"/>
      <c r="O12" s="43"/>
    </row>
    <row r="13" spans="1:18" ht="15">
      <c r="C13" s="12" t="s">
        <v>9</v>
      </c>
      <c r="F13" s="41" t="str">
        <f>IF(J13=0," ",IF($J$16&gt;300," ",'Input (6)'!G8))</f>
        <v xml:space="preserve"> </v>
      </c>
      <c r="G13" s="44" t="s">
        <v>31</v>
      </c>
      <c r="H13" s="38" t="str">
        <f>IF(J13=0," ",'C (6)'!H26)</f>
        <v xml:space="preserve"> </v>
      </c>
      <c r="I13" s="42" t="s">
        <v>29</v>
      </c>
      <c r="J13" s="1222">
        <f>IF('Input (6)'!G8=0,0,IF(SUM('Input (6)'!G7-'C (6)'!H25)+SUM('Input (6)'!G8-'C (6)'!H26)&gt;299.99,SUM('Input (6)'!G8-'C (6)'!H26),0))</f>
        <v>0</v>
      </c>
      <c r="K13" s="1222"/>
      <c r="L13" s="40" t="s">
        <v>28</v>
      </c>
      <c r="M13" s="41">
        <f>IF(SUM('Input (6)'!$G$7-'C (6)'!$H$25)+SUM('Input (6)'!$G$8-'C (6)'!$H$26)&gt;299.99,23,0)</f>
        <v>0</v>
      </c>
      <c r="N13" s="42" t="s">
        <v>29</v>
      </c>
      <c r="O13" s="38">
        <f>ROUND(IF(SUM('Input (6)'!$G$7-'C (6)'!$H$25)+SUM('Input (6)'!$G$8-'C (6)'!$H$26)&lt;299.99,0,IF(Q11+Q13&lt;15,0,($J$13/$M$13))),2)</f>
        <v>0</v>
      </c>
      <c r="P13" s="2" t="str">
        <f>IF(O13=0," ",IF(O13=Q13," ","Minimum"))</f>
        <v xml:space="preserve"> </v>
      </c>
      <c r="Q13" s="32">
        <f>ROUND(IF(SUM('Input (6)'!$G$7-'C (6)'!$H$25)+SUM('Input (6)'!$G$8-'C (6)'!$H$26)&lt;299.99,0,($J$13/$M$13)),2)</f>
        <v>0</v>
      </c>
    </row>
    <row r="14" spans="1:18" ht="15">
      <c r="B14" s="5" t="s">
        <v>7</v>
      </c>
      <c r="F14" s="36"/>
      <c r="G14" s="44"/>
      <c r="H14" s="39"/>
      <c r="I14" s="42"/>
      <c r="O14" s="39" t="str">
        <f>IF(P14="Minimum",15," ")</f>
        <v xml:space="preserve"> </v>
      </c>
      <c r="P14" s="2" t="str">
        <f>IF(Q11+Q13=0," ",IF(Q11+Q13&lt;15,"Minimum"," "))</f>
        <v xml:space="preserve"> </v>
      </c>
    </row>
    <row r="15" spans="1:18">
      <c r="B15" s="28" t="s">
        <v>32</v>
      </c>
      <c r="O15" s="43"/>
    </row>
    <row r="16" spans="1:18" ht="15">
      <c r="C16" s="12" t="s">
        <v>33</v>
      </c>
      <c r="F16" s="41">
        <f>IF(J16=0," ",IF(J16&lt;300,SUM('Input (6)'!G7+'Input (6)'!G8)," "))</f>
        <v>96.9</v>
      </c>
      <c r="G16" s="44" t="s">
        <v>31</v>
      </c>
      <c r="H16" s="38">
        <f>IF(J16=0," ",'C (6)'!H22)</f>
        <v>7.3199999999999994</v>
      </c>
      <c r="I16" s="42" t="s">
        <v>29</v>
      </c>
      <c r="J16" s="1222">
        <f>IF('Input (6)'!G9=0,0,IF(SUM('Input (6)'!G7-'C (6)'!H25)+SUM('Input (6)'!G8-'C (6)'!H26)&lt;300,IF(P7="ADD to 1-6",SUM('Input (6)'!G7-'C (6)'!H25)+SUM('Input (6)'!G8-'C (6)'!H26)+'Input (6)'!G4,SUM('Input (6)'!G7-'C (6)'!H25)+SUM('Input (6)'!G8-'C (6)'!H26)),0))</f>
        <v>89.58</v>
      </c>
      <c r="K16" s="1222"/>
      <c r="L16" s="40" t="s">
        <v>28</v>
      </c>
      <c r="M16" s="41">
        <f>IF(SUM('Input (6)'!$G$7-'C (6)'!$H$25)+SUM('Input (6)'!$G$8-'C (6)'!$H$26)&lt;299.99,LOOKUP(J16,'criteria (6)'!$M$3:$M$11,'criteria (6)'!$N$3:$N$11),0)</f>
        <v>16</v>
      </c>
      <c r="N16" s="42" t="s">
        <v>29</v>
      </c>
      <c r="O16" s="38">
        <f>IF(Q16=0,0,IF(Q16&lt;LOOKUP(J16,'criteria (6)'!$M$3:$M$10,'criteria (6)'!$O$3:$O$10),LOOKUP(J16,'criteria (6)'!$M$3:$M$10,'criteria (6)'!$O$3:$O$10),Q16))</f>
        <v>5.6</v>
      </c>
      <c r="P16" s="2" t="str">
        <f>IF(O16=0," ",IF(O16=Q16," ","Minimum"))</f>
        <v xml:space="preserve"> </v>
      </c>
      <c r="Q16" s="32">
        <f>ROUND(IF('Input (6)'!G9=0,0,IF(SUM('Input (6)'!$G$7-'C (6)'!$H$25)+SUM('Input (6)'!$G$8-'C (6)'!$H$26)&gt;299.99,0,(J16/M16))),2)</f>
        <v>5.6</v>
      </c>
    </row>
    <row r="17" spans="1:17" ht="6" customHeight="1">
      <c r="J17" s="43"/>
      <c r="K17" s="43"/>
      <c r="O17" s="43"/>
    </row>
    <row r="18" spans="1:17" ht="15">
      <c r="B18" s="5" t="s">
        <v>10</v>
      </c>
      <c r="F18" s="41">
        <f>IF(J18=0," ",'Input (6)'!G10)</f>
        <v>134.9</v>
      </c>
      <c r="G18" s="44" t="s">
        <v>31</v>
      </c>
      <c r="H18" s="38">
        <f>IF(J18=0," ",'C (6)'!$H$43)</f>
        <v>7.81</v>
      </c>
      <c r="I18" s="42" t="s">
        <v>29</v>
      </c>
      <c r="J18" s="1222">
        <f>IF('Input (6)'!G10=0,0,SUM('Input (6)'!G10-'C (6)'!H43))</f>
        <v>127.09</v>
      </c>
      <c r="K18" s="1222"/>
      <c r="L18" s="40" t="s">
        <v>28</v>
      </c>
      <c r="M18" s="41">
        <f>IF(J18=0,0,IF(J18&gt;99.99,LOOKUP(J18,'criteria (6)'!Q3:Q10,'criteria (6)'!R3:R10),12))</f>
        <v>12</v>
      </c>
      <c r="N18" s="42" t="s">
        <v>29</v>
      </c>
      <c r="O18" s="38">
        <f>ROUND(IF(J18=0,0,IF(J18&lt;99.99,IF(M18=0,8,(J18/M18)),IF(Q18&lt;LOOKUP(J18,'criteria (6)'!$Q$3:$Q$10,'criteria (6)'!$S$3:$S$10),LOOKUP(J18,'criteria (6)'!$Q$3:$Q$10,'criteria (6)'!$S$3:$S$10),Q18))),2)</f>
        <v>10.59</v>
      </c>
      <c r="P18" s="2" t="str">
        <f>IF(O18=0," ",IF(O18=Q18," ","Minimum"))</f>
        <v xml:space="preserve"> </v>
      </c>
      <c r="Q18" s="32">
        <f>ROUND(IF(M18=0,0,(J18/M18)),2)</f>
        <v>10.59</v>
      </c>
    </row>
    <row r="19" spans="1:17">
      <c r="B19" s="5"/>
      <c r="J19" s="39"/>
      <c r="K19" s="39"/>
      <c r="M19" s="36"/>
      <c r="N19" s="42"/>
      <c r="O19" s="36"/>
    </row>
    <row r="20" spans="1:17" ht="15.6">
      <c r="A20" s="48" t="s">
        <v>43</v>
      </c>
      <c r="J20" s="43"/>
      <c r="K20" s="43"/>
    </row>
    <row r="21" spans="1:17" ht="3.75" customHeight="1">
      <c r="J21" s="43"/>
      <c r="K21" s="43"/>
    </row>
    <row r="22" spans="1:17">
      <c r="B22" s="2" t="s">
        <v>44</v>
      </c>
      <c r="J22" s="1222" t="str">
        <f>IF('C (6)'!H55=0," ",'C (6)'!H55)</f>
        <v xml:space="preserve"> </v>
      </c>
      <c r="K22" s="1222"/>
    </row>
    <row r="23" spans="1:17" ht="6" customHeight="1">
      <c r="J23" s="43"/>
      <c r="K23" s="43"/>
    </row>
    <row r="24" spans="1:17">
      <c r="B24" s="2" t="s">
        <v>45</v>
      </c>
      <c r="J24" s="1222">
        <f>IF('C (6)'!H22=0," ",'C (6)'!H22)</f>
        <v>7.3199999999999994</v>
      </c>
      <c r="K24" s="1222"/>
    </row>
    <row r="25" spans="1:17" ht="6" customHeight="1">
      <c r="J25" s="43"/>
      <c r="K25" s="43"/>
    </row>
    <row r="26" spans="1:17">
      <c r="B26" s="2" t="s">
        <v>46</v>
      </c>
      <c r="J26" s="1222">
        <f>IF('C (6)'!H43=0," ",'C (6)'!H43)</f>
        <v>7.81</v>
      </c>
      <c r="K26" s="1222"/>
    </row>
    <row r="27" spans="1:17" ht="6" customHeight="1">
      <c r="J27" s="43"/>
      <c r="K27" s="43"/>
    </row>
    <row r="28" spans="1:17" ht="6" customHeight="1">
      <c r="J28" s="39"/>
      <c r="K28" s="39"/>
    </row>
    <row r="29" spans="1:17" ht="13.5" customHeight="1" thickBot="1">
      <c r="B29" s="46" t="s">
        <v>47</v>
      </c>
      <c r="J29" s="1219">
        <f>SUM(J22:K27)</f>
        <v>15.129999999999999</v>
      </c>
      <c r="K29" s="1219"/>
      <c r="L29" s="40" t="s">
        <v>28</v>
      </c>
      <c r="M29" s="41">
        <f>IF(SUM('Input (6)'!C4:C10)=0,0,IF(J29&gt;=14,LOOKUP(J29,'criteria (6)'!$U$3:$U$10,'criteria (6)'!$V$3:$V$10),0))</f>
        <v>14.5</v>
      </c>
      <c r="N29" s="42" t="s">
        <v>29</v>
      </c>
      <c r="O29" s="38">
        <f>IF(J29=0,0,IF(Q29&lt;LOOKUP(J29,'criteria (6)'!$U$3:$U$10,'criteria (6)'!$W$3:$W$10),LOOKUP(J29,'criteria (6)'!$U$3:$U$10,'criteria (6)'!$W$3:$W$10),Q29))</f>
        <v>1.04</v>
      </c>
      <c r="P29" s="2" t="str">
        <f>IF(O29=0," ",IF(O29=Q29," ","Minimum"))</f>
        <v xml:space="preserve"> </v>
      </c>
      <c r="Q29" s="32">
        <f>ROUND(IF(SUM('Input (6)'!C4:C10)=0,0,IF(M29=0,0,(J29/M29))),2)</f>
        <v>1.04</v>
      </c>
    </row>
    <row r="30" spans="1:17" ht="12" customHeight="1" thickTop="1">
      <c r="B30" s="1226"/>
      <c r="C30" s="1226"/>
      <c r="D30" s="1226"/>
      <c r="E30" s="1226"/>
      <c r="F30" s="47"/>
      <c r="G30" s="47"/>
      <c r="H30" s="47"/>
      <c r="J30" s="12"/>
      <c r="N30" s="42"/>
      <c r="O30" s="39"/>
      <c r="P30" s="46"/>
    </row>
    <row r="31" spans="1:17" ht="19.5" customHeight="1">
      <c r="A31" s="48" t="s">
        <v>39</v>
      </c>
      <c r="O31" s="43"/>
    </row>
    <row r="32" spans="1:17" ht="15">
      <c r="B32" s="1227" t="str">
        <f>IF('Input (6)'!E14=0," ","Alternative Secondary High School")</f>
        <v xml:space="preserve"> </v>
      </c>
      <c r="C32" s="1227"/>
      <c r="D32" s="1227"/>
      <c r="E32" s="1227"/>
      <c r="F32" s="1227"/>
      <c r="J32" s="1222">
        <f>'Input (6)'!G14</f>
        <v>0</v>
      </c>
      <c r="K32" s="1222"/>
      <c r="L32" s="40" t="s">
        <v>28</v>
      </c>
      <c r="M32" s="41">
        <f>IF(J32=0,0,IF(Q32&lt;1,M18,12))</f>
        <v>0</v>
      </c>
      <c r="N32" s="42" t="s">
        <v>29</v>
      </c>
      <c r="O32" s="38">
        <f>ROUND(IF(J32=0,0,J32/M32),2)</f>
        <v>0</v>
      </c>
      <c r="P32" s="45"/>
      <c r="Q32" s="32">
        <f>ROUND(IF(J32=0,0,J32/12),2)</f>
        <v>0</v>
      </c>
    </row>
    <row r="33" spans="1:17" ht="11.25" customHeight="1">
      <c r="J33" s="43"/>
      <c r="K33" s="43"/>
      <c r="O33" s="43"/>
    </row>
    <row r="34" spans="1:17" ht="11.25" customHeight="1">
      <c r="B34" s="1227" t="str">
        <f>IF('Input (6)'!E15=0," ","Summer Alternative Secondary High School")</f>
        <v xml:space="preserve"> </v>
      </c>
      <c r="C34" s="1227"/>
      <c r="D34" s="1227"/>
      <c r="E34" s="1227"/>
      <c r="F34" s="1227"/>
      <c r="J34" s="1222">
        <f>'Input (6)'!E15</f>
        <v>0</v>
      </c>
      <c r="K34" s="1222"/>
      <c r="L34" s="40" t="s">
        <v>28</v>
      </c>
      <c r="M34" s="41">
        <f>IF(J34=0,0,40)</f>
        <v>0</v>
      </c>
      <c r="N34" s="42" t="s">
        <v>29</v>
      </c>
      <c r="O34" s="38">
        <f>ROUND(IF(J34=0,0,J34/M34),2)</f>
        <v>0</v>
      </c>
      <c r="P34" s="45"/>
      <c r="Q34" s="32">
        <f>ROUND(IF(J34=0,0,J34/12),2)</f>
        <v>0</v>
      </c>
    </row>
    <row r="35" spans="1:17" ht="13.5" customHeight="1">
      <c r="J35" s="36"/>
      <c r="K35" s="36"/>
      <c r="L35" s="40"/>
      <c r="M35" s="36"/>
      <c r="N35" s="42"/>
      <c r="O35" s="36"/>
      <c r="P35" s="46"/>
    </row>
    <row r="36" spans="1:17" ht="18.75" customHeight="1" thickBot="1">
      <c r="A36" s="45"/>
      <c r="B36" s="12" t="s">
        <v>40</v>
      </c>
      <c r="C36" s="46"/>
      <c r="D36" s="46"/>
      <c r="E36" s="46"/>
      <c r="F36" s="46"/>
      <c r="G36" s="46"/>
      <c r="H36" s="46"/>
      <c r="I36" s="46"/>
      <c r="J36" s="46"/>
      <c r="K36" s="46"/>
      <c r="M36" s="36"/>
      <c r="O36" s="52">
        <f>ROUND(IF(SUM(O7:O34)=0,0,SUM(O7:O34)),2)</f>
        <v>17.829999999999998</v>
      </c>
    </row>
    <row r="37" spans="1:17" ht="13.8" thickTop="1"/>
  </sheetData>
  <sheetProtection password="CDD6" sheet="1" objects="1" scenarios="1"/>
  <mergeCells count="17">
    <mergeCell ref="B30:E30"/>
    <mergeCell ref="B32:F32"/>
    <mergeCell ref="J32:K32"/>
    <mergeCell ref="B34:F34"/>
    <mergeCell ref="J34:K34"/>
    <mergeCell ref="J29:K29"/>
    <mergeCell ref="A1:O1"/>
    <mergeCell ref="A2:O2"/>
    <mergeCell ref="J5:K5"/>
    <mergeCell ref="J7:K7"/>
    <mergeCell ref="J11:K11"/>
    <mergeCell ref="J13:K13"/>
    <mergeCell ref="J16:K16"/>
    <mergeCell ref="J18:K18"/>
    <mergeCell ref="J22:K22"/>
    <mergeCell ref="J24:K24"/>
    <mergeCell ref="J26:K26"/>
  </mergeCells>
  <pageMargins left="0.5" right="0.5" top="0.5" bottom="0.5" header="0.25" footer="0.25"/>
  <pageSetup scale="76" orientation="portrait" r:id="rId1"/>
  <headerFooter alignWithMargins="0">
    <oddFooter>&amp;L&amp;F</oddFooter>
  </headerFooter>
  <colBreaks count="1" manualBreakCount="1">
    <brk id="16" max="1048575"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5"/>
  <dimension ref="A1:R37"/>
  <sheetViews>
    <sheetView showGridLines="0" zoomScale="90" zoomScaleNormal="100" workbookViewId="0">
      <selection activeCell="F7" sqref="F7"/>
    </sheetView>
  </sheetViews>
  <sheetFormatPr defaultRowHeight="13.2"/>
  <cols>
    <col min="1" max="1" width="4.21875" style="30" customWidth="1"/>
    <col min="2" max="2" width="2.5546875" style="2" customWidth="1"/>
    <col min="3" max="4" width="8.77734375" style="2"/>
    <col min="5" max="5" width="7.21875" style="2" customWidth="1"/>
    <col min="6" max="6" width="8.21875" style="2" customWidth="1"/>
    <col min="7" max="8" width="10.21875" style="2" customWidth="1"/>
    <col min="9" max="9" width="3.77734375" style="2" customWidth="1"/>
    <col min="10" max="10" width="8.77734375" style="2"/>
    <col min="11" max="11" width="6.21875" style="2" customWidth="1"/>
    <col min="12" max="12" width="5.5546875" style="2" customWidth="1"/>
    <col min="13" max="13" width="10.77734375" style="2" customWidth="1"/>
    <col min="14" max="14" width="8.21875" style="2" customWidth="1"/>
    <col min="15" max="15" width="12.21875" style="2" customWidth="1"/>
    <col min="16" max="16" width="10.21875" style="2" customWidth="1"/>
    <col min="17" max="17" width="9.21875" style="32" customWidth="1"/>
    <col min="18" max="256" width="8.77734375" style="2"/>
    <col min="257" max="257" width="4.21875" style="2" customWidth="1"/>
    <col min="258" max="258" width="2.5546875" style="2" customWidth="1"/>
    <col min="259" max="260" width="8.77734375" style="2"/>
    <col min="261" max="261" width="7.21875" style="2" customWidth="1"/>
    <col min="262" max="262" width="8.21875" style="2" customWidth="1"/>
    <col min="263" max="264" width="10.21875" style="2" customWidth="1"/>
    <col min="265" max="265" width="3.77734375" style="2" customWidth="1"/>
    <col min="266" max="266" width="8.77734375" style="2"/>
    <col min="267" max="267" width="6.21875" style="2" customWidth="1"/>
    <col min="268" max="268" width="5.5546875" style="2" customWidth="1"/>
    <col min="269" max="269" width="10.77734375" style="2" customWidth="1"/>
    <col min="270" max="270" width="8.21875" style="2" customWidth="1"/>
    <col min="271" max="271" width="12.21875" style="2" customWidth="1"/>
    <col min="272" max="272" width="10.21875" style="2" customWidth="1"/>
    <col min="273" max="273" width="9.21875" style="2" customWidth="1"/>
    <col min="274" max="512" width="8.77734375" style="2"/>
    <col min="513" max="513" width="4.21875" style="2" customWidth="1"/>
    <col min="514" max="514" width="2.5546875" style="2" customWidth="1"/>
    <col min="515" max="516" width="8.77734375" style="2"/>
    <col min="517" max="517" width="7.21875" style="2" customWidth="1"/>
    <col min="518" max="518" width="8.21875" style="2" customWidth="1"/>
    <col min="519" max="520" width="10.21875" style="2" customWidth="1"/>
    <col min="521" max="521" width="3.77734375" style="2" customWidth="1"/>
    <col min="522" max="522" width="8.77734375" style="2"/>
    <col min="523" max="523" width="6.21875" style="2" customWidth="1"/>
    <col min="524" max="524" width="5.5546875" style="2" customWidth="1"/>
    <col min="525" max="525" width="10.77734375" style="2" customWidth="1"/>
    <col min="526" max="526" width="8.21875" style="2" customWidth="1"/>
    <col min="527" max="527" width="12.21875" style="2" customWidth="1"/>
    <col min="528" max="528" width="10.21875" style="2" customWidth="1"/>
    <col min="529" max="529" width="9.21875" style="2" customWidth="1"/>
    <col min="530" max="768" width="8.77734375" style="2"/>
    <col min="769" max="769" width="4.21875" style="2" customWidth="1"/>
    <col min="770" max="770" width="2.5546875" style="2" customWidth="1"/>
    <col min="771" max="772" width="8.77734375" style="2"/>
    <col min="773" max="773" width="7.21875" style="2" customWidth="1"/>
    <col min="774" max="774" width="8.21875" style="2" customWidth="1"/>
    <col min="775" max="776" width="10.21875" style="2" customWidth="1"/>
    <col min="777" max="777" width="3.77734375" style="2" customWidth="1"/>
    <col min="778" max="778" width="8.77734375" style="2"/>
    <col min="779" max="779" width="6.21875" style="2" customWidth="1"/>
    <col min="780" max="780" width="5.5546875" style="2" customWidth="1"/>
    <col min="781" max="781" width="10.77734375" style="2" customWidth="1"/>
    <col min="782" max="782" width="8.21875" style="2" customWidth="1"/>
    <col min="783" max="783" width="12.21875" style="2" customWidth="1"/>
    <col min="784" max="784" width="10.21875" style="2" customWidth="1"/>
    <col min="785" max="785" width="9.21875" style="2" customWidth="1"/>
    <col min="786" max="1024" width="8.77734375" style="2"/>
    <col min="1025" max="1025" width="4.21875" style="2" customWidth="1"/>
    <col min="1026" max="1026" width="2.5546875" style="2" customWidth="1"/>
    <col min="1027" max="1028" width="8.77734375" style="2"/>
    <col min="1029" max="1029" width="7.21875" style="2" customWidth="1"/>
    <col min="1030" max="1030" width="8.21875" style="2" customWidth="1"/>
    <col min="1031" max="1032" width="10.21875" style="2" customWidth="1"/>
    <col min="1033" max="1033" width="3.77734375" style="2" customWidth="1"/>
    <col min="1034" max="1034" width="8.77734375" style="2"/>
    <col min="1035" max="1035" width="6.21875" style="2" customWidth="1"/>
    <col min="1036" max="1036" width="5.5546875" style="2" customWidth="1"/>
    <col min="1037" max="1037" width="10.77734375" style="2" customWidth="1"/>
    <col min="1038" max="1038" width="8.21875" style="2" customWidth="1"/>
    <col min="1039" max="1039" width="12.21875" style="2" customWidth="1"/>
    <col min="1040" max="1040" width="10.21875" style="2" customWidth="1"/>
    <col min="1041" max="1041" width="9.21875" style="2" customWidth="1"/>
    <col min="1042" max="1280" width="8.77734375" style="2"/>
    <col min="1281" max="1281" width="4.21875" style="2" customWidth="1"/>
    <col min="1282" max="1282" width="2.5546875" style="2" customWidth="1"/>
    <col min="1283" max="1284" width="8.77734375" style="2"/>
    <col min="1285" max="1285" width="7.21875" style="2" customWidth="1"/>
    <col min="1286" max="1286" width="8.21875" style="2" customWidth="1"/>
    <col min="1287" max="1288" width="10.21875" style="2" customWidth="1"/>
    <col min="1289" max="1289" width="3.77734375" style="2" customWidth="1"/>
    <col min="1290" max="1290" width="8.77734375" style="2"/>
    <col min="1291" max="1291" width="6.21875" style="2" customWidth="1"/>
    <col min="1292" max="1292" width="5.5546875" style="2" customWidth="1"/>
    <col min="1293" max="1293" width="10.77734375" style="2" customWidth="1"/>
    <col min="1294" max="1294" width="8.21875" style="2" customWidth="1"/>
    <col min="1295" max="1295" width="12.21875" style="2" customWidth="1"/>
    <col min="1296" max="1296" width="10.21875" style="2" customWidth="1"/>
    <col min="1297" max="1297" width="9.21875" style="2" customWidth="1"/>
    <col min="1298" max="1536" width="8.77734375" style="2"/>
    <col min="1537" max="1537" width="4.21875" style="2" customWidth="1"/>
    <col min="1538" max="1538" width="2.5546875" style="2" customWidth="1"/>
    <col min="1539" max="1540" width="8.77734375" style="2"/>
    <col min="1541" max="1541" width="7.21875" style="2" customWidth="1"/>
    <col min="1542" max="1542" width="8.21875" style="2" customWidth="1"/>
    <col min="1543" max="1544" width="10.21875" style="2" customWidth="1"/>
    <col min="1545" max="1545" width="3.77734375" style="2" customWidth="1"/>
    <col min="1546" max="1546" width="8.77734375" style="2"/>
    <col min="1547" max="1547" width="6.21875" style="2" customWidth="1"/>
    <col min="1548" max="1548" width="5.5546875" style="2" customWidth="1"/>
    <col min="1549" max="1549" width="10.77734375" style="2" customWidth="1"/>
    <col min="1550" max="1550" width="8.21875" style="2" customWidth="1"/>
    <col min="1551" max="1551" width="12.21875" style="2" customWidth="1"/>
    <col min="1552" max="1552" width="10.21875" style="2" customWidth="1"/>
    <col min="1553" max="1553" width="9.21875" style="2" customWidth="1"/>
    <col min="1554" max="1792" width="8.77734375" style="2"/>
    <col min="1793" max="1793" width="4.21875" style="2" customWidth="1"/>
    <col min="1794" max="1794" width="2.5546875" style="2" customWidth="1"/>
    <col min="1795" max="1796" width="8.77734375" style="2"/>
    <col min="1797" max="1797" width="7.21875" style="2" customWidth="1"/>
    <col min="1798" max="1798" width="8.21875" style="2" customWidth="1"/>
    <col min="1799" max="1800" width="10.21875" style="2" customWidth="1"/>
    <col min="1801" max="1801" width="3.77734375" style="2" customWidth="1"/>
    <col min="1802" max="1802" width="8.77734375" style="2"/>
    <col min="1803" max="1803" width="6.21875" style="2" customWidth="1"/>
    <col min="1804" max="1804" width="5.5546875" style="2" customWidth="1"/>
    <col min="1805" max="1805" width="10.77734375" style="2" customWidth="1"/>
    <col min="1806" max="1806" width="8.21875" style="2" customWidth="1"/>
    <col min="1807" max="1807" width="12.21875" style="2" customWidth="1"/>
    <col min="1808" max="1808" width="10.21875" style="2" customWidth="1"/>
    <col min="1809" max="1809" width="9.21875" style="2" customWidth="1"/>
    <col min="1810" max="2048" width="8.77734375" style="2"/>
    <col min="2049" max="2049" width="4.21875" style="2" customWidth="1"/>
    <col min="2050" max="2050" width="2.5546875" style="2" customWidth="1"/>
    <col min="2051" max="2052" width="8.77734375" style="2"/>
    <col min="2053" max="2053" width="7.21875" style="2" customWidth="1"/>
    <col min="2054" max="2054" width="8.21875" style="2" customWidth="1"/>
    <col min="2055" max="2056" width="10.21875" style="2" customWidth="1"/>
    <col min="2057" max="2057" width="3.77734375" style="2" customWidth="1"/>
    <col min="2058" max="2058" width="8.77734375" style="2"/>
    <col min="2059" max="2059" width="6.21875" style="2" customWidth="1"/>
    <col min="2060" max="2060" width="5.5546875" style="2" customWidth="1"/>
    <col min="2061" max="2061" width="10.77734375" style="2" customWidth="1"/>
    <col min="2062" max="2062" width="8.21875" style="2" customWidth="1"/>
    <col min="2063" max="2063" width="12.21875" style="2" customWidth="1"/>
    <col min="2064" max="2064" width="10.21875" style="2" customWidth="1"/>
    <col min="2065" max="2065" width="9.21875" style="2" customWidth="1"/>
    <col min="2066" max="2304" width="8.77734375" style="2"/>
    <col min="2305" max="2305" width="4.21875" style="2" customWidth="1"/>
    <col min="2306" max="2306" width="2.5546875" style="2" customWidth="1"/>
    <col min="2307" max="2308" width="8.77734375" style="2"/>
    <col min="2309" max="2309" width="7.21875" style="2" customWidth="1"/>
    <col min="2310" max="2310" width="8.21875" style="2" customWidth="1"/>
    <col min="2311" max="2312" width="10.21875" style="2" customWidth="1"/>
    <col min="2313" max="2313" width="3.77734375" style="2" customWidth="1"/>
    <col min="2314" max="2314" width="8.77734375" style="2"/>
    <col min="2315" max="2315" width="6.21875" style="2" customWidth="1"/>
    <col min="2316" max="2316" width="5.5546875" style="2" customWidth="1"/>
    <col min="2317" max="2317" width="10.77734375" style="2" customWidth="1"/>
    <col min="2318" max="2318" width="8.21875" style="2" customWidth="1"/>
    <col min="2319" max="2319" width="12.21875" style="2" customWidth="1"/>
    <col min="2320" max="2320" width="10.21875" style="2" customWidth="1"/>
    <col min="2321" max="2321" width="9.21875" style="2" customWidth="1"/>
    <col min="2322" max="2560" width="8.77734375" style="2"/>
    <col min="2561" max="2561" width="4.21875" style="2" customWidth="1"/>
    <col min="2562" max="2562" width="2.5546875" style="2" customWidth="1"/>
    <col min="2563" max="2564" width="8.77734375" style="2"/>
    <col min="2565" max="2565" width="7.21875" style="2" customWidth="1"/>
    <col min="2566" max="2566" width="8.21875" style="2" customWidth="1"/>
    <col min="2567" max="2568" width="10.21875" style="2" customWidth="1"/>
    <col min="2569" max="2569" width="3.77734375" style="2" customWidth="1"/>
    <col min="2570" max="2570" width="8.77734375" style="2"/>
    <col min="2571" max="2571" width="6.21875" style="2" customWidth="1"/>
    <col min="2572" max="2572" width="5.5546875" style="2" customWidth="1"/>
    <col min="2573" max="2573" width="10.77734375" style="2" customWidth="1"/>
    <col min="2574" max="2574" width="8.21875" style="2" customWidth="1"/>
    <col min="2575" max="2575" width="12.21875" style="2" customWidth="1"/>
    <col min="2576" max="2576" width="10.21875" style="2" customWidth="1"/>
    <col min="2577" max="2577" width="9.21875" style="2" customWidth="1"/>
    <col min="2578" max="2816" width="8.77734375" style="2"/>
    <col min="2817" max="2817" width="4.21875" style="2" customWidth="1"/>
    <col min="2818" max="2818" width="2.5546875" style="2" customWidth="1"/>
    <col min="2819" max="2820" width="8.77734375" style="2"/>
    <col min="2821" max="2821" width="7.21875" style="2" customWidth="1"/>
    <col min="2822" max="2822" width="8.21875" style="2" customWidth="1"/>
    <col min="2823" max="2824" width="10.21875" style="2" customWidth="1"/>
    <col min="2825" max="2825" width="3.77734375" style="2" customWidth="1"/>
    <col min="2826" max="2826" width="8.77734375" style="2"/>
    <col min="2827" max="2827" width="6.21875" style="2" customWidth="1"/>
    <col min="2828" max="2828" width="5.5546875" style="2" customWidth="1"/>
    <col min="2829" max="2829" width="10.77734375" style="2" customWidth="1"/>
    <col min="2830" max="2830" width="8.21875" style="2" customWidth="1"/>
    <col min="2831" max="2831" width="12.21875" style="2" customWidth="1"/>
    <col min="2832" max="2832" width="10.21875" style="2" customWidth="1"/>
    <col min="2833" max="2833" width="9.21875" style="2" customWidth="1"/>
    <col min="2834" max="3072" width="8.77734375" style="2"/>
    <col min="3073" max="3073" width="4.21875" style="2" customWidth="1"/>
    <col min="3074" max="3074" width="2.5546875" style="2" customWidth="1"/>
    <col min="3075" max="3076" width="8.77734375" style="2"/>
    <col min="3077" max="3077" width="7.21875" style="2" customWidth="1"/>
    <col min="3078" max="3078" width="8.21875" style="2" customWidth="1"/>
    <col min="3079" max="3080" width="10.21875" style="2" customWidth="1"/>
    <col min="3081" max="3081" width="3.77734375" style="2" customWidth="1"/>
    <col min="3082" max="3082" width="8.77734375" style="2"/>
    <col min="3083" max="3083" width="6.21875" style="2" customWidth="1"/>
    <col min="3084" max="3084" width="5.5546875" style="2" customWidth="1"/>
    <col min="3085" max="3085" width="10.77734375" style="2" customWidth="1"/>
    <col min="3086" max="3086" width="8.21875" style="2" customWidth="1"/>
    <col min="3087" max="3087" width="12.21875" style="2" customWidth="1"/>
    <col min="3088" max="3088" width="10.21875" style="2" customWidth="1"/>
    <col min="3089" max="3089" width="9.21875" style="2" customWidth="1"/>
    <col min="3090" max="3328" width="8.77734375" style="2"/>
    <col min="3329" max="3329" width="4.21875" style="2" customWidth="1"/>
    <col min="3330" max="3330" width="2.5546875" style="2" customWidth="1"/>
    <col min="3331" max="3332" width="8.77734375" style="2"/>
    <col min="3333" max="3333" width="7.21875" style="2" customWidth="1"/>
    <col min="3334" max="3334" width="8.21875" style="2" customWidth="1"/>
    <col min="3335" max="3336" width="10.21875" style="2" customWidth="1"/>
    <col min="3337" max="3337" width="3.77734375" style="2" customWidth="1"/>
    <col min="3338" max="3338" width="8.77734375" style="2"/>
    <col min="3339" max="3339" width="6.21875" style="2" customWidth="1"/>
    <col min="3340" max="3340" width="5.5546875" style="2" customWidth="1"/>
    <col min="3341" max="3341" width="10.77734375" style="2" customWidth="1"/>
    <col min="3342" max="3342" width="8.21875" style="2" customWidth="1"/>
    <col min="3343" max="3343" width="12.21875" style="2" customWidth="1"/>
    <col min="3344" max="3344" width="10.21875" style="2" customWidth="1"/>
    <col min="3345" max="3345" width="9.21875" style="2" customWidth="1"/>
    <col min="3346" max="3584" width="8.77734375" style="2"/>
    <col min="3585" max="3585" width="4.21875" style="2" customWidth="1"/>
    <col min="3586" max="3586" width="2.5546875" style="2" customWidth="1"/>
    <col min="3587" max="3588" width="8.77734375" style="2"/>
    <col min="3589" max="3589" width="7.21875" style="2" customWidth="1"/>
    <col min="3590" max="3590" width="8.21875" style="2" customWidth="1"/>
    <col min="3591" max="3592" width="10.21875" style="2" customWidth="1"/>
    <col min="3593" max="3593" width="3.77734375" style="2" customWidth="1"/>
    <col min="3594" max="3594" width="8.77734375" style="2"/>
    <col min="3595" max="3595" width="6.21875" style="2" customWidth="1"/>
    <col min="3596" max="3596" width="5.5546875" style="2" customWidth="1"/>
    <col min="3597" max="3597" width="10.77734375" style="2" customWidth="1"/>
    <col min="3598" max="3598" width="8.21875" style="2" customWidth="1"/>
    <col min="3599" max="3599" width="12.21875" style="2" customWidth="1"/>
    <col min="3600" max="3600" width="10.21875" style="2" customWidth="1"/>
    <col min="3601" max="3601" width="9.21875" style="2" customWidth="1"/>
    <col min="3602" max="3840" width="8.77734375" style="2"/>
    <col min="3841" max="3841" width="4.21875" style="2" customWidth="1"/>
    <col min="3842" max="3842" width="2.5546875" style="2" customWidth="1"/>
    <col min="3843" max="3844" width="8.77734375" style="2"/>
    <col min="3845" max="3845" width="7.21875" style="2" customWidth="1"/>
    <col min="3846" max="3846" width="8.21875" style="2" customWidth="1"/>
    <col min="3847" max="3848" width="10.21875" style="2" customWidth="1"/>
    <col min="3849" max="3849" width="3.77734375" style="2" customWidth="1"/>
    <col min="3850" max="3850" width="8.77734375" style="2"/>
    <col min="3851" max="3851" width="6.21875" style="2" customWidth="1"/>
    <col min="3852" max="3852" width="5.5546875" style="2" customWidth="1"/>
    <col min="3853" max="3853" width="10.77734375" style="2" customWidth="1"/>
    <col min="3854" max="3854" width="8.21875" style="2" customWidth="1"/>
    <col min="3855" max="3855" width="12.21875" style="2" customWidth="1"/>
    <col min="3856" max="3856" width="10.21875" style="2" customWidth="1"/>
    <col min="3857" max="3857" width="9.21875" style="2" customWidth="1"/>
    <col min="3858" max="4096" width="8.77734375" style="2"/>
    <col min="4097" max="4097" width="4.21875" style="2" customWidth="1"/>
    <col min="4098" max="4098" width="2.5546875" style="2" customWidth="1"/>
    <col min="4099" max="4100" width="8.77734375" style="2"/>
    <col min="4101" max="4101" width="7.21875" style="2" customWidth="1"/>
    <col min="4102" max="4102" width="8.21875" style="2" customWidth="1"/>
    <col min="4103" max="4104" width="10.21875" style="2" customWidth="1"/>
    <col min="4105" max="4105" width="3.77734375" style="2" customWidth="1"/>
    <col min="4106" max="4106" width="8.77734375" style="2"/>
    <col min="4107" max="4107" width="6.21875" style="2" customWidth="1"/>
    <col min="4108" max="4108" width="5.5546875" style="2" customWidth="1"/>
    <col min="4109" max="4109" width="10.77734375" style="2" customWidth="1"/>
    <col min="4110" max="4110" width="8.21875" style="2" customWidth="1"/>
    <col min="4111" max="4111" width="12.21875" style="2" customWidth="1"/>
    <col min="4112" max="4112" width="10.21875" style="2" customWidth="1"/>
    <col min="4113" max="4113" width="9.21875" style="2" customWidth="1"/>
    <col min="4114" max="4352" width="8.77734375" style="2"/>
    <col min="4353" max="4353" width="4.21875" style="2" customWidth="1"/>
    <col min="4354" max="4354" width="2.5546875" style="2" customWidth="1"/>
    <col min="4355" max="4356" width="8.77734375" style="2"/>
    <col min="4357" max="4357" width="7.21875" style="2" customWidth="1"/>
    <col min="4358" max="4358" width="8.21875" style="2" customWidth="1"/>
    <col min="4359" max="4360" width="10.21875" style="2" customWidth="1"/>
    <col min="4361" max="4361" width="3.77734375" style="2" customWidth="1"/>
    <col min="4362" max="4362" width="8.77734375" style="2"/>
    <col min="4363" max="4363" width="6.21875" style="2" customWidth="1"/>
    <col min="4364" max="4364" width="5.5546875" style="2" customWidth="1"/>
    <col min="4365" max="4365" width="10.77734375" style="2" customWidth="1"/>
    <col min="4366" max="4366" width="8.21875" style="2" customWidth="1"/>
    <col min="4367" max="4367" width="12.21875" style="2" customWidth="1"/>
    <col min="4368" max="4368" width="10.21875" style="2" customWidth="1"/>
    <col min="4369" max="4369" width="9.21875" style="2" customWidth="1"/>
    <col min="4370" max="4608" width="8.77734375" style="2"/>
    <col min="4609" max="4609" width="4.21875" style="2" customWidth="1"/>
    <col min="4610" max="4610" width="2.5546875" style="2" customWidth="1"/>
    <col min="4611" max="4612" width="8.77734375" style="2"/>
    <col min="4613" max="4613" width="7.21875" style="2" customWidth="1"/>
    <col min="4614" max="4614" width="8.21875" style="2" customWidth="1"/>
    <col min="4615" max="4616" width="10.21875" style="2" customWidth="1"/>
    <col min="4617" max="4617" width="3.77734375" style="2" customWidth="1"/>
    <col min="4618" max="4618" width="8.77734375" style="2"/>
    <col min="4619" max="4619" width="6.21875" style="2" customWidth="1"/>
    <col min="4620" max="4620" width="5.5546875" style="2" customWidth="1"/>
    <col min="4621" max="4621" width="10.77734375" style="2" customWidth="1"/>
    <col min="4622" max="4622" width="8.21875" style="2" customWidth="1"/>
    <col min="4623" max="4623" width="12.21875" style="2" customWidth="1"/>
    <col min="4624" max="4624" width="10.21875" style="2" customWidth="1"/>
    <col min="4625" max="4625" width="9.21875" style="2" customWidth="1"/>
    <col min="4626" max="4864" width="8.77734375" style="2"/>
    <col min="4865" max="4865" width="4.21875" style="2" customWidth="1"/>
    <col min="4866" max="4866" width="2.5546875" style="2" customWidth="1"/>
    <col min="4867" max="4868" width="8.77734375" style="2"/>
    <col min="4869" max="4869" width="7.21875" style="2" customWidth="1"/>
    <col min="4870" max="4870" width="8.21875" style="2" customWidth="1"/>
    <col min="4871" max="4872" width="10.21875" style="2" customWidth="1"/>
    <col min="4873" max="4873" width="3.77734375" style="2" customWidth="1"/>
    <col min="4874" max="4874" width="8.77734375" style="2"/>
    <col min="4875" max="4875" width="6.21875" style="2" customWidth="1"/>
    <col min="4876" max="4876" width="5.5546875" style="2" customWidth="1"/>
    <col min="4877" max="4877" width="10.77734375" style="2" customWidth="1"/>
    <col min="4878" max="4878" width="8.21875" style="2" customWidth="1"/>
    <col min="4879" max="4879" width="12.21875" style="2" customWidth="1"/>
    <col min="4880" max="4880" width="10.21875" style="2" customWidth="1"/>
    <col min="4881" max="4881" width="9.21875" style="2" customWidth="1"/>
    <col min="4882" max="5120" width="8.77734375" style="2"/>
    <col min="5121" max="5121" width="4.21875" style="2" customWidth="1"/>
    <col min="5122" max="5122" width="2.5546875" style="2" customWidth="1"/>
    <col min="5123" max="5124" width="8.77734375" style="2"/>
    <col min="5125" max="5125" width="7.21875" style="2" customWidth="1"/>
    <col min="5126" max="5126" width="8.21875" style="2" customWidth="1"/>
    <col min="5127" max="5128" width="10.21875" style="2" customWidth="1"/>
    <col min="5129" max="5129" width="3.77734375" style="2" customWidth="1"/>
    <col min="5130" max="5130" width="8.77734375" style="2"/>
    <col min="5131" max="5131" width="6.21875" style="2" customWidth="1"/>
    <col min="5132" max="5132" width="5.5546875" style="2" customWidth="1"/>
    <col min="5133" max="5133" width="10.77734375" style="2" customWidth="1"/>
    <col min="5134" max="5134" width="8.21875" style="2" customWidth="1"/>
    <col min="5135" max="5135" width="12.21875" style="2" customWidth="1"/>
    <col min="5136" max="5136" width="10.21875" style="2" customWidth="1"/>
    <col min="5137" max="5137" width="9.21875" style="2" customWidth="1"/>
    <col min="5138" max="5376" width="8.77734375" style="2"/>
    <col min="5377" max="5377" width="4.21875" style="2" customWidth="1"/>
    <col min="5378" max="5378" width="2.5546875" style="2" customWidth="1"/>
    <col min="5379" max="5380" width="8.77734375" style="2"/>
    <col min="5381" max="5381" width="7.21875" style="2" customWidth="1"/>
    <col min="5382" max="5382" width="8.21875" style="2" customWidth="1"/>
    <col min="5383" max="5384" width="10.21875" style="2" customWidth="1"/>
    <col min="5385" max="5385" width="3.77734375" style="2" customWidth="1"/>
    <col min="5386" max="5386" width="8.77734375" style="2"/>
    <col min="5387" max="5387" width="6.21875" style="2" customWidth="1"/>
    <col min="5388" max="5388" width="5.5546875" style="2" customWidth="1"/>
    <col min="5389" max="5389" width="10.77734375" style="2" customWidth="1"/>
    <col min="5390" max="5390" width="8.21875" style="2" customWidth="1"/>
    <col min="5391" max="5391" width="12.21875" style="2" customWidth="1"/>
    <col min="5392" max="5392" width="10.21875" style="2" customWidth="1"/>
    <col min="5393" max="5393" width="9.21875" style="2" customWidth="1"/>
    <col min="5394" max="5632" width="8.77734375" style="2"/>
    <col min="5633" max="5633" width="4.21875" style="2" customWidth="1"/>
    <col min="5634" max="5634" width="2.5546875" style="2" customWidth="1"/>
    <col min="5635" max="5636" width="8.77734375" style="2"/>
    <col min="5637" max="5637" width="7.21875" style="2" customWidth="1"/>
    <col min="5638" max="5638" width="8.21875" style="2" customWidth="1"/>
    <col min="5639" max="5640" width="10.21875" style="2" customWidth="1"/>
    <col min="5641" max="5641" width="3.77734375" style="2" customWidth="1"/>
    <col min="5642" max="5642" width="8.77734375" style="2"/>
    <col min="5643" max="5643" width="6.21875" style="2" customWidth="1"/>
    <col min="5644" max="5644" width="5.5546875" style="2" customWidth="1"/>
    <col min="5645" max="5645" width="10.77734375" style="2" customWidth="1"/>
    <col min="5646" max="5646" width="8.21875" style="2" customWidth="1"/>
    <col min="5647" max="5647" width="12.21875" style="2" customWidth="1"/>
    <col min="5648" max="5648" width="10.21875" style="2" customWidth="1"/>
    <col min="5649" max="5649" width="9.21875" style="2" customWidth="1"/>
    <col min="5650" max="5888" width="8.77734375" style="2"/>
    <col min="5889" max="5889" width="4.21875" style="2" customWidth="1"/>
    <col min="5890" max="5890" width="2.5546875" style="2" customWidth="1"/>
    <col min="5891" max="5892" width="8.77734375" style="2"/>
    <col min="5893" max="5893" width="7.21875" style="2" customWidth="1"/>
    <col min="5894" max="5894" width="8.21875" style="2" customWidth="1"/>
    <col min="5895" max="5896" width="10.21875" style="2" customWidth="1"/>
    <col min="5897" max="5897" width="3.77734375" style="2" customWidth="1"/>
    <col min="5898" max="5898" width="8.77734375" style="2"/>
    <col min="5899" max="5899" width="6.21875" style="2" customWidth="1"/>
    <col min="5900" max="5900" width="5.5546875" style="2" customWidth="1"/>
    <col min="5901" max="5901" width="10.77734375" style="2" customWidth="1"/>
    <col min="5902" max="5902" width="8.21875" style="2" customWidth="1"/>
    <col min="5903" max="5903" width="12.21875" style="2" customWidth="1"/>
    <col min="5904" max="5904" width="10.21875" style="2" customWidth="1"/>
    <col min="5905" max="5905" width="9.21875" style="2" customWidth="1"/>
    <col min="5906" max="6144" width="8.77734375" style="2"/>
    <col min="6145" max="6145" width="4.21875" style="2" customWidth="1"/>
    <col min="6146" max="6146" width="2.5546875" style="2" customWidth="1"/>
    <col min="6147" max="6148" width="8.77734375" style="2"/>
    <col min="6149" max="6149" width="7.21875" style="2" customWidth="1"/>
    <col min="6150" max="6150" width="8.21875" style="2" customWidth="1"/>
    <col min="6151" max="6152" width="10.21875" style="2" customWidth="1"/>
    <col min="6153" max="6153" width="3.77734375" style="2" customWidth="1"/>
    <col min="6154" max="6154" width="8.77734375" style="2"/>
    <col min="6155" max="6155" width="6.21875" style="2" customWidth="1"/>
    <col min="6156" max="6156" width="5.5546875" style="2" customWidth="1"/>
    <col min="6157" max="6157" width="10.77734375" style="2" customWidth="1"/>
    <col min="6158" max="6158" width="8.21875" style="2" customWidth="1"/>
    <col min="6159" max="6159" width="12.21875" style="2" customWidth="1"/>
    <col min="6160" max="6160" width="10.21875" style="2" customWidth="1"/>
    <col min="6161" max="6161" width="9.21875" style="2" customWidth="1"/>
    <col min="6162" max="6400" width="8.77734375" style="2"/>
    <col min="6401" max="6401" width="4.21875" style="2" customWidth="1"/>
    <col min="6402" max="6402" width="2.5546875" style="2" customWidth="1"/>
    <col min="6403" max="6404" width="8.77734375" style="2"/>
    <col min="6405" max="6405" width="7.21875" style="2" customWidth="1"/>
    <col min="6406" max="6406" width="8.21875" style="2" customWidth="1"/>
    <col min="6407" max="6408" width="10.21875" style="2" customWidth="1"/>
    <col min="6409" max="6409" width="3.77734375" style="2" customWidth="1"/>
    <col min="6410" max="6410" width="8.77734375" style="2"/>
    <col min="6411" max="6411" width="6.21875" style="2" customWidth="1"/>
    <col min="6412" max="6412" width="5.5546875" style="2" customWidth="1"/>
    <col min="6413" max="6413" width="10.77734375" style="2" customWidth="1"/>
    <col min="6414" max="6414" width="8.21875" style="2" customWidth="1"/>
    <col min="6415" max="6415" width="12.21875" style="2" customWidth="1"/>
    <col min="6416" max="6416" width="10.21875" style="2" customWidth="1"/>
    <col min="6417" max="6417" width="9.21875" style="2" customWidth="1"/>
    <col min="6418" max="6656" width="8.77734375" style="2"/>
    <col min="6657" max="6657" width="4.21875" style="2" customWidth="1"/>
    <col min="6658" max="6658" width="2.5546875" style="2" customWidth="1"/>
    <col min="6659" max="6660" width="8.77734375" style="2"/>
    <col min="6661" max="6661" width="7.21875" style="2" customWidth="1"/>
    <col min="6662" max="6662" width="8.21875" style="2" customWidth="1"/>
    <col min="6663" max="6664" width="10.21875" style="2" customWidth="1"/>
    <col min="6665" max="6665" width="3.77734375" style="2" customWidth="1"/>
    <col min="6666" max="6666" width="8.77734375" style="2"/>
    <col min="6667" max="6667" width="6.21875" style="2" customWidth="1"/>
    <col min="6668" max="6668" width="5.5546875" style="2" customWidth="1"/>
    <col min="6669" max="6669" width="10.77734375" style="2" customWidth="1"/>
    <col min="6670" max="6670" width="8.21875" style="2" customWidth="1"/>
    <col min="6671" max="6671" width="12.21875" style="2" customWidth="1"/>
    <col min="6672" max="6672" width="10.21875" style="2" customWidth="1"/>
    <col min="6673" max="6673" width="9.21875" style="2" customWidth="1"/>
    <col min="6674" max="6912" width="8.77734375" style="2"/>
    <col min="6913" max="6913" width="4.21875" style="2" customWidth="1"/>
    <col min="6914" max="6914" width="2.5546875" style="2" customWidth="1"/>
    <col min="6915" max="6916" width="8.77734375" style="2"/>
    <col min="6917" max="6917" width="7.21875" style="2" customWidth="1"/>
    <col min="6918" max="6918" width="8.21875" style="2" customWidth="1"/>
    <col min="6919" max="6920" width="10.21875" style="2" customWidth="1"/>
    <col min="6921" max="6921" width="3.77734375" style="2" customWidth="1"/>
    <col min="6922" max="6922" width="8.77734375" style="2"/>
    <col min="6923" max="6923" width="6.21875" style="2" customWidth="1"/>
    <col min="6924" max="6924" width="5.5546875" style="2" customWidth="1"/>
    <col min="6925" max="6925" width="10.77734375" style="2" customWidth="1"/>
    <col min="6926" max="6926" width="8.21875" style="2" customWidth="1"/>
    <col min="6927" max="6927" width="12.21875" style="2" customWidth="1"/>
    <col min="6928" max="6928" width="10.21875" style="2" customWidth="1"/>
    <col min="6929" max="6929" width="9.21875" style="2" customWidth="1"/>
    <col min="6930" max="7168" width="8.77734375" style="2"/>
    <col min="7169" max="7169" width="4.21875" style="2" customWidth="1"/>
    <col min="7170" max="7170" width="2.5546875" style="2" customWidth="1"/>
    <col min="7171" max="7172" width="8.77734375" style="2"/>
    <col min="7173" max="7173" width="7.21875" style="2" customWidth="1"/>
    <col min="7174" max="7174" width="8.21875" style="2" customWidth="1"/>
    <col min="7175" max="7176" width="10.21875" style="2" customWidth="1"/>
    <col min="7177" max="7177" width="3.77734375" style="2" customWidth="1"/>
    <col min="7178" max="7178" width="8.77734375" style="2"/>
    <col min="7179" max="7179" width="6.21875" style="2" customWidth="1"/>
    <col min="7180" max="7180" width="5.5546875" style="2" customWidth="1"/>
    <col min="7181" max="7181" width="10.77734375" style="2" customWidth="1"/>
    <col min="7182" max="7182" width="8.21875" style="2" customWidth="1"/>
    <col min="7183" max="7183" width="12.21875" style="2" customWidth="1"/>
    <col min="7184" max="7184" width="10.21875" style="2" customWidth="1"/>
    <col min="7185" max="7185" width="9.21875" style="2" customWidth="1"/>
    <col min="7186" max="7424" width="8.77734375" style="2"/>
    <col min="7425" max="7425" width="4.21875" style="2" customWidth="1"/>
    <col min="7426" max="7426" width="2.5546875" style="2" customWidth="1"/>
    <col min="7427" max="7428" width="8.77734375" style="2"/>
    <col min="7429" max="7429" width="7.21875" style="2" customWidth="1"/>
    <col min="7430" max="7430" width="8.21875" style="2" customWidth="1"/>
    <col min="7431" max="7432" width="10.21875" style="2" customWidth="1"/>
    <col min="7433" max="7433" width="3.77734375" style="2" customWidth="1"/>
    <col min="7434" max="7434" width="8.77734375" style="2"/>
    <col min="7435" max="7435" width="6.21875" style="2" customWidth="1"/>
    <col min="7436" max="7436" width="5.5546875" style="2" customWidth="1"/>
    <col min="7437" max="7437" width="10.77734375" style="2" customWidth="1"/>
    <col min="7438" max="7438" width="8.21875" style="2" customWidth="1"/>
    <col min="7439" max="7439" width="12.21875" style="2" customWidth="1"/>
    <col min="7440" max="7440" width="10.21875" style="2" customWidth="1"/>
    <col min="7441" max="7441" width="9.21875" style="2" customWidth="1"/>
    <col min="7442" max="7680" width="8.77734375" style="2"/>
    <col min="7681" max="7681" width="4.21875" style="2" customWidth="1"/>
    <col min="7682" max="7682" width="2.5546875" style="2" customWidth="1"/>
    <col min="7683" max="7684" width="8.77734375" style="2"/>
    <col min="7685" max="7685" width="7.21875" style="2" customWidth="1"/>
    <col min="7686" max="7686" width="8.21875" style="2" customWidth="1"/>
    <col min="7687" max="7688" width="10.21875" style="2" customWidth="1"/>
    <col min="7689" max="7689" width="3.77734375" style="2" customWidth="1"/>
    <col min="7690" max="7690" width="8.77734375" style="2"/>
    <col min="7691" max="7691" width="6.21875" style="2" customWidth="1"/>
    <col min="7692" max="7692" width="5.5546875" style="2" customWidth="1"/>
    <col min="7693" max="7693" width="10.77734375" style="2" customWidth="1"/>
    <col min="7694" max="7694" width="8.21875" style="2" customWidth="1"/>
    <col min="7695" max="7695" width="12.21875" style="2" customWidth="1"/>
    <col min="7696" max="7696" width="10.21875" style="2" customWidth="1"/>
    <col min="7697" max="7697" width="9.21875" style="2" customWidth="1"/>
    <col min="7698" max="7936" width="8.77734375" style="2"/>
    <col min="7937" max="7937" width="4.21875" style="2" customWidth="1"/>
    <col min="7938" max="7938" width="2.5546875" style="2" customWidth="1"/>
    <col min="7939" max="7940" width="8.77734375" style="2"/>
    <col min="7941" max="7941" width="7.21875" style="2" customWidth="1"/>
    <col min="7942" max="7942" width="8.21875" style="2" customWidth="1"/>
    <col min="7943" max="7944" width="10.21875" style="2" customWidth="1"/>
    <col min="7945" max="7945" width="3.77734375" style="2" customWidth="1"/>
    <col min="7946" max="7946" width="8.77734375" style="2"/>
    <col min="7947" max="7947" width="6.21875" style="2" customWidth="1"/>
    <col min="7948" max="7948" width="5.5546875" style="2" customWidth="1"/>
    <col min="7949" max="7949" width="10.77734375" style="2" customWidth="1"/>
    <col min="7950" max="7950" width="8.21875" style="2" customWidth="1"/>
    <col min="7951" max="7951" width="12.21875" style="2" customWidth="1"/>
    <col min="7952" max="7952" width="10.21875" style="2" customWidth="1"/>
    <col min="7953" max="7953" width="9.21875" style="2" customWidth="1"/>
    <col min="7954" max="8192" width="8.77734375" style="2"/>
    <col min="8193" max="8193" width="4.21875" style="2" customWidth="1"/>
    <col min="8194" max="8194" width="2.5546875" style="2" customWidth="1"/>
    <col min="8195" max="8196" width="8.77734375" style="2"/>
    <col min="8197" max="8197" width="7.21875" style="2" customWidth="1"/>
    <col min="8198" max="8198" width="8.21875" style="2" customWidth="1"/>
    <col min="8199" max="8200" width="10.21875" style="2" customWidth="1"/>
    <col min="8201" max="8201" width="3.77734375" style="2" customWidth="1"/>
    <col min="8202" max="8202" width="8.77734375" style="2"/>
    <col min="8203" max="8203" width="6.21875" style="2" customWidth="1"/>
    <col min="8204" max="8204" width="5.5546875" style="2" customWidth="1"/>
    <col min="8205" max="8205" width="10.77734375" style="2" customWidth="1"/>
    <col min="8206" max="8206" width="8.21875" style="2" customWidth="1"/>
    <col min="8207" max="8207" width="12.21875" style="2" customWidth="1"/>
    <col min="8208" max="8208" width="10.21875" style="2" customWidth="1"/>
    <col min="8209" max="8209" width="9.21875" style="2" customWidth="1"/>
    <col min="8210" max="8448" width="8.77734375" style="2"/>
    <col min="8449" max="8449" width="4.21875" style="2" customWidth="1"/>
    <col min="8450" max="8450" width="2.5546875" style="2" customWidth="1"/>
    <col min="8451" max="8452" width="8.77734375" style="2"/>
    <col min="8453" max="8453" width="7.21875" style="2" customWidth="1"/>
    <col min="8454" max="8454" width="8.21875" style="2" customWidth="1"/>
    <col min="8455" max="8456" width="10.21875" style="2" customWidth="1"/>
    <col min="8457" max="8457" width="3.77734375" style="2" customWidth="1"/>
    <col min="8458" max="8458" width="8.77734375" style="2"/>
    <col min="8459" max="8459" width="6.21875" style="2" customWidth="1"/>
    <col min="8460" max="8460" width="5.5546875" style="2" customWidth="1"/>
    <col min="8461" max="8461" width="10.77734375" style="2" customWidth="1"/>
    <col min="8462" max="8462" width="8.21875" style="2" customWidth="1"/>
    <col min="8463" max="8463" width="12.21875" style="2" customWidth="1"/>
    <col min="8464" max="8464" width="10.21875" style="2" customWidth="1"/>
    <col min="8465" max="8465" width="9.21875" style="2" customWidth="1"/>
    <col min="8466" max="8704" width="8.77734375" style="2"/>
    <col min="8705" max="8705" width="4.21875" style="2" customWidth="1"/>
    <col min="8706" max="8706" width="2.5546875" style="2" customWidth="1"/>
    <col min="8707" max="8708" width="8.77734375" style="2"/>
    <col min="8709" max="8709" width="7.21875" style="2" customWidth="1"/>
    <col min="8710" max="8710" width="8.21875" style="2" customWidth="1"/>
    <col min="8711" max="8712" width="10.21875" style="2" customWidth="1"/>
    <col min="8713" max="8713" width="3.77734375" style="2" customWidth="1"/>
    <col min="8714" max="8714" width="8.77734375" style="2"/>
    <col min="8715" max="8715" width="6.21875" style="2" customWidth="1"/>
    <col min="8716" max="8716" width="5.5546875" style="2" customWidth="1"/>
    <col min="8717" max="8717" width="10.77734375" style="2" customWidth="1"/>
    <col min="8718" max="8718" width="8.21875" style="2" customWidth="1"/>
    <col min="8719" max="8719" width="12.21875" style="2" customWidth="1"/>
    <col min="8720" max="8720" width="10.21875" style="2" customWidth="1"/>
    <col min="8721" max="8721" width="9.21875" style="2" customWidth="1"/>
    <col min="8722" max="8960" width="8.77734375" style="2"/>
    <col min="8961" max="8961" width="4.21875" style="2" customWidth="1"/>
    <col min="8962" max="8962" width="2.5546875" style="2" customWidth="1"/>
    <col min="8963" max="8964" width="8.77734375" style="2"/>
    <col min="8965" max="8965" width="7.21875" style="2" customWidth="1"/>
    <col min="8966" max="8966" width="8.21875" style="2" customWidth="1"/>
    <col min="8967" max="8968" width="10.21875" style="2" customWidth="1"/>
    <col min="8969" max="8969" width="3.77734375" style="2" customWidth="1"/>
    <col min="8970" max="8970" width="8.77734375" style="2"/>
    <col min="8971" max="8971" width="6.21875" style="2" customWidth="1"/>
    <col min="8972" max="8972" width="5.5546875" style="2" customWidth="1"/>
    <col min="8973" max="8973" width="10.77734375" style="2" customWidth="1"/>
    <col min="8974" max="8974" width="8.21875" style="2" customWidth="1"/>
    <col min="8975" max="8975" width="12.21875" style="2" customWidth="1"/>
    <col min="8976" max="8976" width="10.21875" style="2" customWidth="1"/>
    <col min="8977" max="8977" width="9.21875" style="2" customWidth="1"/>
    <col min="8978" max="9216" width="8.77734375" style="2"/>
    <col min="9217" max="9217" width="4.21875" style="2" customWidth="1"/>
    <col min="9218" max="9218" width="2.5546875" style="2" customWidth="1"/>
    <col min="9219" max="9220" width="8.77734375" style="2"/>
    <col min="9221" max="9221" width="7.21875" style="2" customWidth="1"/>
    <col min="9222" max="9222" width="8.21875" style="2" customWidth="1"/>
    <col min="9223" max="9224" width="10.21875" style="2" customWidth="1"/>
    <col min="9225" max="9225" width="3.77734375" style="2" customWidth="1"/>
    <col min="9226" max="9226" width="8.77734375" style="2"/>
    <col min="9227" max="9227" width="6.21875" style="2" customWidth="1"/>
    <col min="9228" max="9228" width="5.5546875" style="2" customWidth="1"/>
    <col min="9229" max="9229" width="10.77734375" style="2" customWidth="1"/>
    <col min="9230" max="9230" width="8.21875" style="2" customWidth="1"/>
    <col min="9231" max="9231" width="12.21875" style="2" customWidth="1"/>
    <col min="9232" max="9232" width="10.21875" style="2" customWidth="1"/>
    <col min="9233" max="9233" width="9.21875" style="2" customWidth="1"/>
    <col min="9234" max="9472" width="8.77734375" style="2"/>
    <col min="9473" max="9473" width="4.21875" style="2" customWidth="1"/>
    <col min="9474" max="9474" width="2.5546875" style="2" customWidth="1"/>
    <col min="9475" max="9476" width="8.77734375" style="2"/>
    <col min="9477" max="9477" width="7.21875" style="2" customWidth="1"/>
    <col min="9478" max="9478" width="8.21875" style="2" customWidth="1"/>
    <col min="9479" max="9480" width="10.21875" style="2" customWidth="1"/>
    <col min="9481" max="9481" width="3.77734375" style="2" customWidth="1"/>
    <col min="9482" max="9482" width="8.77734375" style="2"/>
    <col min="9483" max="9483" width="6.21875" style="2" customWidth="1"/>
    <col min="9484" max="9484" width="5.5546875" style="2" customWidth="1"/>
    <col min="9485" max="9485" width="10.77734375" style="2" customWidth="1"/>
    <col min="9486" max="9486" width="8.21875" style="2" customWidth="1"/>
    <col min="9487" max="9487" width="12.21875" style="2" customWidth="1"/>
    <col min="9488" max="9488" width="10.21875" style="2" customWidth="1"/>
    <col min="9489" max="9489" width="9.21875" style="2" customWidth="1"/>
    <col min="9490" max="9728" width="8.77734375" style="2"/>
    <col min="9729" max="9729" width="4.21875" style="2" customWidth="1"/>
    <col min="9730" max="9730" width="2.5546875" style="2" customWidth="1"/>
    <col min="9731" max="9732" width="8.77734375" style="2"/>
    <col min="9733" max="9733" width="7.21875" style="2" customWidth="1"/>
    <col min="9734" max="9734" width="8.21875" style="2" customWidth="1"/>
    <col min="9735" max="9736" width="10.21875" style="2" customWidth="1"/>
    <col min="9737" max="9737" width="3.77734375" style="2" customWidth="1"/>
    <col min="9738" max="9738" width="8.77734375" style="2"/>
    <col min="9739" max="9739" width="6.21875" style="2" customWidth="1"/>
    <col min="9740" max="9740" width="5.5546875" style="2" customWidth="1"/>
    <col min="9741" max="9741" width="10.77734375" style="2" customWidth="1"/>
    <col min="9742" max="9742" width="8.21875" style="2" customWidth="1"/>
    <col min="9743" max="9743" width="12.21875" style="2" customWidth="1"/>
    <col min="9744" max="9744" width="10.21875" style="2" customWidth="1"/>
    <col min="9745" max="9745" width="9.21875" style="2" customWidth="1"/>
    <col min="9746" max="9984" width="8.77734375" style="2"/>
    <col min="9985" max="9985" width="4.21875" style="2" customWidth="1"/>
    <col min="9986" max="9986" width="2.5546875" style="2" customWidth="1"/>
    <col min="9987" max="9988" width="8.77734375" style="2"/>
    <col min="9989" max="9989" width="7.21875" style="2" customWidth="1"/>
    <col min="9990" max="9990" width="8.21875" style="2" customWidth="1"/>
    <col min="9991" max="9992" width="10.21875" style="2" customWidth="1"/>
    <col min="9993" max="9993" width="3.77734375" style="2" customWidth="1"/>
    <col min="9994" max="9994" width="8.77734375" style="2"/>
    <col min="9995" max="9995" width="6.21875" style="2" customWidth="1"/>
    <col min="9996" max="9996" width="5.5546875" style="2" customWidth="1"/>
    <col min="9997" max="9997" width="10.77734375" style="2" customWidth="1"/>
    <col min="9998" max="9998" width="8.21875" style="2" customWidth="1"/>
    <col min="9999" max="9999" width="12.21875" style="2" customWidth="1"/>
    <col min="10000" max="10000" width="10.21875" style="2" customWidth="1"/>
    <col min="10001" max="10001" width="9.21875" style="2" customWidth="1"/>
    <col min="10002" max="10240" width="8.77734375" style="2"/>
    <col min="10241" max="10241" width="4.21875" style="2" customWidth="1"/>
    <col min="10242" max="10242" width="2.5546875" style="2" customWidth="1"/>
    <col min="10243" max="10244" width="8.77734375" style="2"/>
    <col min="10245" max="10245" width="7.21875" style="2" customWidth="1"/>
    <col min="10246" max="10246" width="8.21875" style="2" customWidth="1"/>
    <col min="10247" max="10248" width="10.21875" style="2" customWidth="1"/>
    <col min="10249" max="10249" width="3.77734375" style="2" customWidth="1"/>
    <col min="10250" max="10250" width="8.77734375" style="2"/>
    <col min="10251" max="10251" width="6.21875" style="2" customWidth="1"/>
    <col min="10252" max="10252" width="5.5546875" style="2" customWidth="1"/>
    <col min="10253" max="10253" width="10.77734375" style="2" customWidth="1"/>
    <col min="10254" max="10254" width="8.21875" style="2" customWidth="1"/>
    <col min="10255" max="10255" width="12.21875" style="2" customWidth="1"/>
    <col min="10256" max="10256" width="10.21875" style="2" customWidth="1"/>
    <col min="10257" max="10257" width="9.21875" style="2" customWidth="1"/>
    <col min="10258" max="10496" width="8.77734375" style="2"/>
    <col min="10497" max="10497" width="4.21875" style="2" customWidth="1"/>
    <col min="10498" max="10498" width="2.5546875" style="2" customWidth="1"/>
    <col min="10499" max="10500" width="8.77734375" style="2"/>
    <col min="10501" max="10501" width="7.21875" style="2" customWidth="1"/>
    <col min="10502" max="10502" width="8.21875" style="2" customWidth="1"/>
    <col min="10503" max="10504" width="10.21875" style="2" customWidth="1"/>
    <col min="10505" max="10505" width="3.77734375" style="2" customWidth="1"/>
    <col min="10506" max="10506" width="8.77734375" style="2"/>
    <col min="10507" max="10507" width="6.21875" style="2" customWidth="1"/>
    <col min="10508" max="10508" width="5.5546875" style="2" customWidth="1"/>
    <col min="10509" max="10509" width="10.77734375" style="2" customWidth="1"/>
    <col min="10510" max="10510" width="8.21875" style="2" customWidth="1"/>
    <col min="10511" max="10511" width="12.21875" style="2" customWidth="1"/>
    <col min="10512" max="10512" width="10.21875" style="2" customWidth="1"/>
    <col min="10513" max="10513" width="9.21875" style="2" customWidth="1"/>
    <col min="10514" max="10752" width="8.77734375" style="2"/>
    <col min="10753" max="10753" width="4.21875" style="2" customWidth="1"/>
    <col min="10754" max="10754" width="2.5546875" style="2" customWidth="1"/>
    <col min="10755" max="10756" width="8.77734375" style="2"/>
    <col min="10757" max="10757" width="7.21875" style="2" customWidth="1"/>
    <col min="10758" max="10758" width="8.21875" style="2" customWidth="1"/>
    <col min="10759" max="10760" width="10.21875" style="2" customWidth="1"/>
    <col min="10761" max="10761" width="3.77734375" style="2" customWidth="1"/>
    <col min="10762" max="10762" width="8.77734375" style="2"/>
    <col min="10763" max="10763" width="6.21875" style="2" customWidth="1"/>
    <col min="10764" max="10764" width="5.5546875" style="2" customWidth="1"/>
    <col min="10765" max="10765" width="10.77734375" style="2" customWidth="1"/>
    <col min="10766" max="10766" width="8.21875" style="2" customWidth="1"/>
    <col min="10767" max="10767" width="12.21875" style="2" customWidth="1"/>
    <col min="10768" max="10768" width="10.21875" style="2" customWidth="1"/>
    <col min="10769" max="10769" width="9.21875" style="2" customWidth="1"/>
    <col min="10770" max="11008" width="8.77734375" style="2"/>
    <col min="11009" max="11009" width="4.21875" style="2" customWidth="1"/>
    <col min="11010" max="11010" width="2.5546875" style="2" customWidth="1"/>
    <col min="11011" max="11012" width="8.77734375" style="2"/>
    <col min="11013" max="11013" width="7.21875" style="2" customWidth="1"/>
    <col min="11014" max="11014" width="8.21875" style="2" customWidth="1"/>
    <col min="11015" max="11016" width="10.21875" style="2" customWidth="1"/>
    <col min="11017" max="11017" width="3.77734375" style="2" customWidth="1"/>
    <col min="11018" max="11018" width="8.77734375" style="2"/>
    <col min="11019" max="11019" width="6.21875" style="2" customWidth="1"/>
    <col min="11020" max="11020" width="5.5546875" style="2" customWidth="1"/>
    <col min="11021" max="11021" width="10.77734375" style="2" customWidth="1"/>
    <col min="11022" max="11022" width="8.21875" style="2" customWidth="1"/>
    <col min="11023" max="11023" width="12.21875" style="2" customWidth="1"/>
    <col min="11024" max="11024" width="10.21875" style="2" customWidth="1"/>
    <col min="11025" max="11025" width="9.21875" style="2" customWidth="1"/>
    <col min="11026" max="11264" width="8.77734375" style="2"/>
    <col min="11265" max="11265" width="4.21875" style="2" customWidth="1"/>
    <col min="11266" max="11266" width="2.5546875" style="2" customWidth="1"/>
    <col min="11267" max="11268" width="8.77734375" style="2"/>
    <col min="11269" max="11269" width="7.21875" style="2" customWidth="1"/>
    <col min="11270" max="11270" width="8.21875" style="2" customWidth="1"/>
    <col min="11271" max="11272" width="10.21875" style="2" customWidth="1"/>
    <col min="11273" max="11273" width="3.77734375" style="2" customWidth="1"/>
    <col min="11274" max="11274" width="8.77734375" style="2"/>
    <col min="11275" max="11275" width="6.21875" style="2" customWidth="1"/>
    <col min="11276" max="11276" width="5.5546875" style="2" customWidth="1"/>
    <col min="11277" max="11277" width="10.77734375" style="2" customWidth="1"/>
    <col min="11278" max="11278" width="8.21875" style="2" customWidth="1"/>
    <col min="11279" max="11279" width="12.21875" style="2" customWidth="1"/>
    <col min="11280" max="11280" width="10.21875" style="2" customWidth="1"/>
    <col min="11281" max="11281" width="9.21875" style="2" customWidth="1"/>
    <col min="11282" max="11520" width="8.77734375" style="2"/>
    <col min="11521" max="11521" width="4.21875" style="2" customWidth="1"/>
    <col min="11522" max="11522" width="2.5546875" style="2" customWidth="1"/>
    <col min="11523" max="11524" width="8.77734375" style="2"/>
    <col min="11525" max="11525" width="7.21875" style="2" customWidth="1"/>
    <col min="11526" max="11526" width="8.21875" style="2" customWidth="1"/>
    <col min="11527" max="11528" width="10.21875" style="2" customWidth="1"/>
    <col min="11529" max="11529" width="3.77734375" style="2" customWidth="1"/>
    <col min="11530" max="11530" width="8.77734375" style="2"/>
    <col min="11531" max="11531" width="6.21875" style="2" customWidth="1"/>
    <col min="11532" max="11532" width="5.5546875" style="2" customWidth="1"/>
    <col min="11533" max="11533" width="10.77734375" style="2" customWidth="1"/>
    <col min="11534" max="11534" width="8.21875" style="2" customWidth="1"/>
    <col min="11535" max="11535" width="12.21875" style="2" customWidth="1"/>
    <col min="11536" max="11536" width="10.21875" style="2" customWidth="1"/>
    <col min="11537" max="11537" width="9.21875" style="2" customWidth="1"/>
    <col min="11538" max="11776" width="8.77734375" style="2"/>
    <col min="11777" max="11777" width="4.21875" style="2" customWidth="1"/>
    <col min="11778" max="11778" width="2.5546875" style="2" customWidth="1"/>
    <col min="11779" max="11780" width="8.77734375" style="2"/>
    <col min="11781" max="11781" width="7.21875" style="2" customWidth="1"/>
    <col min="11782" max="11782" width="8.21875" style="2" customWidth="1"/>
    <col min="11783" max="11784" width="10.21875" style="2" customWidth="1"/>
    <col min="11785" max="11785" width="3.77734375" style="2" customWidth="1"/>
    <col min="11786" max="11786" width="8.77734375" style="2"/>
    <col min="11787" max="11787" width="6.21875" style="2" customWidth="1"/>
    <col min="11788" max="11788" width="5.5546875" style="2" customWidth="1"/>
    <col min="11789" max="11789" width="10.77734375" style="2" customWidth="1"/>
    <col min="11790" max="11790" width="8.21875" style="2" customWidth="1"/>
    <col min="11791" max="11791" width="12.21875" style="2" customWidth="1"/>
    <col min="11792" max="11792" width="10.21875" style="2" customWidth="1"/>
    <col min="11793" max="11793" width="9.21875" style="2" customWidth="1"/>
    <col min="11794" max="12032" width="8.77734375" style="2"/>
    <col min="12033" max="12033" width="4.21875" style="2" customWidth="1"/>
    <col min="12034" max="12034" width="2.5546875" style="2" customWidth="1"/>
    <col min="12035" max="12036" width="8.77734375" style="2"/>
    <col min="12037" max="12037" width="7.21875" style="2" customWidth="1"/>
    <col min="12038" max="12038" width="8.21875" style="2" customWidth="1"/>
    <col min="12039" max="12040" width="10.21875" style="2" customWidth="1"/>
    <col min="12041" max="12041" width="3.77734375" style="2" customWidth="1"/>
    <col min="12042" max="12042" width="8.77734375" style="2"/>
    <col min="12043" max="12043" width="6.21875" style="2" customWidth="1"/>
    <col min="12044" max="12044" width="5.5546875" style="2" customWidth="1"/>
    <col min="12045" max="12045" width="10.77734375" style="2" customWidth="1"/>
    <col min="12046" max="12046" width="8.21875" style="2" customWidth="1"/>
    <col min="12047" max="12047" width="12.21875" style="2" customWidth="1"/>
    <col min="12048" max="12048" width="10.21875" style="2" customWidth="1"/>
    <col min="12049" max="12049" width="9.21875" style="2" customWidth="1"/>
    <col min="12050" max="12288" width="8.77734375" style="2"/>
    <col min="12289" max="12289" width="4.21875" style="2" customWidth="1"/>
    <col min="12290" max="12290" width="2.5546875" style="2" customWidth="1"/>
    <col min="12291" max="12292" width="8.77734375" style="2"/>
    <col min="12293" max="12293" width="7.21875" style="2" customWidth="1"/>
    <col min="12294" max="12294" width="8.21875" style="2" customWidth="1"/>
    <col min="12295" max="12296" width="10.21875" style="2" customWidth="1"/>
    <col min="12297" max="12297" width="3.77734375" style="2" customWidth="1"/>
    <col min="12298" max="12298" width="8.77734375" style="2"/>
    <col min="12299" max="12299" width="6.21875" style="2" customWidth="1"/>
    <col min="12300" max="12300" width="5.5546875" style="2" customWidth="1"/>
    <col min="12301" max="12301" width="10.77734375" style="2" customWidth="1"/>
    <col min="12302" max="12302" width="8.21875" style="2" customWidth="1"/>
    <col min="12303" max="12303" width="12.21875" style="2" customWidth="1"/>
    <col min="12304" max="12304" width="10.21875" style="2" customWidth="1"/>
    <col min="12305" max="12305" width="9.21875" style="2" customWidth="1"/>
    <col min="12306" max="12544" width="8.77734375" style="2"/>
    <col min="12545" max="12545" width="4.21875" style="2" customWidth="1"/>
    <col min="12546" max="12546" width="2.5546875" style="2" customWidth="1"/>
    <col min="12547" max="12548" width="8.77734375" style="2"/>
    <col min="12549" max="12549" width="7.21875" style="2" customWidth="1"/>
    <col min="12550" max="12550" width="8.21875" style="2" customWidth="1"/>
    <col min="12551" max="12552" width="10.21875" style="2" customWidth="1"/>
    <col min="12553" max="12553" width="3.77734375" style="2" customWidth="1"/>
    <col min="12554" max="12554" width="8.77734375" style="2"/>
    <col min="12555" max="12555" width="6.21875" style="2" customWidth="1"/>
    <col min="12556" max="12556" width="5.5546875" style="2" customWidth="1"/>
    <col min="12557" max="12557" width="10.77734375" style="2" customWidth="1"/>
    <col min="12558" max="12558" width="8.21875" style="2" customWidth="1"/>
    <col min="12559" max="12559" width="12.21875" style="2" customWidth="1"/>
    <col min="12560" max="12560" width="10.21875" style="2" customWidth="1"/>
    <col min="12561" max="12561" width="9.21875" style="2" customWidth="1"/>
    <col min="12562" max="12800" width="8.77734375" style="2"/>
    <col min="12801" max="12801" width="4.21875" style="2" customWidth="1"/>
    <col min="12802" max="12802" width="2.5546875" style="2" customWidth="1"/>
    <col min="12803" max="12804" width="8.77734375" style="2"/>
    <col min="12805" max="12805" width="7.21875" style="2" customWidth="1"/>
    <col min="12806" max="12806" width="8.21875" style="2" customWidth="1"/>
    <col min="12807" max="12808" width="10.21875" style="2" customWidth="1"/>
    <col min="12809" max="12809" width="3.77734375" style="2" customWidth="1"/>
    <col min="12810" max="12810" width="8.77734375" style="2"/>
    <col min="12811" max="12811" width="6.21875" style="2" customWidth="1"/>
    <col min="12812" max="12812" width="5.5546875" style="2" customWidth="1"/>
    <col min="12813" max="12813" width="10.77734375" style="2" customWidth="1"/>
    <col min="12814" max="12814" width="8.21875" style="2" customWidth="1"/>
    <col min="12815" max="12815" width="12.21875" style="2" customWidth="1"/>
    <col min="12816" max="12816" width="10.21875" style="2" customWidth="1"/>
    <col min="12817" max="12817" width="9.21875" style="2" customWidth="1"/>
    <col min="12818" max="13056" width="8.77734375" style="2"/>
    <col min="13057" max="13057" width="4.21875" style="2" customWidth="1"/>
    <col min="13058" max="13058" width="2.5546875" style="2" customWidth="1"/>
    <col min="13059" max="13060" width="8.77734375" style="2"/>
    <col min="13061" max="13061" width="7.21875" style="2" customWidth="1"/>
    <col min="13062" max="13062" width="8.21875" style="2" customWidth="1"/>
    <col min="13063" max="13064" width="10.21875" style="2" customWidth="1"/>
    <col min="13065" max="13065" width="3.77734375" style="2" customWidth="1"/>
    <col min="13066" max="13066" width="8.77734375" style="2"/>
    <col min="13067" max="13067" width="6.21875" style="2" customWidth="1"/>
    <col min="13068" max="13068" width="5.5546875" style="2" customWidth="1"/>
    <col min="13069" max="13069" width="10.77734375" style="2" customWidth="1"/>
    <col min="13070" max="13070" width="8.21875" style="2" customWidth="1"/>
    <col min="13071" max="13071" width="12.21875" style="2" customWidth="1"/>
    <col min="13072" max="13072" width="10.21875" style="2" customWidth="1"/>
    <col min="13073" max="13073" width="9.21875" style="2" customWidth="1"/>
    <col min="13074" max="13312" width="8.77734375" style="2"/>
    <col min="13313" max="13313" width="4.21875" style="2" customWidth="1"/>
    <col min="13314" max="13314" width="2.5546875" style="2" customWidth="1"/>
    <col min="13315" max="13316" width="8.77734375" style="2"/>
    <col min="13317" max="13317" width="7.21875" style="2" customWidth="1"/>
    <col min="13318" max="13318" width="8.21875" style="2" customWidth="1"/>
    <col min="13319" max="13320" width="10.21875" style="2" customWidth="1"/>
    <col min="13321" max="13321" width="3.77734375" style="2" customWidth="1"/>
    <col min="13322" max="13322" width="8.77734375" style="2"/>
    <col min="13323" max="13323" width="6.21875" style="2" customWidth="1"/>
    <col min="13324" max="13324" width="5.5546875" style="2" customWidth="1"/>
    <col min="13325" max="13325" width="10.77734375" style="2" customWidth="1"/>
    <col min="13326" max="13326" width="8.21875" style="2" customWidth="1"/>
    <col min="13327" max="13327" width="12.21875" style="2" customWidth="1"/>
    <col min="13328" max="13328" width="10.21875" style="2" customWidth="1"/>
    <col min="13329" max="13329" width="9.21875" style="2" customWidth="1"/>
    <col min="13330" max="13568" width="8.77734375" style="2"/>
    <col min="13569" max="13569" width="4.21875" style="2" customWidth="1"/>
    <col min="13570" max="13570" width="2.5546875" style="2" customWidth="1"/>
    <col min="13571" max="13572" width="8.77734375" style="2"/>
    <col min="13573" max="13573" width="7.21875" style="2" customWidth="1"/>
    <col min="13574" max="13574" width="8.21875" style="2" customWidth="1"/>
    <col min="13575" max="13576" width="10.21875" style="2" customWidth="1"/>
    <col min="13577" max="13577" width="3.77734375" style="2" customWidth="1"/>
    <col min="13578" max="13578" width="8.77734375" style="2"/>
    <col min="13579" max="13579" width="6.21875" style="2" customWidth="1"/>
    <col min="13580" max="13580" width="5.5546875" style="2" customWidth="1"/>
    <col min="13581" max="13581" width="10.77734375" style="2" customWidth="1"/>
    <col min="13582" max="13582" width="8.21875" style="2" customWidth="1"/>
    <col min="13583" max="13583" width="12.21875" style="2" customWidth="1"/>
    <col min="13584" max="13584" width="10.21875" style="2" customWidth="1"/>
    <col min="13585" max="13585" width="9.21875" style="2" customWidth="1"/>
    <col min="13586" max="13824" width="8.77734375" style="2"/>
    <col min="13825" max="13825" width="4.21875" style="2" customWidth="1"/>
    <col min="13826" max="13826" width="2.5546875" style="2" customWidth="1"/>
    <col min="13827" max="13828" width="8.77734375" style="2"/>
    <col min="13829" max="13829" width="7.21875" style="2" customWidth="1"/>
    <col min="13830" max="13830" width="8.21875" style="2" customWidth="1"/>
    <col min="13831" max="13832" width="10.21875" style="2" customWidth="1"/>
    <col min="13833" max="13833" width="3.77734375" style="2" customWidth="1"/>
    <col min="13834" max="13834" width="8.77734375" style="2"/>
    <col min="13835" max="13835" width="6.21875" style="2" customWidth="1"/>
    <col min="13836" max="13836" width="5.5546875" style="2" customWidth="1"/>
    <col min="13837" max="13837" width="10.77734375" style="2" customWidth="1"/>
    <col min="13838" max="13838" width="8.21875" style="2" customWidth="1"/>
    <col min="13839" max="13839" width="12.21875" style="2" customWidth="1"/>
    <col min="13840" max="13840" width="10.21875" style="2" customWidth="1"/>
    <col min="13841" max="13841" width="9.21875" style="2" customWidth="1"/>
    <col min="13842" max="14080" width="8.77734375" style="2"/>
    <col min="14081" max="14081" width="4.21875" style="2" customWidth="1"/>
    <col min="14082" max="14082" width="2.5546875" style="2" customWidth="1"/>
    <col min="14083" max="14084" width="8.77734375" style="2"/>
    <col min="14085" max="14085" width="7.21875" style="2" customWidth="1"/>
    <col min="14086" max="14086" width="8.21875" style="2" customWidth="1"/>
    <col min="14087" max="14088" width="10.21875" style="2" customWidth="1"/>
    <col min="14089" max="14089" width="3.77734375" style="2" customWidth="1"/>
    <col min="14090" max="14090" width="8.77734375" style="2"/>
    <col min="14091" max="14091" width="6.21875" style="2" customWidth="1"/>
    <col min="14092" max="14092" width="5.5546875" style="2" customWidth="1"/>
    <col min="14093" max="14093" width="10.77734375" style="2" customWidth="1"/>
    <col min="14094" max="14094" width="8.21875" style="2" customWidth="1"/>
    <col min="14095" max="14095" width="12.21875" style="2" customWidth="1"/>
    <col min="14096" max="14096" width="10.21875" style="2" customWidth="1"/>
    <col min="14097" max="14097" width="9.21875" style="2" customWidth="1"/>
    <col min="14098" max="14336" width="8.77734375" style="2"/>
    <col min="14337" max="14337" width="4.21875" style="2" customWidth="1"/>
    <col min="14338" max="14338" width="2.5546875" style="2" customWidth="1"/>
    <col min="14339" max="14340" width="8.77734375" style="2"/>
    <col min="14341" max="14341" width="7.21875" style="2" customWidth="1"/>
    <col min="14342" max="14342" width="8.21875" style="2" customWidth="1"/>
    <col min="14343" max="14344" width="10.21875" style="2" customWidth="1"/>
    <col min="14345" max="14345" width="3.77734375" style="2" customWidth="1"/>
    <col min="14346" max="14346" width="8.77734375" style="2"/>
    <col min="14347" max="14347" width="6.21875" style="2" customWidth="1"/>
    <col min="14348" max="14348" width="5.5546875" style="2" customWidth="1"/>
    <col min="14349" max="14349" width="10.77734375" style="2" customWidth="1"/>
    <col min="14350" max="14350" width="8.21875" style="2" customWidth="1"/>
    <col min="14351" max="14351" width="12.21875" style="2" customWidth="1"/>
    <col min="14352" max="14352" width="10.21875" style="2" customWidth="1"/>
    <col min="14353" max="14353" width="9.21875" style="2" customWidth="1"/>
    <col min="14354" max="14592" width="8.77734375" style="2"/>
    <col min="14593" max="14593" width="4.21875" style="2" customWidth="1"/>
    <col min="14594" max="14594" width="2.5546875" style="2" customWidth="1"/>
    <col min="14595" max="14596" width="8.77734375" style="2"/>
    <col min="14597" max="14597" width="7.21875" style="2" customWidth="1"/>
    <col min="14598" max="14598" width="8.21875" style="2" customWidth="1"/>
    <col min="14599" max="14600" width="10.21875" style="2" customWidth="1"/>
    <col min="14601" max="14601" width="3.77734375" style="2" customWidth="1"/>
    <col min="14602" max="14602" width="8.77734375" style="2"/>
    <col min="14603" max="14603" width="6.21875" style="2" customWidth="1"/>
    <col min="14604" max="14604" width="5.5546875" style="2" customWidth="1"/>
    <col min="14605" max="14605" width="10.77734375" style="2" customWidth="1"/>
    <col min="14606" max="14606" width="8.21875" style="2" customWidth="1"/>
    <col min="14607" max="14607" width="12.21875" style="2" customWidth="1"/>
    <col min="14608" max="14608" width="10.21875" style="2" customWidth="1"/>
    <col min="14609" max="14609" width="9.21875" style="2" customWidth="1"/>
    <col min="14610" max="14848" width="8.77734375" style="2"/>
    <col min="14849" max="14849" width="4.21875" style="2" customWidth="1"/>
    <col min="14850" max="14850" width="2.5546875" style="2" customWidth="1"/>
    <col min="14851" max="14852" width="8.77734375" style="2"/>
    <col min="14853" max="14853" width="7.21875" style="2" customWidth="1"/>
    <col min="14854" max="14854" width="8.21875" style="2" customWidth="1"/>
    <col min="14855" max="14856" width="10.21875" style="2" customWidth="1"/>
    <col min="14857" max="14857" width="3.77734375" style="2" customWidth="1"/>
    <col min="14858" max="14858" width="8.77734375" style="2"/>
    <col min="14859" max="14859" width="6.21875" style="2" customWidth="1"/>
    <col min="14860" max="14860" width="5.5546875" style="2" customWidth="1"/>
    <col min="14861" max="14861" width="10.77734375" style="2" customWidth="1"/>
    <col min="14862" max="14862" width="8.21875" style="2" customWidth="1"/>
    <col min="14863" max="14863" width="12.21875" style="2" customWidth="1"/>
    <col min="14864" max="14864" width="10.21875" style="2" customWidth="1"/>
    <col min="14865" max="14865" width="9.21875" style="2" customWidth="1"/>
    <col min="14866" max="15104" width="8.77734375" style="2"/>
    <col min="15105" max="15105" width="4.21875" style="2" customWidth="1"/>
    <col min="15106" max="15106" width="2.5546875" style="2" customWidth="1"/>
    <col min="15107" max="15108" width="8.77734375" style="2"/>
    <col min="15109" max="15109" width="7.21875" style="2" customWidth="1"/>
    <col min="15110" max="15110" width="8.21875" style="2" customWidth="1"/>
    <col min="15111" max="15112" width="10.21875" style="2" customWidth="1"/>
    <col min="15113" max="15113" width="3.77734375" style="2" customWidth="1"/>
    <col min="15114" max="15114" width="8.77734375" style="2"/>
    <col min="15115" max="15115" width="6.21875" style="2" customWidth="1"/>
    <col min="15116" max="15116" width="5.5546875" style="2" customWidth="1"/>
    <col min="15117" max="15117" width="10.77734375" style="2" customWidth="1"/>
    <col min="15118" max="15118" width="8.21875" style="2" customWidth="1"/>
    <col min="15119" max="15119" width="12.21875" style="2" customWidth="1"/>
    <col min="15120" max="15120" width="10.21875" style="2" customWidth="1"/>
    <col min="15121" max="15121" width="9.21875" style="2" customWidth="1"/>
    <col min="15122" max="15360" width="8.77734375" style="2"/>
    <col min="15361" max="15361" width="4.21875" style="2" customWidth="1"/>
    <col min="15362" max="15362" width="2.5546875" style="2" customWidth="1"/>
    <col min="15363" max="15364" width="8.77734375" style="2"/>
    <col min="15365" max="15365" width="7.21875" style="2" customWidth="1"/>
    <col min="15366" max="15366" width="8.21875" style="2" customWidth="1"/>
    <col min="15367" max="15368" width="10.21875" style="2" customWidth="1"/>
    <col min="15369" max="15369" width="3.77734375" style="2" customWidth="1"/>
    <col min="15370" max="15370" width="8.77734375" style="2"/>
    <col min="15371" max="15371" width="6.21875" style="2" customWidth="1"/>
    <col min="15372" max="15372" width="5.5546875" style="2" customWidth="1"/>
    <col min="15373" max="15373" width="10.77734375" style="2" customWidth="1"/>
    <col min="15374" max="15374" width="8.21875" style="2" customWidth="1"/>
    <col min="15375" max="15375" width="12.21875" style="2" customWidth="1"/>
    <col min="15376" max="15376" width="10.21875" style="2" customWidth="1"/>
    <col min="15377" max="15377" width="9.21875" style="2" customWidth="1"/>
    <col min="15378" max="15616" width="8.77734375" style="2"/>
    <col min="15617" max="15617" width="4.21875" style="2" customWidth="1"/>
    <col min="15618" max="15618" width="2.5546875" style="2" customWidth="1"/>
    <col min="15619" max="15620" width="8.77734375" style="2"/>
    <col min="15621" max="15621" width="7.21875" style="2" customWidth="1"/>
    <col min="15622" max="15622" width="8.21875" style="2" customWidth="1"/>
    <col min="15623" max="15624" width="10.21875" style="2" customWidth="1"/>
    <col min="15625" max="15625" width="3.77734375" style="2" customWidth="1"/>
    <col min="15626" max="15626" width="8.77734375" style="2"/>
    <col min="15627" max="15627" width="6.21875" style="2" customWidth="1"/>
    <col min="15628" max="15628" width="5.5546875" style="2" customWidth="1"/>
    <col min="15629" max="15629" width="10.77734375" style="2" customWidth="1"/>
    <col min="15630" max="15630" width="8.21875" style="2" customWidth="1"/>
    <col min="15631" max="15631" width="12.21875" style="2" customWidth="1"/>
    <col min="15632" max="15632" width="10.21875" style="2" customWidth="1"/>
    <col min="15633" max="15633" width="9.21875" style="2" customWidth="1"/>
    <col min="15634" max="15872" width="8.77734375" style="2"/>
    <col min="15873" max="15873" width="4.21875" style="2" customWidth="1"/>
    <col min="15874" max="15874" width="2.5546875" style="2" customWidth="1"/>
    <col min="15875" max="15876" width="8.77734375" style="2"/>
    <col min="15877" max="15877" width="7.21875" style="2" customWidth="1"/>
    <col min="15878" max="15878" width="8.21875" style="2" customWidth="1"/>
    <col min="15879" max="15880" width="10.21875" style="2" customWidth="1"/>
    <col min="15881" max="15881" width="3.77734375" style="2" customWidth="1"/>
    <col min="15882" max="15882" width="8.77734375" style="2"/>
    <col min="15883" max="15883" width="6.21875" style="2" customWidth="1"/>
    <col min="15884" max="15884" width="5.5546875" style="2" customWidth="1"/>
    <col min="15885" max="15885" width="10.77734375" style="2" customWidth="1"/>
    <col min="15886" max="15886" width="8.21875" style="2" customWidth="1"/>
    <col min="15887" max="15887" width="12.21875" style="2" customWidth="1"/>
    <col min="15888" max="15888" width="10.21875" style="2" customWidth="1"/>
    <col min="15889" max="15889" width="9.21875" style="2" customWidth="1"/>
    <col min="15890" max="16128" width="8.77734375" style="2"/>
    <col min="16129" max="16129" width="4.21875" style="2" customWidth="1"/>
    <col min="16130" max="16130" width="2.5546875" style="2" customWidth="1"/>
    <col min="16131" max="16132" width="8.77734375" style="2"/>
    <col min="16133" max="16133" width="7.21875" style="2" customWidth="1"/>
    <col min="16134" max="16134" width="8.21875" style="2" customWidth="1"/>
    <col min="16135" max="16136" width="10.21875" style="2" customWidth="1"/>
    <col min="16137" max="16137" width="3.77734375" style="2" customWidth="1"/>
    <col min="16138" max="16138" width="8.77734375" style="2"/>
    <col min="16139" max="16139" width="6.21875" style="2" customWidth="1"/>
    <col min="16140" max="16140" width="5.5546875" style="2" customWidth="1"/>
    <col min="16141" max="16141" width="10.77734375" style="2" customWidth="1"/>
    <col min="16142" max="16142" width="8.21875" style="2" customWidth="1"/>
    <col min="16143" max="16143" width="12.21875" style="2" customWidth="1"/>
    <col min="16144" max="16144" width="10.21875" style="2" customWidth="1"/>
    <col min="16145" max="16145" width="9.21875" style="2" customWidth="1"/>
    <col min="16146" max="16384" width="8.77734375" style="2"/>
  </cols>
  <sheetData>
    <row r="1" spans="1:18" ht="15.6">
      <c r="A1" s="1220" t="s">
        <v>20</v>
      </c>
      <c r="B1" s="1220"/>
      <c r="C1" s="1220"/>
      <c r="D1" s="1220"/>
      <c r="E1" s="1220"/>
      <c r="F1" s="1220"/>
      <c r="G1" s="1220"/>
      <c r="H1" s="1220"/>
      <c r="I1" s="1220"/>
      <c r="J1" s="1220"/>
      <c r="K1" s="1220"/>
      <c r="L1" s="1220"/>
      <c r="M1" s="1220"/>
      <c r="N1" s="1220"/>
      <c r="O1" s="1220"/>
      <c r="P1" s="49"/>
      <c r="Q1" s="50"/>
      <c r="R1" s="49"/>
    </row>
    <row r="2" spans="1:18" ht="15.6">
      <c r="A2" s="1220" t="s">
        <v>42</v>
      </c>
      <c r="B2" s="1220"/>
      <c r="C2" s="1220"/>
      <c r="D2" s="1220"/>
      <c r="E2" s="1220"/>
      <c r="F2" s="1220"/>
      <c r="G2" s="1220"/>
      <c r="H2" s="1220"/>
      <c r="I2" s="1220"/>
      <c r="J2" s="1220"/>
      <c r="K2" s="1220"/>
      <c r="L2" s="1220"/>
      <c r="M2" s="1220"/>
      <c r="N2" s="1220"/>
      <c r="O2" s="1220"/>
    </row>
    <row r="3" spans="1:18" ht="15" customHeight="1">
      <c r="A3" s="1225" t="s">
        <v>48</v>
      </c>
      <c r="B3" s="1225"/>
      <c r="C3" s="1225"/>
      <c r="D3" s="1225"/>
      <c r="E3" s="1225"/>
      <c r="F3" s="1225"/>
      <c r="G3" s="1225"/>
      <c r="H3" s="1225"/>
      <c r="I3" s="1225"/>
      <c r="J3" s="1225"/>
      <c r="K3" s="1225"/>
      <c r="L3" s="1225"/>
      <c r="M3" s="1225"/>
      <c r="N3" s="1225"/>
      <c r="O3" s="1225"/>
    </row>
    <row r="4" spans="1:18" ht="7.5" customHeight="1"/>
    <row r="5" spans="1:18" ht="39" customHeight="1">
      <c r="A5" s="33" t="s">
        <v>22</v>
      </c>
      <c r="F5" s="34" t="s">
        <v>23</v>
      </c>
      <c r="H5" s="35" t="s">
        <v>24</v>
      </c>
      <c r="I5" s="36"/>
      <c r="J5" s="1221" t="s">
        <v>25</v>
      </c>
      <c r="K5" s="1217"/>
      <c r="M5" s="3" t="s">
        <v>26</v>
      </c>
      <c r="O5" s="37" t="s">
        <v>27</v>
      </c>
    </row>
    <row r="6" spans="1:18" ht="6.75" customHeight="1"/>
    <row r="7" spans="1:18" ht="15">
      <c r="B7" s="5" t="s">
        <v>6</v>
      </c>
      <c r="F7" s="38">
        <f>IF('Input (6)'!$G$4=0," ",'Input (6)'!$G$4)</f>
        <v>19</v>
      </c>
      <c r="G7" s="39"/>
      <c r="J7" s="1222">
        <f>IF('Input (6)'!G4=0,"0",'Input (6)'!G4)</f>
        <v>19</v>
      </c>
      <c r="K7" s="1222"/>
      <c r="L7" s="40" t="s">
        <v>28</v>
      </c>
      <c r="M7" s="41">
        <f>IF('Input (6)'!G4=0,0,LOOKUP(J7,'criteria (6)'!$A$3:$A$10,'criteria (6)'!$B$3:$B$10))</f>
        <v>40</v>
      </c>
      <c r="N7" s="42" t="s">
        <v>29</v>
      </c>
      <c r="O7" s="38">
        <f>IF(Q7=0,0,IF(Q7&lt;LOOKUP(J7,'criteria (6)'!$A$3:$A$10,'criteria (6)'!$C$3:$C$10),LOOKUP(J7,'criteria (6)'!$A$3:$A$10,'criteria (6)'!$C$3:$C$10),IF(LOOKUP(J7,'criteria (6)'!$A$3:$A$10,'criteria (6)'!$C$3:$C$10)=0,0,Q7)))</f>
        <v>0.6</v>
      </c>
      <c r="P7" s="28" t="str">
        <f>IF('Input (6)'!G4=0," ",IF(O7=0,"ADD to 1-6",IF(O7=Q7," ","Minimum")))</f>
        <v>Minimum</v>
      </c>
      <c r="Q7" s="32">
        <f>ROUND(IF('Input (6)'!G4=0,0,IF(M7=0,0,(J7/M7))),2)</f>
        <v>0.48</v>
      </c>
    </row>
    <row r="8" spans="1:18" ht="6.75" customHeight="1">
      <c r="J8" s="43"/>
      <c r="K8" s="43"/>
      <c r="O8" s="43"/>
    </row>
    <row r="9" spans="1:18">
      <c r="B9" s="5" t="s">
        <v>7</v>
      </c>
      <c r="J9" s="43"/>
      <c r="K9" s="43"/>
      <c r="O9" s="43"/>
    </row>
    <row r="10" spans="1:18">
      <c r="B10" s="28" t="s">
        <v>30</v>
      </c>
      <c r="J10" s="43"/>
      <c r="K10" s="43"/>
      <c r="O10" s="43"/>
    </row>
    <row r="11" spans="1:18" ht="16.5" customHeight="1">
      <c r="C11" s="12" t="s">
        <v>8</v>
      </c>
      <c r="F11" s="41" t="str">
        <f>IF(J11=0," ",IF($J$16&gt;300," ",'Input (6)'!G7))</f>
        <v xml:space="preserve"> </v>
      </c>
      <c r="G11" s="44" t="s">
        <v>31</v>
      </c>
      <c r="H11" s="38" t="str">
        <f>IF(J11=0," ",'C (6)'!H25)</f>
        <v xml:space="preserve"> </v>
      </c>
      <c r="I11" s="42" t="s">
        <v>29</v>
      </c>
      <c r="J11" s="1222">
        <f>IF('Input (6)'!G7=0,0,IF(SUM('Input (6)'!G7-'C (6)'!H25)+SUM('Input (6)'!G8-'C (6)'!H26)&gt;299.99,SUM('Input (6)'!G7-'C (6)'!H25),0))</f>
        <v>0</v>
      </c>
      <c r="K11" s="1222"/>
      <c r="L11" s="40" t="s">
        <v>28</v>
      </c>
      <c r="M11" s="41">
        <f>IF(SUM('Input (6)'!$G$7-'C (6)'!$H$25)+SUM('Input (6)'!$G$8-'C (6)'!$H$26)&gt;299.99,20,0)</f>
        <v>0</v>
      </c>
      <c r="N11" s="42" t="s">
        <v>29</v>
      </c>
      <c r="O11" s="38">
        <f>ROUND(IF(SUM('Input (6)'!$G$7-'C (6)'!$H$25)+SUM('Input (6)'!$G$8-'C (6)'!$H$26)&lt;299.99,0,IF(Q11+Q13&lt;15,0,(J11/M11))),2)</f>
        <v>0</v>
      </c>
      <c r="P11" s="2" t="str">
        <f>IF(O11=0," ",IF(O11=Q11," ","Minimum"))</f>
        <v xml:space="preserve"> </v>
      </c>
      <c r="Q11" s="32">
        <f>ROUND(IF(SUM('Input (6)'!$G$7-'C (6)'!$H$25)+SUM('Input (6)'!$G$8-'C (6)'!$H$26)&lt;299.99,0,(J11/M11)),2)</f>
        <v>0</v>
      </c>
    </row>
    <row r="12" spans="1:18" ht="9" customHeight="1">
      <c r="B12" s="12"/>
      <c r="J12" s="43"/>
      <c r="K12" s="43"/>
      <c r="O12" s="43"/>
    </row>
    <row r="13" spans="1:18" ht="15">
      <c r="C13" s="12" t="s">
        <v>9</v>
      </c>
      <c r="F13" s="41" t="str">
        <f>IF(J13=0," ",IF($J$16&gt;300," ",'Input (6)'!G8))</f>
        <v xml:space="preserve"> </v>
      </c>
      <c r="G13" s="44" t="s">
        <v>31</v>
      </c>
      <c r="H13" s="38" t="str">
        <f>IF(J13=0," ",'C (6)'!H26)</f>
        <v xml:space="preserve"> </v>
      </c>
      <c r="I13" s="42" t="s">
        <v>29</v>
      </c>
      <c r="J13" s="1222">
        <f>IF('Input (6)'!G8=0,0,IF(SUM('Input (6)'!G7-'C (6)'!H25)+SUM('Input (6)'!G8-'C (6)'!H26)&gt;299.99,SUM('Input (6)'!G8-'C (6)'!H26),0))</f>
        <v>0</v>
      </c>
      <c r="K13" s="1222"/>
      <c r="L13" s="40" t="s">
        <v>28</v>
      </c>
      <c r="M13" s="41">
        <f>IF(SUM('Input (6)'!$G$7-'C (6)'!$H$25)+SUM('Input (6)'!$G$8-'C (6)'!$H$26)&gt;299.99,23,0)</f>
        <v>0</v>
      </c>
      <c r="N13" s="42" t="s">
        <v>29</v>
      </c>
      <c r="O13" s="38">
        <f>ROUND(IF(SUM('Input (6)'!$G$7-'C (6)'!$H$25)+SUM('Input (6)'!$G$8-'C (6)'!$H$26)&lt;299.99,0,IF(Q11+Q13&lt;15,0,($J$13/$M$13))),2)</f>
        <v>0</v>
      </c>
      <c r="P13" s="2" t="str">
        <f>IF(O13=0," ",IF(O13=Q13," ","Minimum"))</f>
        <v xml:space="preserve"> </v>
      </c>
      <c r="Q13" s="32">
        <f>ROUND(IF(SUM('Input (6)'!$G$7-'C (6)'!$H$25)+SUM('Input (6)'!$G$8-'C (6)'!$H$26)&lt;299.99,0,($J$13/$M$13)),2)</f>
        <v>0</v>
      </c>
    </row>
    <row r="14" spans="1:18" ht="15">
      <c r="B14" s="5" t="s">
        <v>7</v>
      </c>
      <c r="F14" s="36"/>
      <c r="G14" s="44"/>
      <c r="H14" s="39"/>
      <c r="I14" s="42"/>
      <c r="O14" s="39" t="str">
        <f>IF(P14="Minimum",15," ")</f>
        <v xml:space="preserve"> </v>
      </c>
      <c r="P14" s="2" t="str">
        <f>IF(Q11+Q13=0," ",IF(Q11+Q13&lt;15,"Minimum"," "))</f>
        <v xml:space="preserve"> </v>
      </c>
    </row>
    <row r="15" spans="1:18">
      <c r="B15" s="28" t="s">
        <v>32</v>
      </c>
      <c r="O15" s="43"/>
    </row>
    <row r="16" spans="1:18" ht="15">
      <c r="C16" s="12" t="s">
        <v>33</v>
      </c>
      <c r="F16" s="41">
        <f>IF(J16=0," ",IF(J16&lt;300,SUM('Input (6)'!G7+'Input (6)'!G8)," "))</f>
        <v>96.9</v>
      </c>
      <c r="G16" s="44" t="s">
        <v>31</v>
      </c>
      <c r="H16" s="38">
        <f>IF(J16=0," ",'C (6)'!H22)</f>
        <v>7.3199999999999994</v>
      </c>
      <c r="I16" s="42" t="s">
        <v>29</v>
      </c>
      <c r="J16" s="1222">
        <f>IF('Input (6)'!G9=0,0,IF(SUM('Input (6)'!G7-'C (6)'!H25)+SUM('Input (6)'!G8-'C (6)'!H26)&lt;300,IF(P7="ADD to 1-6",SUM('Input (6)'!G7-'C (6)'!H25)+SUM('Input (6)'!G8-'C (6)'!H26)+'Input (6)'!G4,SUM('Input (6)'!G7-'C (6)'!H25)+SUM('Input (6)'!G8-'C (6)'!H26)),0))</f>
        <v>89.58</v>
      </c>
      <c r="K16" s="1222"/>
      <c r="L16" s="40" t="s">
        <v>28</v>
      </c>
      <c r="M16" s="41">
        <f>IF(SUM('Input (6)'!$G$7-'C (6)'!$H$25)+SUM('Input (6)'!$G$8-'C (6)'!$H$26)&lt;299.99,LOOKUP(J16,'criteria (6)'!$M$3:$M$11,'criteria (6)'!$N$3:$N$11),0)</f>
        <v>16</v>
      </c>
      <c r="N16" s="42" t="s">
        <v>29</v>
      </c>
      <c r="O16" s="38">
        <f>IF(Q16=0,0,IF(Q16&lt;LOOKUP(J16,'criteria (6)'!$M$3:$M$10,'criteria (6)'!$O$3:$O$10),LOOKUP(J16,'criteria (6)'!$M$3:$M$10,'criteria (6)'!$O$3:$O$10),Q16))</f>
        <v>5.6</v>
      </c>
      <c r="P16" s="2" t="str">
        <f>IF(O16=0," ",IF(O16=Q16," ","Minimum"))</f>
        <v xml:space="preserve"> </v>
      </c>
      <c r="Q16" s="32">
        <f>ROUND(IF('Input (6)'!G9=0,0,IF(SUM('Input (6)'!$G$7-'C (6)'!$H$25)+SUM('Input (6)'!$G$8-'C (6)'!$H$26)&gt;299.99,0,(J16/M16))),2)</f>
        <v>5.6</v>
      </c>
    </row>
    <row r="17" spans="1:17" ht="6" customHeight="1">
      <c r="J17" s="43"/>
      <c r="K17" s="43"/>
      <c r="O17" s="43"/>
    </row>
    <row r="18" spans="1:17" ht="15">
      <c r="B18" s="5" t="s">
        <v>10</v>
      </c>
      <c r="F18" s="41">
        <f>IF(J18=0," ",'Input (6)'!G10)</f>
        <v>134.9</v>
      </c>
      <c r="G18" s="44" t="s">
        <v>31</v>
      </c>
      <c r="H18" s="38"/>
      <c r="I18" s="42" t="s">
        <v>29</v>
      </c>
      <c r="J18" s="1222">
        <f>IF('Input (6)'!G10=0,0,'Input (6)'!G10)</f>
        <v>134.9</v>
      </c>
      <c r="K18" s="1222"/>
      <c r="L18" s="40" t="s">
        <v>28</v>
      </c>
      <c r="M18" s="41">
        <f>IF(J18=0,0,IF(J18&gt;99.99,LOOKUP(J18,'criteria (6)'!Q3:Q10,'criteria (6)'!R3:R10),12))</f>
        <v>12</v>
      </c>
      <c r="N18" s="42" t="s">
        <v>29</v>
      </c>
      <c r="O18" s="38">
        <f>ROUND(IF(J18=0,0,IF(J18&lt;99.99,IF(M18=0,8,(J18/M18)),IF(Q18&lt;LOOKUP(J18,'criteria (6)'!$Q$3:$Q$10,'criteria (6)'!$S$3:$S$10),LOOKUP(J18,'criteria (6)'!$Q$3:$Q$10,'criteria (6)'!$S$3:$S$10),Q18))),2)</f>
        <v>11.24</v>
      </c>
      <c r="P18" s="2" t="str">
        <f>IF(O18=0," ",IF(O18=Q18," ","Minimum"))</f>
        <v xml:space="preserve"> </v>
      </c>
      <c r="Q18" s="32">
        <f>ROUND(IF(M18=0,0,(J18/M18)),2)</f>
        <v>11.24</v>
      </c>
    </row>
    <row r="19" spans="1:17">
      <c r="B19" s="5"/>
      <c r="J19" s="39"/>
      <c r="K19" s="39"/>
      <c r="M19" s="36"/>
      <c r="N19" s="42"/>
      <c r="O19" s="36"/>
    </row>
    <row r="20" spans="1:17" ht="15.6">
      <c r="A20" s="48" t="s">
        <v>43</v>
      </c>
      <c r="J20" s="43"/>
      <c r="K20" s="43"/>
    </row>
    <row r="21" spans="1:17" ht="3.75" customHeight="1">
      <c r="J21" s="43"/>
      <c r="K21" s="43"/>
    </row>
    <row r="22" spans="1:17">
      <c r="B22" s="2" t="s">
        <v>44</v>
      </c>
      <c r="J22" s="1222" t="str">
        <f>IF('C (6)'!H55=0," ",'C (6)'!H55)</f>
        <v xml:space="preserve"> </v>
      </c>
      <c r="K22" s="1222"/>
    </row>
    <row r="23" spans="1:17" ht="6" customHeight="1">
      <c r="J23" s="43"/>
      <c r="K23" s="43"/>
    </row>
    <row r="24" spans="1:17">
      <c r="B24" s="2" t="s">
        <v>45</v>
      </c>
      <c r="J24" s="1222">
        <f>IF('C (6)'!H22=0," ",'C (6)'!H22)</f>
        <v>7.3199999999999994</v>
      </c>
      <c r="K24" s="1222"/>
    </row>
    <row r="25" spans="1:17" ht="6" customHeight="1">
      <c r="J25" s="43"/>
      <c r="K25" s="43"/>
    </row>
    <row r="26" spans="1:17">
      <c r="B26" s="2" t="s">
        <v>46</v>
      </c>
      <c r="J26" s="1222">
        <f>0</f>
        <v>0</v>
      </c>
      <c r="K26" s="1222"/>
    </row>
    <row r="27" spans="1:17" ht="6" customHeight="1">
      <c r="J27" s="43"/>
      <c r="K27" s="43"/>
    </row>
    <row r="28" spans="1:17" ht="6" customHeight="1">
      <c r="J28" s="39"/>
      <c r="K28" s="39"/>
    </row>
    <row r="29" spans="1:17" ht="13.5" customHeight="1" thickBot="1">
      <c r="B29" s="46" t="s">
        <v>47</v>
      </c>
      <c r="J29" s="1219">
        <f>SUM(J22:K27)</f>
        <v>7.3199999999999994</v>
      </c>
      <c r="K29" s="1219"/>
      <c r="L29" s="40" t="s">
        <v>28</v>
      </c>
      <c r="M29" s="41">
        <f>IF(SUM('Input (6)'!C4:C10)=0,0,IF(J29&gt;=14,LOOKUP(J29,'criteria (6)'!$U$3:$U$10,'criteria (6)'!$V$3:$V$10),0))</f>
        <v>0</v>
      </c>
      <c r="N29" s="42" t="s">
        <v>29</v>
      </c>
      <c r="O29" s="38">
        <f>IF(J29=0,0,IF(Q29&lt;LOOKUP(J29,'criteria (6)'!$U$3:$U$10,'criteria (6)'!$W$3:$W$10),LOOKUP(J29,'criteria (6)'!$U$3:$U$10,'criteria (6)'!$W$3:$W$10),Q29))</f>
        <v>0.5</v>
      </c>
      <c r="P29" s="2" t="str">
        <f>IF(O29=0," ",IF(O29=Q29," ","Minimum"))</f>
        <v>Minimum</v>
      </c>
      <c r="Q29" s="32">
        <f>ROUND(IF(SUM('Input (6)'!C4:C10)=0,0,IF(M29=0,0,(J29/M29))),2)</f>
        <v>0</v>
      </c>
    </row>
    <row r="30" spans="1:17" ht="12" customHeight="1" thickTop="1">
      <c r="B30" s="1226"/>
      <c r="C30" s="1226"/>
      <c r="D30" s="1226"/>
      <c r="E30" s="1226"/>
      <c r="F30" s="47"/>
      <c r="G30" s="47"/>
      <c r="H30" s="47"/>
      <c r="J30" s="12"/>
      <c r="N30" s="42"/>
      <c r="O30" s="39"/>
      <c r="P30" s="46"/>
    </row>
    <row r="31" spans="1:17" ht="19.5" customHeight="1">
      <c r="A31" s="48" t="s">
        <v>39</v>
      </c>
      <c r="O31" s="43"/>
    </row>
    <row r="32" spans="1:17" ht="15">
      <c r="B32" s="1227" t="str">
        <f>IF('Input (6)'!E14=0," ","Alternative Secondary High School")</f>
        <v xml:space="preserve"> </v>
      </c>
      <c r="C32" s="1227"/>
      <c r="D32" s="1227"/>
      <c r="E32" s="1227"/>
      <c r="F32" s="1227"/>
      <c r="J32" s="1222">
        <f>'Input (6)'!G14</f>
        <v>0</v>
      </c>
      <c r="K32" s="1222"/>
      <c r="L32" s="40" t="s">
        <v>28</v>
      </c>
      <c r="M32" s="41">
        <f>IF(J32=0,0,IF(Q32&lt;1,M18,12))</f>
        <v>0</v>
      </c>
      <c r="N32" s="42" t="s">
        <v>29</v>
      </c>
      <c r="O32" s="38">
        <f>ROUND(IF(J32=0,0,J32/M32),2)</f>
        <v>0</v>
      </c>
      <c r="P32" s="45"/>
      <c r="Q32" s="32">
        <f>ROUND(IF(J32=0,0,J32/12),2)</f>
        <v>0</v>
      </c>
    </row>
    <row r="33" spans="1:17" ht="11.25" customHeight="1">
      <c r="J33" s="43"/>
      <c r="K33" s="43"/>
      <c r="O33" s="43"/>
    </row>
    <row r="34" spans="1:17" ht="11.25" customHeight="1">
      <c r="B34" s="1227" t="str">
        <f>IF('Input (6)'!E15=0," ","Summer Alternative Secondary High School")</f>
        <v xml:space="preserve"> </v>
      </c>
      <c r="C34" s="1227"/>
      <c r="D34" s="1227"/>
      <c r="E34" s="1227"/>
      <c r="F34" s="1227"/>
      <c r="J34" s="1222">
        <f>'Input (6)'!E15</f>
        <v>0</v>
      </c>
      <c r="K34" s="1222"/>
      <c r="L34" s="40" t="s">
        <v>28</v>
      </c>
      <c r="M34" s="41">
        <f>IF(J34=0,0,40)</f>
        <v>0</v>
      </c>
      <c r="N34" s="42" t="s">
        <v>29</v>
      </c>
      <c r="O34" s="38">
        <f>ROUND(IF(J34=0,0,J34/M34),2)</f>
        <v>0</v>
      </c>
      <c r="P34" s="45"/>
      <c r="Q34" s="32">
        <f>ROUND(IF(J34=0,0,J34/12),2)</f>
        <v>0</v>
      </c>
    </row>
    <row r="35" spans="1:17" ht="13.5" customHeight="1">
      <c r="J35" s="36"/>
      <c r="K35" s="36"/>
      <c r="L35" s="40"/>
      <c r="M35" s="36"/>
      <c r="N35" s="42"/>
      <c r="O35" s="36"/>
      <c r="P35" s="46"/>
    </row>
    <row r="36" spans="1:17" ht="18.75" customHeight="1" thickBot="1">
      <c r="A36" s="45"/>
      <c r="B36" s="12" t="s">
        <v>40</v>
      </c>
      <c r="C36" s="46"/>
      <c r="D36" s="46"/>
      <c r="E36" s="46"/>
      <c r="F36" s="46"/>
      <c r="G36" s="46"/>
      <c r="H36" s="46"/>
      <c r="I36" s="46"/>
      <c r="J36" s="46"/>
      <c r="K36" s="46"/>
      <c r="M36" s="36"/>
      <c r="O36" s="52">
        <f>ROUND(IF(SUM(O7:O34)=0,0,SUM(O7:O34)),2)</f>
        <v>17.940000000000001</v>
      </c>
    </row>
    <row r="37" spans="1:17" ht="13.8" thickTop="1">
      <c r="M37" s="1218" t="str">
        <f>IF(O36=0," ",IF(O36&lt;'Best 28 (6)'!O36,"Do Not Use","You May Use this Calculation"))</f>
        <v>You May Use this Calculation</v>
      </c>
      <c r="N37" s="1218"/>
      <c r="O37" s="1218"/>
      <c r="P37" s="1218"/>
    </row>
  </sheetData>
  <sheetProtection password="CDD6" sheet="1" objects="1" scenarios="1"/>
  <mergeCells count="19">
    <mergeCell ref="M37:P37"/>
    <mergeCell ref="J29:K29"/>
    <mergeCell ref="B30:E30"/>
    <mergeCell ref="B32:F32"/>
    <mergeCell ref="J32:K32"/>
    <mergeCell ref="B34:F34"/>
    <mergeCell ref="J34:K34"/>
    <mergeCell ref="J26:K26"/>
    <mergeCell ref="A1:O1"/>
    <mergeCell ref="A2:O2"/>
    <mergeCell ref="A3:O3"/>
    <mergeCell ref="J5:K5"/>
    <mergeCell ref="J7:K7"/>
    <mergeCell ref="J11:K11"/>
    <mergeCell ref="J13:K13"/>
    <mergeCell ref="J16:K16"/>
    <mergeCell ref="J18:K18"/>
    <mergeCell ref="J22:K22"/>
    <mergeCell ref="J24:K24"/>
  </mergeCells>
  <conditionalFormatting sqref="M37:P37">
    <cfRule type="cellIs" dxfId="15" priority="1" stopIfTrue="1" operator="equal">
      <formula>"Do Not Use"</formula>
    </cfRule>
    <cfRule type="cellIs" dxfId="14" priority="2" stopIfTrue="1" operator="equal">
      <formula>"You May Use this Calculation"</formula>
    </cfRule>
  </conditionalFormatting>
  <pageMargins left="0.5" right="0.5" top="0.5" bottom="0.5" header="0.25" footer="0.25"/>
  <pageSetup scale="76" orientation="portrait" r:id="rId1"/>
  <headerFooter alignWithMargins="0">
    <oddFooter>&amp;L&amp;F</oddFooter>
  </headerFooter>
  <colBreaks count="1" manualBreakCount="1">
    <brk id="16" max="1048575"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6"/>
  <dimension ref="A1:K57"/>
  <sheetViews>
    <sheetView showGridLines="0" zoomScaleNormal="100" workbookViewId="0">
      <selection activeCell="H10" sqref="H10:I10"/>
    </sheetView>
  </sheetViews>
  <sheetFormatPr defaultRowHeight="13.2"/>
  <cols>
    <col min="1" max="1" width="6" style="30" customWidth="1"/>
    <col min="2" max="5" width="8.77734375" style="2"/>
    <col min="6" max="6" width="17.21875" style="2" customWidth="1"/>
    <col min="7" max="7" width="2.77734375" style="30" customWidth="1"/>
    <col min="8" max="9" width="8.77734375" style="2"/>
    <col min="10" max="10" width="6.5546875" style="2" customWidth="1"/>
    <col min="11" max="11" width="10.21875" style="2" customWidth="1"/>
    <col min="12" max="256" width="8.77734375" style="2"/>
    <col min="257" max="257" width="6" style="2" customWidth="1"/>
    <col min="258" max="261" width="8.77734375" style="2"/>
    <col min="262" max="262" width="17.21875" style="2" customWidth="1"/>
    <col min="263" max="263" width="2.77734375" style="2" customWidth="1"/>
    <col min="264" max="265" width="8.77734375" style="2"/>
    <col min="266" max="266" width="6.5546875" style="2" customWidth="1"/>
    <col min="267" max="267" width="10.21875" style="2" customWidth="1"/>
    <col min="268" max="512" width="8.77734375" style="2"/>
    <col min="513" max="513" width="6" style="2" customWidth="1"/>
    <col min="514" max="517" width="8.77734375" style="2"/>
    <col min="518" max="518" width="17.21875" style="2" customWidth="1"/>
    <col min="519" max="519" width="2.77734375" style="2" customWidth="1"/>
    <col min="520" max="521" width="8.77734375" style="2"/>
    <col min="522" max="522" width="6.5546875" style="2" customWidth="1"/>
    <col min="523" max="523" width="10.21875" style="2" customWidth="1"/>
    <col min="524" max="768" width="8.77734375" style="2"/>
    <col min="769" max="769" width="6" style="2" customWidth="1"/>
    <col min="770" max="773" width="8.77734375" style="2"/>
    <col min="774" max="774" width="17.21875" style="2" customWidth="1"/>
    <col min="775" max="775" width="2.77734375" style="2" customWidth="1"/>
    <col min="776" max="777" width="8.77734375" style="2"/>
    <col min="778" max="778" width="6.5546875" style="2" customWidth="1"/>
    <col min="779" max="779" width="10.21875" style="2" customWidth="1"/>
    <col min="780" max="1024" width="8.77734375" style="2"/>
    <col min="1025" max="1025" width="6" style="2" customWidth="1"/>
    <col min="1026" max="1029" width="8.77734375" style="2"/>
    <col min="1030" max="1030" width="17.21875" style="2" customWidth="1"/>
    <col min="1031" max="1031" width="2.77734375" style="2" customWidth="1"/>
    <col min="1032" max="1033" width="8.77734375" style="2"/>
    <col min="1034" max="1034" width="6.5546875" style="2" customWidth="1"/>
    <col min="1035" max="1035" width="10.21875" style="2" customWidth="1"/>
    <col min="1036" max="1280" width="8.77734375" style="2"/>
    <col min="1281" max="1281" width="6" style="2" customWidth="1"/>
    <col min="1282" max="1285" width="8.77734375" style="2"/>
    <col min="1286" max="1286" width="17.21875" style="2" customWidth="1"/>
    <col min="1287" max="1287" width="2.77734375" style="2" customWidth="1"/>
    <col min="1288" max="1289" width="8.77734375" style="2"/>
    <col min="1290" max="1290" width="6.5546875" style="2" customWidth="1"/>
    <col min="1291" max="1291" width="10.21875" style="2" customWidth="1"/>
    <col min="1292" max="1536" width="8.77734375" style="2"/>
    <col min="1537" max="1537" width="6" style="2" customWidth="1"/>
    <col min="1538" max="1541" width="8.77734375" style="2"/>
    <col min="1542" max="1542" width="17.21875" style="2" customWidth="1"/>
    <col min="1543" max="1543" width="2.77734375" style="2" customWidth="1"/>
    <col min="1544" max="1545" width="8.77734375" style="2"/>
    <col min="1546" max="1546" width="6.5546875" style="2" customWidth="1"/>
    <col min="1547" max="1547" width="10.21875" style="2" customWidth="1"/>
    <col min="1548" max="1792" width="8.77734375" style="2"/>
    <col min="1793" max="1793" width="6" style="2" customWidth="1"/>
    <col min="1794" max="1797" width="8.77734375" style="2"/>
    <col min="1798" max="1798" width="17.21875" style="2" customWidth="1"/>
    <col min="1799" max="1799" width="2.77734375" style="2" customWidth="1"/>
    <col min="1800" max="1801" width="8.77734375" style="2"/>
    <col min="1802" max="1802" width="6.5546875" style="2" customWidth="1"/>
    <col min="1803" max="1803" width="10.21875" style="2" customWidth="1"/>
    <col min="1804" max="2048" width="8.77734375" style="2"/>
    <col min="2049" max="2049" width="6" style="2" customWidth="1"/>
    <col min="2050" max="2053" width="8.77734375" style="2"/>
    <col min="2054" max="2054" width="17.21875" style="2" customWidth="1"/>
    <col min="2055" max="2055" width="2.77734375" style="2" customWidth="1"/>
    <col min="2056" max="2057" width="8.77734375" style="2"/>
    <col min="2058" max="2058" width="6.5546875" style="2" customWidth="1"/>
    <col min="2059" max="2059" width="10.21875" style="2" customWidth="1"/>
    <col min="2060" max="2304" width="8.77734375" style="2"/>
    <col min="2305" max="2305" width="6" style="2" customWidth="1"/>
    <col min="2306" max="2309" width="8.77734375" style="2"/>
    <col min="2310" max="2310" width="17.21875" style="2" customWidth="1"/>
    <col min="2311" max="2311" width="2.77734375" style="2" customWidth="1"/>
    <col min="2312" max="2313" width="8.77734375" style="2"/>
    <col min="2314" max="2314" width="6.5546875" style="2" customWidth="1"/>
    <col min="2315" max="2315" width="10.21875" style="2" customWidth="1"/>
    <col min="2316" max="2560" width="8.77734375" style="2"/>
    <col min="2561" max="2561" width="6" style="2" customWidth="1"/>
    <col min="2562" max="2565" width="8.77734375" style="2"/>
    <col min="2566" max="2566" width="17.21875" style="2" customWidth="1"/>
    <col min="2567" max="2567" width="2.77734375" style="2" customWidth="1"/>
    <col min="2568" max="2569" width="8.77734375" style="2"/>
    <col min="2570" max="2570" width="6.5546875" style="2" customWidth="1"/>
    <col min="2571" max="2571" width="10.21875" style="2" customWidth="1"/>
    <col min="2572" max="2816" width="8.77734375" style="2"/>
    <col min="2817" max="2817" width="6" style="2" customWidth="1"/>
    <col min="2818" max="2821" width="8.77734375" style="2"/>
    <col min="2822" max="2822" width="17.21875" style="2" customWidth="1"/>
    <col min="2823" max="2823" width="2.77734375" style="2" customWidth="1"/>
    <col min="2824" max="2825" width="8.77734375" style="2"/>
    <col min="2826" max="2826" width="6.5546875" style="2" customWidth="1"/>
    <col min="2827" max="2827" width="10.21875" style="2" customWidth="1"/>
    <col min="2828" max="3072" width="8.77734375" style="2"/>
    <col min="3073" max="3073" width="6" style="2" customWidth="1"/>
    <col min="3074" max="3077" width="8.77734375" style="2"/>
    <col min="3078" max="3078" width="17.21875" style="2" customWidth="1"/>
    <col min="3079" max="3079" width="2.77734375" style="2" customWidth="1"/>
    <col min="3080" max="3081" width="8.77734375" style="2"/>
    <col min="3082" max="3082" width="6.5546875" style="2" customWidth="1"/>
    <col min="3083" max="3083" width="10.21875" style="2" customWidth="1"/>
    <col min="3084" max="3328" width="8.77734375" style="2"/>
    <col min="3329" max="3329" width="6" style="2" customWidth="1"/>
    <col min="3330" max="3333" width="8.77734375" style="2"/>
    <col min="3334" max="3334" width="17.21875" style="2" customWidth="1"/>
    <col min="3335" max="3335" width="2.77734375" style="2" customWidth="1"/>
    <col min="3336" max="3337" width="8.77734375" style="2"/>
    <col min="3338" max="3338" width="6.5546875" style="2" customWidth="1"/>
    <col min="3339" max="3339" width="10.21875" style="2" customWidth="1"/>
    <col min="3340" max="3584" width="8.77734375" style="2"/>
    <col min="3585" max="3585" width="6" style="2" customWidth="1"/>
    <col min="3586" max="3589" width="8.77734375" style="2"/>
    <col min="3590" max="3590" width="17.21875" style="2" customWidth="1"/>
    <col min="3591" max="3591" width="2.77734375" style="2" customWidth="1"/>
    <col min="3592" max="3593" width="8.77734375" style="2"/>
    <col min="3594" max="3594" width="6.5546875" style="2" customWidth="1"/>
    <col min="3595" max="3595" width="10.21875" style="2" customWidth="1"/>
    <col min="3596" max="3840" width="8.77734375" style="2"/>
    <col min="3841" max="3841" width="6" style="2" customWidth="1"/>
    <col min="3842" max="3845" width="8.77734375" style="2"/>
    <col min="3846" max="3846" width="17.21875" style="2" customWidth="1"/>
    <col min="3847" max="3847" width="2.77734375" style="2" customWidth="1"/>
    <col min="3848" max="3849" width="8.77734375" style="2"/>
    <col min="3850" max="3850" width="6.5546875" style="2" customWidth="1"/>
    <col min="3851" max="3851" width="10.21875" style="2" customWidth="1"/>
    <col min="3852" max="4096" width="8.77734375" style="2"/>
    <col min="4097" max="4097" width="6" style="2" customWidth="1"/>
    <col min="4098" max="4101" width="8.77734375" style="2"/>
    <col min="4102" max="4102" width="17.21875" style="2" customWidth="1"/>
    <col min="4103" max="4103" width="2.77734375" style="2" customWidth="1"/>
    <col min="4104" max="4105" width="8.77734375" style="2"/>
    <col min="4106" max="4106" width="6.5546875" style="2" customWidth="1"/>
    <col min="4107" max="4107" width="10.21875" style="2" customWidth="1"/>
    <col min="4108" max="4352" width="8.77734375" style="2"/>
    <col min="4353" max="4353" width="6" style="2" customWidth="1"/>
    <col min="4354" max="4357" width="8.77734375" style="2"/>
    <col min="4358" max="4358" width="17.21875" style="2" customWidth="1"/>
    <col min="4359" max="4359" width="2.77734375" style="2" customWidth="1"/>
    <col min="4360" max="4361" width="8.77734375" style="2"/>
    <col min="4362" max="4362" width="6.5546875" style="2" customWidth="1"/>
    <col min="4363" max="4363" width="10.21875" style="2" customWidth="1"/>
    <col min="4364" max="4608" width="8.77734375" style="2"/>
    <col min="4609" max="4609" width="6" style="2" customWidth="1"/>
    <col min="4610" max="4613" width="8.77734375" style="2"/>
    <col min="4614" max="4614" width="17.21875" style="2" customWidth="1"/>
    <col min="4615" max="4615" width="2.77734375" style="2" customWidth="1"/>
    <col min="4616" max="4617" width="8.77734375" style="2"/>
    <col min="4618" max="4618" width="6.5546875" style="2" customWidth="1"/>
    <col min="4619" max="4619" width="10.21875" style="2" customWidth="1"/>
    <col min="4620" max="4864" width="8.77734375" style="2"/>
    <col min="4865" max="4865" width="6" style="2" customWidth="1"/>
    <col min="4866" max="4869" width="8.77734375" style="2"/>
    <col min="4870" max="4870" width="17.21875" style="2" customWidth="1"/>
    <col min="4871" max="4871" width="2.77734375" style="2" customWidth="1"/>
    <col min="4872" max="4873" width="8.77734375" style="2"/>
    <col min="4874" max="4874" width="6.5546875" style="2" customWidth="1"/>
    <col min="4875" max="4875" width="10.21875" style="2" customWidth="1"/>
    <col min="4876" max="5120" width="8.77734375" style="2"/>
    <col min="5121" max="5121" width="6" style="2" customWidth="1"/>
    <col min="5122" max="5125" width="8.77734375" style="2"/>
    <col min="5126" max="5126" width="17.21875" style="2" customWidth="1"/>
    <col min="5127" max="5127" width="2.77734375" style="2" customWidth="1"/>
    <col min="5128" max="5129" width="8.77734375" style="2"/>
    <col min="5130" max="5130" width="6.5546875" style="2" customWidth="1"/>
    <col min="5131" max="5131" width="10.21875" style="2" customWidth="1"/>
    <col min="5132" max="5376" width="8.77734375" style="2"/>
    <col min="5377" max="5377" width="6" style="2" customWidth="1"/>
    <col min="5378" max="5381" width="8.77734375" style="2"/>
    <col min="5382" max="5382" width="17.21875" style="2" customWidth="1"/>
    <col min="5383" max="5383" width="2.77734375" style="2" customWidth="1"/>
    <col min="5384" max="5385" width="8.77734375" style="2"/>
    <col min="5386" max="5386" width="6.5546875" style="2" customWidth="1"/>
    <col min="5387" max="5387" width="10.21875" style="2" customWidth="1"/>
    <col min="5388" max="5632" width="8.77734375" style="2"/>
    <col min="5633" max="5633" width="6" style="2" customWidth="1"/>
    <col min="5634" max="5637" width="8.77734375" style="2"/>
    <col min="5638" max="5638" width="17.21875" style="2" customWidth="1"/>
    <col min="5639" max="5639" width="2.77734375" style="2" customWidth="1"/>
    <col min="5640" max="5641" width="8.77734375" style="2"/>
    <col min="5642" max="5642" width="6.5546875" style="2" customWidth="1"/>
    <col min="5643" max="5643" width="10.21875" style="2" customWidth="1"/>
    <col min="5644" max="5888" width="8.77734375" style="2"/>
    <col min="5889" max="5889" width="6" style="2" customWidth="1"/>
    <col min="5890" max="5893" width="8.77734375" style="2"/>
    <col min="5894" max="5894" width="17.21875" style="2" customWidth="1"/>
    <col min="5895" max="5895" width="2.77734375" style="2" customWidth="1"/>
    <col min="5896" max="5897" width="8.77734375" style="2"/>
    <col min="5898" max="5898" width="6.5546875" style="2" customWidth="1"/>
    <col min="5899" max="5899" width="10.21875" style="2" customWidth="1"/>
    <col min="5900" max="6144" width="8.77734375" style="2"/>
    <col min="6145" max="6145" width="6" style="2" customWidth="1"/>
    <col min="6146" max="6149" width="8.77734375" style="2"/>
    <col min="6150" max="6150" width="17.21875" style="2" customWidth="1"/>
    <col min="6151" max="6151" width="2.77734375" style="2" customWidth="1"/>
    <col min="6152" max="6153" width="8.77734375" style="2"/>
    <col min="6154" max="6154" width="6.5546875" style="2" customWidth="1"/>
    <col min="6155" max="6155" width="10.21875" style="2" customWidth="1"/>
    <col min="6156" max="6400" width="8.77734375" style="2"/>
    <col min="6401" max="6401" width="6" style="2" customWidth="1"/>
    <col min="6402" max="6405" width="8.77734375" style="2"/>
    <col min="6406" max="6406" width="17.21875" style="2" customWidth="1"/>
    <col min="6407" max="6407" width="2.77734375" style="2" customWidth="1"/>
    <col min="6408" max="6409" width="8.77734375" style="2"/>
    <col min="6410" max="6410" width="6.5546875" style="2" customWidth="1"/>
    <col min="6411" max="6411" width="10.21875" style="2" customWidth="1"/>
    <col min="6412" max="6656" width="8.77734375" style="2"/>
    <col min="6657" max="6657" width="6" style="2" customWidth="1"/>
    <col min="6658" max="6661" width="8.77734375" style="2"/>
    <col min="6662" max="6662" width="17.21875" style="2" customWidth="1"/>
    <col min="6663" max="6663" width="2.77734375" style="2" customWidth="1"/>
    <col min="6664" max="6665" width="8.77734375" style="2"/>
    <col min="6666" max="6666" width="6.5546875" style="2" customWidth="1"/>
    <col min="6667" max="6667" width="10.21875" style="2" customWidth="1"/>
    <col min="6668" max="6912" width="8.77734375" style="2"/>
    <col min="6913" max="6913" width="6" style="2" customWidth="1"/>
    <col min="6914" max="6917" width="8.77734375" style="2"/>
    <col min="6918" max="6918" width="17.21875" style="2" customWidth="1"/>
    <col min="6919" max="6919" width="2.77734375" style="2" customWidth="1"/>
    <col min="6920" max="6921" width="8.77734375" style="2"/>
    <col min="6922" max="6922" width="6.5546875" style="2" customWidth="1"/>
    <col min="6923" max="6923" width="10.21875" style="2" customWidth="1"/>
    <col min="6924" max="7168" width="8.77734375" style="2"/>
    <col min="7169" max="7169" width="6" style="2" customWidth="1"/>
    <col min="7170" max="7173" width="8.77734375" style="2"/>
    <col min="7174" max="7174" width="17.21875" style="2" customWidth="1"/>
    <col min="7175" max="7175" width="2.77734375" style="2" customWidth="1"/>
    <col min="7176" max="7177" width="8.77734375" style="2"/>
    <col min="7178" max="7178" width="6.5546875" style="2" customWidth="1"/>
    <col min="7179" max="7179" width="10.21875" style="2" customWidth="1"/>
    <col min="7180" max="7424" width="8.77734375" style="2"/>
    <col min="7425" max="7425" width="6" style="2" customWidth="1"/>
    <col min="7426" max="7429" width="8.77734375" style="2"/>
    <col min="7430" max="7430" width="17.21875" style="2" customWidth="1"/>
    <col min="7431" max="7431" width="2.77734375" style="2" customWidth="1"/>
    <col min="7432" max="7433" width="8.77734375" style="2"/>
    <col min="7434" max="7434" width="6.5546875" style="2" customWidth="1"/>
    <col min="7435" max="7435" width="10.21875" style="2" customWidth="1"/>
    <col min="7436" max="7680" width="8.77734375" style="2"/>
    <col min="7681" max="7681" width="6" style="2" customWidth="1"/>
    <col min="7682" max="7685" width="8.77734375" style="2"/>
    <col min="7686" max="7686" width="17.21875" style="2" customWidth="1"/>
    <col min="7687" max="7687" width="2.77734375" style="2" customWidth="1"/>
    <col min="7688" max="7689" width="8.77734375" style="2"/>
    <col min="7690" max="7690" width="6.5546875" style="2" customWidth="1"/>
    <col min="7691" max="7691" width="10.21875" style="2" customWidth="1"/>
    <col min="7692" max="7936" width="8.77734375" style="2"/>
    <col min="7937" max="7937" width="6" style="2" customWidth="1"/>
    <col min="7938" max="7941" width="8.77734375" style="2"/>
    <col min="7942" max="7942" width="17.21875" style="2" customWidth="1"/>
    <col min="7943" max="7943" width="2.77734375" style="2" customWidth="1"/>
    <col min="7944" max="7945" width="8.77734375" style="2"/>
    <col min="7946" max="7946" width="6.5546875" style="2" customWidth="1"/>
    <col min="7947" max="7947" width="10.21875" style="2" customWidth="1"/>
    <col min="7948" max="8192" width="8.77734375" style="2"/>
    <col min="8193" max="8193" width="6" style="2" customWidth="1"/>
    <col min="8194" max="8197" width="8.77734375" style="2"/>
    <col min="8198" max="8198" width="17.21875" style="2" customWidth="1"/>
    <col min="8199" max="8199" width="2.77734375" style="2" customWidth="1"/>
    <col min="8200" max="8201" width="8.77734375" style="2"/>
    <col min="8202" max="8202" width="6.5546875" style="2" customWidth="1"/>
    <col min="8203" max="8203" width="10.21875" style="2" customWidth="1"/>
    <col min="8204" max="8448" width="8.77734375" style="2"/>
    <col min="8449" max="8449" width="6" style="2" customWidth="1"/>
    <col min="8450" max="8453" width="8.77734375" style="2"/>
    <col min="8454" max="8454" width="17.21875" style="2" customWidth="1"/>
    <col min="8455" max="8455" width="2.77734375" style="2" customWidth="1"/>
    <col min="8456" max="8457" width="8.77734375" style="2"/>
    <col min="8458" max="8458" width="6.5546875" style="2" customWidth="1"/>
    <col min="8459" max="8459" width="10.21875" style="2" customWidth="1"/>
    <col min="8460" max="8704" width="8.77734375" style="2"/>
    <col min="8705" max="8705" width="6" style="2" customWidth="1"/>
    <col min="8706" max="8709" width="8.77734375" style="2"/>
    <col min="8710" max="8710" width="17.21875" style="2" customWidth="1"/>
    <col min="8711" max="8711" width="2.77734375" style="2" customWidth="1"/>
    <col min="8712" max="8713" width="8.77734375" style="2"/>
    <col min="8714" max="8714" width="6.5546875" style="2" customWidth="1"/>
    <col min="8715" max="8715" width="10.21875" style="2" customWidth="1"/>
    <col min="8716" max="8960" width="8.77734375" style="2"/>
    <col min="8961" max="8961" width="6" style="2" customWidth="1"/>
    <col min="8962" max="8965" width="8.77734375" style="2"/>
    <col min="8966" max="8966" width="17.21875" style="2" customWidth="1"/>
    <col min="8967" max="8967" width="2.77734375" style="2" customWidth="1"/>
    <col min="8968" max="8969" width="8.77734375" style="2"/>
    <col min="8970" max="8970" width="6.5546875" style="2" customWidth="1"/>
    <col min="8971" max="8971" width="10.21875" style="2" customWidth="1"/>
    <col min="8972" max="9216" width="8.77734375" style="2"/>
    <col min="9217" max="9217" width="6" style="2" customWidth="1"/>
    <col min="9218" max="9221" width="8.77734375" style="2"/>
    <col min="9222" max="9222" width="17.21875" style="2" customWidth="1"/>
    <col min="9223" max="9223" width="2.77734375" style="2" customWidth="1"/>
    <col min="9224" max="9225" width="8.77734375" style="2"/>
    <col min="9226" max="9226" width="6.5546875" style="2" customWidth="1"/>
    <col min="9227" max="9227" width="10.21875" style="2" customWidth="1"/>
    <col min="9228" max="9472" width="8.77734375" style="2"/>
    <col min="9473" max="9473" width="6" style="2" customWidth="1"/>
    <col min="9474" max="9477" width="8.77734375" style="2"/>
    <col min="9478" max="9478" width="17.21875" style="2" customWidth="1"/>
    <col min="9479" max="9479" width="2.77734375" style="2" customWidth="1"/>
    <col min="9480" max="9481" width="8.77734375" style="2"/>
    <col min="9482" max="9482" width="6.5546875" style="2" customWidth="1"/>
    <col min="9483" max="9483" width="10.21875" style="2" customWidth="1"/>
    <col min="9484" max="9728" width="8.77734375" style="2"/>
    <col min="9729" max="9729" width="6" style="2" customWidth="1"/>
    <col min="9730" max="9733" width="8.77734375" style="2"/>
    <col min="9734" max="9734" width="17.21875" style="2" customWidth="1"/>
    <col min="9735" max="9735" width="2.77734375" style="2" customWidth="1"/>
    <col min="9736" max="9737" width="8.77734375" style="2"/>
    <col min="9738" max="9738" width="6.5546875" style="2" customWidth="1"/>
    <col min="9739" max="9739" width="10.21875" style="2" customWidth="1"/>
    <col min="9740" max="9984" width="8.77734375" style="2"/>
    <col min="9985" max="9985" width="6" style="2" customWidth="1"/>
    <col min="9986" max="9989" width="8.77734375" style="2"/>
    <col min="9990" max="9990" width="17.21875" style="2" customWidth="1"/>
    <col min="9991" max="9991" width="2.77734375" style="2" customWidth="1"/>
    <col min="9992" max="9993" width="8.77734375" style="2"/>
    <col min="9994" max="9994" width="6.5546875" style="2" customWidth="1"/>
    <col min="9995" max="9995" width="10.21875" style="2" customWidth="1"/>
    <col min="9996" max="10240" width="8.77734375" style="2"/>
    <col min="10241" max="10241" width="6" style="2" customWidth="1"/>
    <col min="10242" max="10245" width="8.77734375" style="2"/>
    <col min="10246" max="10246" width="17.21875" style="2" customWidth="1"/>
    <col min="10247" max="10247" width="2.77734375" style="2" customWidth="1"/>
    <col min="10248" max="10249" width="8.77734375" style="2"/>
    <col min="10250" max="10250" width="6.5546875" style="2" customWidth="1"/>
    <col min="10251" max="10251" width="10.21875" style="2" customWidth="1"/>
    <col min="10252" max="10496" width="8.77734375" style="2"/>
    <col min="10497" max="10497" width="6" style="2" customWidth="1"/>
    <col min="10498" max="10501" width="8.77734375" style="2"/>
    <col min="10502" max="10502" width="17.21875" style="2" customWidth="1"/>
    <col min="10503" max="10503" width="2.77734375" style="2" customWidth="1"/>
    <col min="10504" max="10505" width="8.77734375" style="2"/>
    <col min="10506" max="10506" width="6.5546875" style="2" customWidth="1"/>
    <col min="10507" max="10507" width="10.21875" style="2" customWidth="1"/>
    <col min="10508" max="10752" width="8.77734375" style="2"/>
    <col min="10753" max="10753" width="6" style="2" customWidth="1"/>
    <col min="10754" max="10757" width="8.77734375" style="2"/>
    <col min="10758" max="10758" width="17.21875" style="2" customWidth="1"/>
    <col min="10759" max="10759" width="2.77734375" style="2" customWidth="1"/>
    <col min="10760" max="10761" width="8.77734375" style="2"/>
    <col min="10762" max="10762" width="6.5546875" style="2" customWidth="1"/>
    <col min="10763" max="10763" width="10.21875" style="2" customWidth="1"/>
    <col min="10764" max="11008" width="8.77734375" style="2"/>
    <col min="11009" max="11009" width="6" style="2" customWidth="1"/>
    <col min="11010" max="11013" width="8.77734375" style="2"/>
    <col min="11014" max="11014" width="17.21875" style="2" customWidth="1"/>
    <col min="11015" max="11015" width="2.77734375" style="2" customWidth="1"/>
    <col min="11016" max="11017" width="8.77734375" style="2"/>
    <col min="11018" max="11018" width="6.5546875" style="2" customWidth="1"/>
    <col min="11019" max="11019" width="10.21875" style="2" customWidth="1"/>
    <col min="11020" max="11264" width="8.77734375" style="2"/>
    <col min="11265" max="11265" width="6" style="2" customWidth="1"/>
    <col min="11266" max="11269" width="8.77734375" style="2"/>
    <col min="11270" max="11270" width="17.21875" style="2" customWidth="1"/>
    <col min="11271" max="11271" width="2.77734375" style="2" customWidth="1"/>
    <col min="11272" max="11273" width="8.77734375" style="2"/>
    <col min="11274" max="11274" width="6.5546875" style="2" customWidth="1"/>
    <col min="11275" max="11275" width="10.21875" style="2" customWidth="1"/>
    <col min="11276" max="11520" width="8.77734375" style="2"/>
    <col min="11521" max="11521" width="6" style="2" customWidth="1"/>
    <col min="11522" max="11525" width="8.77734375" style="2"/>
    <col min="11526" max="11526" width="17.21875" style="2" customWidth="1"/>
    <col min="11527" max="11527" width="2.77734375" style="2" customWidth="1"/>
    <col min="11528" max="11529" width="8.77734375" style="2"/>
    <col min="11530" max="11530" width="6.5546875" style="2" customWidth="1"/>
    <col min="11531" max="11531" width="10.21875" style="2" customWidth="1"/>
    <col min="11532" max="11776" width="8.77734375" style="2"/>
    <col min="11777" max="11777" width="6" style="2" customWidth="1"/>
    <col min="11778" max="11781" width="8.77734375" style="2"/>
    <col min="11782" max="11782" width="17.21875" style="2" customWidth="1"/>
    <col min="11783" max="11783" width="2.77734375" style="2" customWidth="1"/>
    <col min="11784" max="11785" width="8.77734375" style="2"/>
    <col min="11786" max="11786" width="6.5546875" style="2" customWidth="1"/>
    <col min="11787" max="11787" width="10.21875" style="2" customWidth="1"/>
    <col min="11788" max="12032" width="8.77734375" style="2"/>
    <col min="12033" max="12033" width="6" style="2" customWidth="1"/>
    <col min="12034" max="12037" width="8.77734375" style="2"/>
    <col min="12038" max="12038" width="17.21875" style="2" customWidth="1"/>
    <col min="12039" max="12039" width="2.77734375" style="2" customWidth="1"/>
    <col min="12040" max="12041" width="8.77734375" style="2"/>
    <col min="12042" max="12042" width="6.5546875" style="2" customWidth="1"/>
    <col min="12043" max="12043" width="10.21875" style="2" customWidth="1"/>
    <col min="12044" max="12288" width="8.77734375" style="2"/>
    <col min="12289" max="12289" width="6" style="2" customWidth="1"/>
    <col min="12290" max="12293" width="8.77734375" style="2"/>
    <col min="12294" max="12294" width="17.21875" style="2" customWidth="1"/>
    <col min="12295" max="12295" width="2.77734375" style="2" customWidth="1"/>
    <col min="12296" max="12297" width="8.77734375" style="2"/>
    <col min="12298" max="12298" width="6.5546875" style="2" customWidth="1"/>
    <col min="12299" max="12299" width="10.21875" style="2" customWidth="1"/>
    <col min="12300" max="12544" width="8.77734375" style="2"/>
    <col min="12545" max="12545" width="6" style="2" customWidth="1"/>
    <col min="12546" max="12549" width="8.77734375" style="2"/>
    <col min="12550" max="12550" width="17.21875" style="2" customWidth="1"/>
    <col min="12551" max="12551" width="2.77734375" style="2" customWidth="1"/>
    <col min="12552" max="12553" width="8.77734375" style="2"/>
    <col min="12554" max="12554" width="6.5546875" style="2" customWidth="1"/>
    <col min="12555" max="12555" width="10.21875" style="2" customWidth="1"/>
    <col min="12556" max="12800" width="8.77734375" style="2"/>
    <col min="12801" max="12801" width="6" style="2" customWidth="1"/>
    <col min="12802" max="12805" width="8.77734375" style="2"/>
    <col min="12806" max="12806" width="17.21875" style="2" customWidth="1"/>
    <col min="12807" max="12807" width="2.77734375" style="2" customWidth="1"/>
    <col min="12808" max="12809" width="8.77734375" style="2"/>
    <col min="12810" max="12810" width="6.5546875" style="2" customWidth="1"/>
    <col min="12811" max="12811" width="10.21875" style="2" customWidth="1"/>
    <col min="12812" max="13056" width="8.77734375" style="2"/>
    <col min="13057" max="13057" width="6" style="2" customWidth="1"/>
    <col min="13058" max="13061" width="8.77734375" style="2"/>
    <col min="13062" max="13062" width="17.21875" style="2" customWidth="1"/>
    <col min="13063" max="13063" width="2.77734375" style="2" customWidth="1"/>
    <col min="13064" max="13065" width="8.77734375" style="2"/>
    <col min="13066" max="13066" width="6.5546875" style="2" customWidth="1"/>
    <col min="13067" max="13067" width="10.21875" style="2" customWidth="1"/>
    <col min="13068" max="13312" width="8.77734375" style="2"/>
    <col min="13313" max="13313" width="6" style="2" customWidth="1"/>
    <col min="13314" max="13317" width="8.77734375" style="2"/>
    <col min="13318" max="13318" width="17.21875" style="2" customWidth="1"/>
    <col min="13319" max="13319" width="2.77734375" style="2" customWidth="1"/>
    <col min="13320" max="13321" width="8.77734375" style="2"/>
    <col min="13322" max="13322" width="6.5546875" style="2" customWidth="1"/>
    <col min="13323" max="13323" width="10.21875" style="2" customWidth="1"/>
    <col min="13324" max="13568" width="8.77734375" style="2"/>
    <col min="13569" max="13569" width="6" style="2" customWidth="1"/>
    <col min="13570" max="13573" width="8.77734375" style="2"/>
    <col min="13574" max="13574" width="17.21875" style="2" customWidth="1"/>
    <col min="13575" max="13575" width="2.77734375" style="2" customWidth="1"/>
    <col min="13576" max="13577" width="8.77734375" style="2"/>
    <col min="13578" max="13578" width="6.5546875" style="2" customWidth="1"/>
    <col min="13579" max="13579" width="10.21875" style="2" customWidth="1"/>
    <col min="13580" max="13824" width="8.77734375" style="2"/>
    <col min="13825" max="13825" width="6" style="2" customWidth="1"/>
    <col min="13826" max="13829" width="8.77734375" style="2"/>
    <col min="13830" max="13830" width="17.21875" style="2" customWidth="1"/>
    <col min="13831" max="13831" width="2.77734375" style="2" customWidth="1"/>
    <col min="13832" max="13833" width="8.77734375" style="2"/>
    <col min="13834" max="13834" width="6.5546875" style="2" customWidth="1"/>
    <col min="13835" max="13835" width="10.21875" style="2" customWidth="1"/>
    <col min="13836" max="14080" width="8.77734375" style="2"/>
    <col min="14081" max="14081" width="6" style="2" customWidth="1"/>
    <col min="14082" max="14085" width="8.77734375" style="2"/>
    <col min="14086" max="14086" width="17.21875" style="2" customWidth="1"/>
    <col min="14087" max="14087" width="2.77734375" style="2" customWidth="1"/>
    <col min="14088" max="14089" width="8.77734375" style="2"/>
    <col min="14090" max="14090" width="6.5546875" style="2" customWidth="1"/>
    <col min="14091" max="14091" width="10.21875" style="2" customWidth="1"/>
    <col min="14092" max="14336" width="8.77734375" style="2"/>
    <col min="14337" max="14337" width="6" style="2" customWidth="1"/>
    <col min="14338" max="14341" width="8.77734375" style="2"/>
    <col min="14342" max="14342" width="17.21875" style="2" customWidth="1"/>
    <col min="14343" max="14343" width="2.77734375" style="2" customWidth="1"/>
    <col min="14344" max="14345" width="8.77734375" style="2"/>
    <col min="14346" max="14346" width="6.5546875" style="2" customWidth="1"/>
    <col min="14347" max="14347" width="10.21875" style="2" customWidth="1"/>
    <col min="14348" max="14592" width="8.77734375" style="2"/>
    <col min="14593" max="14593" width="6" style="2" customWidth="1"/>
    <col min="14594" max="14597" width="8.77734375" style="2"/>
    <col min="14598" max="14598" width="17.21875" style="2" customWidth="1"/>
    <col min="14599" max="14599" width="2.77734375" style="2" customWidth="1"/>
    <col min="14600" max="14601" width="8.77734375" style="2"/>
    <col min="14602" max="14602" width="6.5546875" style="2" customWidth="1"/>
    <col min="14603" max="14603" width="10.21875" style="2" customWidth="1"/>
    <col min="14604" max="14848" width="8.77734375" style="2"/>
    <col min="14849" max="14849" width="6" style="2" customWidth="1"/>
    <col min="14850" max="14853" width="8.77734375" style="2"/>
    <col min="14854" max="14854" width="17.21875" style="2" customWidth="1"/>
    <col min="14855" max="14855" width="2.77734375" style="2" customWidth="1"/>
    <col min="14856" max="14857" width="8.77734375" style="2"/>
    <col min="14858" max="14858" width="6.5546875" style="2" customWidth="1"/>
    <col min="14859" max="14859" width="10.21875" style="2" customWidth="1"/>
    <col min="14860" max="15104" width="8.77734375" style="2"/>
    <col min="15105" max="15105" width="6" style="2" customWidth="1"/>
    <col min="15106" max="15109" width="8.77734375" style="2"/>
    <col min="15110" max="15110" width="17.21875" style="2" customWidth="1"/>
    <col min="15111" max="15111" width="2.77734375" style="2" customWidth="1"/>
    <col min="15112" max="15113" width="8.77734375" style="2"/>
    <col min="15114" max="15114" width="6.5546875" style="2" customWidth="1"/>
    <col min="15115" max="15115" width="10.21875" style="2" customWidth="1"/>
    <col min="15116" max="15360" width="8.77734375" style="2"/>
    <col min="15361" max="15361" width="6" style="2" customWidth="1"/>
    <col min="15362" max="15365" width="8.77734375" style="2"/>
    <col min="15366" max="15366" width="17.21875" style="2" customWidth="1"/>
    <col min="15367" max="15367" width="2.77734375" style="2" customWidth="1"/>
    <col min="15368" max="15369" width="8.77734375" style="2"/>
    <col min="15370" max="15370" width="6.5546875" style="2" customWidth="1"/>
    <col min="15371" max="15371" width="10.21875" style="2" customWidth="1"/>
    <col min="15372" max="15616" width="8.77734375" style="2"/>
    <col min="15617" max="15617" width="6" style="2" customWidth="1"/>
    <col min="15618" max="15621" width="8.77734375" style="2"/>
    <col min="15622" max="15622" width="17.21875" style="2" customWidth="1"/>
    <col min="15623" max="15623" width="2.77734375" style="2" customWidth="1"/>
    <col min="15624" max="15625" width="8.77734375" style="2"/>
    <col min="15626" max="15626" width="6.5546875" style="2" customWidth="1"/>
    <col min="15627" max="15627" width="10.21875" style="2" customWidth="1"/>
    <col min="15628" max="15872" width="8.77734375" style="2"/>
    <col min="15873" max="15873" width="6" style="2" customWidth="1"/>
    <col min="15874" max="15877" width="8.77734375" style="2"/>
    <col min="15878" max="15878" width="17.21875" style="2" customWidth="1"/>
    <col min="15879" max="15879" width="2.77734375" style="2" customWidth="1"/>
    <col min="15880" max="15881" width="8.77734375" style="2"/>
    <col min="15882" max="15882" width="6.5546875" style="2" customWidth="1"/>
    <col min="15883" max="15883" width="10.21875" style="2" customWidth="1"/>
    <col min="15884" max="16128" width="8.77734375" style="2"/>
    <col min="16129" max="16129" width="6" style="2" customWidth="1"/>
    <col min="16130" max="16133" width="8.77734375" style="2"/>
    <col min="16134" max="16134" width="17.21875" style="2" customWidth="1"/>
    <col min="16135" max="16135" width="2.77734375" style="2" customWidth="1"/>
    <col min="16136" max="16137" width="8.77734375" style="2"/>
    <col min="16138" max="16138" width="6.5546875" style="2" customWidth="1"/>
    <col min="16139" max="16139" width="10.21875" style="2" customWidth="1"/>
    <col min="16140" max="16384" width="8.77734375" style="2"/>
  </cols>
  <sheetData>
    <row r="1" spans="1:11" ht="15.6">
      <c r="I1" s="31"/>
      <c r="K1" s="31" t="s">
        <v>49</v>
      </c>
    </row>
    <row r="3" spans="1:11" ht="15.6">
      <c r="A3" s="1220" t="s">
        <v>50</v>
      </c>
      <c r="B3" s="1220"/>
      <c r="C3" s="1220"/>
      <c r="D3" s="1220"/>
      <c r="E3" s="1220"/>
      <c r="F3" s="1220"/>
      <c r="G3" s="1220"/>
      <c r="H3" s="1220"/>
      <c r="I3" s="1220"/>
      <c r="J3" s="1227"/>
      <c r="K3" s="1227"/>
    </row>
    <row r="5" spans="1:11" ht="15.6">
      <c r="A5" s="1220" t="s">
        <v>51</v>
      </c>
      <c r="B5" s="1220"/>
      <c r="C5" s="1220"/>
      <c r="D5" s="1220"/>
      <c r="E5" s="1220"/>
      <c r="F5" s="1220"/>
      <c r="G5" s="1220"/>
      <c r="H5" s="1220"/>
      <c r="I5" s="1220"/>
      <c r="J5" s="1229"/>
      <c r="K5" s="1227"/>
    </row>
    <row r="6" spans="1:11">
      <c r="K6" s="2" t="s">
        <v>52</v>
      </c>
    </row>
    <row r="7" spans="1:11">
      <c r="K7" s="2" t="s">
        <v>53</v>
      </c>
    </row>
    <row r="8" spans="1:11" ht="15.6">
      <c r="A8" s="48" t="s">
        <v>54</v>
      </c>
    </row>
    <row r="9" spans="1:11" ht="8.25" customHeight="1">
      <c r="A9" s="48"/>
    </row>
    <row r="10" spans="1:11" ht="15">
      <c r="A10" s="45" t="s">
        <v>55</v>
      </c>
      <c r="B10" s="46" t="s">
        <v>56</v>
      </c>
      <c r="C10" s="46"/>
      <c r="D10" s="46"/>
      <c r="E10" s="46"/>
      <c r="F10" s="46"/>
      <c r="G10" s="45" t="s">
        <v>29</v>
      </c>
      <c r="H10" s="1228">
        <f>IF('Input (6)'!C4+'Input (6)'!C7=0,0,SUM('Input (6)'!C4+'Input (6)'!C7))</f>
        <v>82</v>
      </c>
      <c r="I10" s="1228"/>
      <c r="J10" s="46"/>
      <c r="K10" s="53">
        <f>IF(H10=0,0,(H10/($H$10+$H$13)))</f>
        <v>0.67213114754098358</v>
      </c>
    </row>
    <row r="11" spans="1:11" ht="7.5" customHeight="1">
      <c r="H11" s="54"/>
      <c r="I11" s="54"/>
    </row>
    <row r="12" spans="1:11" s="46" customFormat="1" ht="15">
      <c r="A12" s="45" t="s">
        <v>57</v>
      </c>
      <c r="B12" s="46" t="s">
        <v>58</v>
      </c>
      <c r="G12" s="45"/>
      <c r="H12" s="55"/>
      <c r="I12" s="55"/>
    </row>
    <row r="13" spans="1:11" ht="15">
      <c r="B13" s="28" t="s">
        <v>59</v>
      </c>
      <c r="G13" s="30" t="s">
        <v>29</v>
      </c>
      <c r="H13" s="1228">
        <f>IF('Input (6)'!C8=0,0,SUM('Input (6)'!C8))</f>
        <v>40</v>
      </c>
      <c r="I13" s="1228"/>
      <c r="K13" s="53">
        <f>IF(H13=0,0,(H13/($H$10+$H$13)))</f>
        <v>0.32786885245901637</v>
      </c>
    </row>
    <row r="14" spans="1:11" ht="6.75" customHeight="1">
      <c r="H14" s="54"/>
      <c r="I14" s="54"/>
    </row>
    <row r="15" spans="1:11" s="46" customFormat="1" ht="15">
      <c r="A15" s="45" t="s">
        <v>60</v>
      </c>
      <c r="B15" s="46" t="s">
        <v>61</v>
      </c>
      <c r="G15" s="45"/>
      <c r="H15" s="55"/>
      <c r="I15" s="55"/>
    </row>
    <row r="16" spans="1:11" s="46" customFormat="1" ht="15">
      <c r="A16" s="45"/>
      <c r="B16" s="46" t="s">
        <v>62</v>
      </c>
      <c r="G16" s="45" t="s">
        <v>29</v>
      </c>
      <c r="H16" s="1230">
        <f>IF('Input (6)'!C22=0,0,SUM('Input (6)'!C22))</f>
        <v>0</v>
      </c>
      <c r="I16" s="1230"/>
    </row>
    <row r="17" spans="1:9" ht="6.75" customHeight="1">
      <c r="H17" s="54"/>
      <c r="I17" s="54"/>
    </row>
    <row r="18" spans="1:9" s="46" customFormat="1" ht="15">
      <c r="A18" s="45" t="s">
        <v>63</v>
      </c>
      <c r="B18" s="46" t="s">
        <v>64</v>
      </c>
      <c r="G18" s="45" t="s">
        <v>29</v>
      </c>
      <c r="H18" s="1228">
        <f>H10+H13-H16</f>
        <v>122</v>
      </c>
      <c r="I18" s="1228"/>
    </row>
    <row r="19" spans="1:9" ht="6.75" customHeight="1">
      <c r="H19" s="43"/>
      <c r="I19" s="43"/>
    </row>
    <row r="20" spans="1:9" s="46" customFormat="1" ht="15">
      <c r="A20" s="45" t="s">
        <v>65</v>
      </c>
      <c r="B20" s="46" t="s">
        <v>66</v>
      </c>
      <c r="G20" s="45" t="s">
        <v>29</v>
      </c>
      <c r="H20" s="1228">
        <f>H18*0.06</f>
        <v>7.3199999999999994</v>
      </c>
      <c r="I20" s="1228"/>
    </row>
    <row r="21" spans="1:9" ht="6.75" customHeight="1">
      <c r="H21" s="43"/>
      <c r="I21" s="43"/>
    </row>
    <row r="22" spans="1:9" s="46" customFormat="1" ht="15">
      <c r="A22" s="45" t="s">
        <v>67</v>
      </c>
      <c r="B22" s="46" t="s">
        <v>68</v>
      </c>
      <c r="G22" s="45" t="s">
        <v>29</v>
      </c>
      <c r="H22" s="1228">
        <f>H16+H20</f>
        <v>7.3199999999999994</v>
      </c>
      <c r="I22" s="1228"/>
    </row>
    <row r="23" spans="1:9" s="46" customFormat="1" ht="15">
      <c r="A23" s="45"/>
      <c r="B23" s="46" t="s">
        <v>69</v>
      </c>
      <c r="G23" s="45"/>
      <c r="H23" s="55"/>
      <c r="I23" s="55"/>
    </row>
    <row r="24" spans="1:9" s="46" customFormat="1" ht="15">
      <c r="A24" s="45"/>
      <c r="G24" s="45"/>
      <c r="H24" s="55"/>
      <c r="I24" s="55"/>
    </row>
    <row r="25" spans="1:9" s="46" customFormat="1" ht="15">
      <c r="A25" s="45" t="s">
        <v>70</v>
      </c>
      <c r="B25" s="56">
        <f>K10</f>
        <v>0.67213114754098358</v>
      </c>
      <c r="C25" s="44" t="s">
        <v>71</v>
      </c>
      <c r="D25" s="57">
        <f>H22</f>
        <v>7.3199999999999994</v>
      </c>
      <c r="E25" s="46" t="s">
        <v>72</v>
      </c>
      <c r="G25" s="45" t="s">
        <v>29</v>
      </c>
      <c r="H25" s="1228">
        <f>ROUND(SUM(B25*D25),2)</f>
        <v>4.92</v>
      </c>
      <c r="I25" s="1228"/>
    </row>
    <row r="26" spans="1:9" s="46" customFormat="1" ht="15">
      <c r="A26" s="45" t="s">
        <v>73</v>
      </c>
      <c r="B26" s="56">
        <f>K13</f>
        <v>0.32786885245901637</v>
      </c>
      <c r="C26" s="44" t="s">
        <v>71</v>
      </c>
      <c r="D26" s="57">
        <f>H22</f>
        <v>7.3199999999999994</v>
      </c>
      <c r="E26" s="46" t="s">
        <v>74</v>
      </c>
      <c r="G26" s="45" t="s">
        <v>29</v>
      </c>
      <c r="H26" s="1231">
        <f>ROUND(SUM(H22-H25),2)</f>
        <v>2.4</v>
      </c>
      <c r="I26" s="1231"/>
    </row>
    <row r="27" spans="1:9" s="46" customFormat="1" ht="15">
      <c r="A27" s="45"/>
      <c r="G27" s="45"/>
      <c r="H27" s="55"/>
      <c r="I27" s="55"/>
    </row>
    <row r="28" spans="1:9" ht="15.6">
      <c r="A28" s="48" t="s">
        <v>75</v>
      </c>
      <c r="H28" s="54"/>
      <c r="I28" s="54"/>
    </row>
    <row r="29" spans="1:9" ht="6.75" customHeight="1">
      <c r="H29" s="54"/>
      <c r="I29" s="54"/>
    </row>
    <row r="30" spans="1:9" s="46" customFormat="1" ht="15">
      <c r="A30" s="45" t="s">
        <v>76</v>
      </c>
      <c r="B30" s="46" t="s">
        <v>77</v>
      </c>
      <c r="G30" s="45"/>
      <c r="H30" s="55"/>
      <c r="I30" s="55"/>
    </row>
    <row r="31" spans="1:9" s="46" customFormat="1" ht="15">
      <c r="A31" s="45"/>
      <c r="B31" s="46" t="s">
        <v>78</v>
      </c>
      <c r="G31" s="45" t="s">
        <v>29</v>
      </c>
      <c r="H31" s="1228">
        <f>IF('Input (6)'!$C$10=0,0,'Input (6)'!C10)</f>
        <v>142</v>
      </c>
      <c r="I31" s="1228"/>
    </row>
    <row r="32" spans="1:9" s="46" customFormat="1" ht="15">
      <c r="A32" s="45"/>
      <c r="B32" s="28" t="s">
        <v>79</v>
      </c>
      <c r="G32" s="45"/>
      <c r="H32" s="55"/>
      <c r="I32" s="55"/>
    </row>
    <row r="33" spans="1:9" s="46" customFormat="1" ht="15">
      <c r="A33" s="45"/>
      <c r="B33" s="28" t="s">
        <v>80</v>
      </c>
      <c r="G33" s="45"/>
      <c r="H33" s="55"/>
      <c r="I33" s="55"/>
    </row>
    <row r="34" spans="1:9" ht="6.75" customHeight="1">
      <c r="H34" s="54"/>
      <c r="I34" s="54"/>
    </row>
    <row r="35" spans="1:9" s="46" customFormat="1" ht="15">
      <c r="A35" s="45" t="s">
        <v>81</v>
      </c>
      <c r="B35" s="46" t="s">
        <v>82</v>
      </c>
      <c r="G35" s="45"/>
      <c r="H35" s="55"/>
      <c r="I35" s="55"/>
    </row>
    <row r="36" spans="1:9" s="46" customFormat="1" ht="15">
      <c r="A36" s="45"/>
      <c r="B36" s="46" t="s">
        <v>83</v>
      </c>
      <c r="G36" s="45"/>
      <c r="H36" s="55"/>
      <c r="I36" s="55"/>
    </row>
    <row r="37" spans="1:9" s="46" customFormat="1" ht="15">
      <c r="A37" s="45"/>
      <c r="B37" s="28" t="s">
        <v>84</v>
      </c>
      <c r="G37" s="45" t="s">
        <v>29</v>
      </c>
      <c r="H37" s="1228">
        <f>IF('Input (6)'!C23=0,0,SUM('Input (6)'!C23))</f>
        <v>0</v>
      </c>
      <c r="I37" s="1228"/>
    </row>
    <row r="38" spans="1:9" ht="6.75" customHeight="1">
      <c r="H38" s="43"/>
      <c r="I38" s="43"/>
    </row>
    <row r="39" spans="1:9" s="46" customFormat="1" ht="15">
      <c r="A39" s="45" t="s">
        <v>85</v>
      </c>
      <c r="B39" s="46" t="s">
        <v>86</v>
      </c>
      <c r="G39" s="45" t="s">
        <v>29</v>
      </c>
      <c r="H39" s="1228">
        <f>IF('Input (6)'!$C$10=0,0,SUM(H31-H37))</f>
        <v>142</v>
      </c>
      <c r="I39" s="1228"/>
    </row>
    <row r="40" spans="1:9" ht="6.75" customHeight="1">
      <c r="H40" s="43"/>
      <c r="I40" s="43"/>
    </row>
    <row r="41" spans="1:9" s="46" customFormat="1" ht="15">
      <c r="A41" s="45" t="s">
        <v>87</v>
      </c>
      <c r="B41" s="46" t="s">
        <v>88</v>
      </c>
      <c r="G41" s="45" t="s">
        <v>29</v>
      </c>
      <c r="H41" s="1228">
        <f>IF('Input (6)'!$C$10=0,0,H39*0.055)</f>
        <v>7.81</v>
      </c>
      <c r="I41" s="1228"/>
    </row>
    <row r="42" spans="1:9" ht="6.75" customHeight="1">
      <c r="H42" s="43"/>
      <c r="I42" s="43"/>
    </row>
    <row r="43" spans="1:9" s="46" customFormat="1" ht="15">
      <c r="A43" s="45" t="s">
        <v>89</v>
      </c>
      <c r="B43" s="46" t="s">
        <v>90</v>
      </c>
      <c r="G43" s="45" t="s">
        <v>29</v>
      </c>
      <c r="H43" s="1228">
        <f>ROUND(IF('Input (6)'!$C$10=0,0,SUM(H37+H41)),2)</f>
        <v>7.81</v>
      </c>
      <c r="I43" s="1228"/>
    </row>
    <row r="44" spans="1:9" s="46" customFormat="1" ht="15">
      <c r="A44" s="45"/>
      <c r="B44" s="46" t="s">
        <v>91</v>
      </c>
      <c r="G44" s="45"/>
    </row>
    <row r="46" spans="1:9" ht="15.6">
      <c r="A46" s="48" t="s">
        <v>92</v>
      </c>
    </row>
    <row r="47" spans="1:9" ht="6.75" customHeight="1"/>
    <row r="48" spans="1:9" s="46" customFormat="1" ht="15">
      <c r="A48" s="45" t="s">
        <v>93</v>
      </c>
      <c r="B48" s="46" t="s">
        <v>94</v>
      </c>
      <c r="G48" s="45"/>
    </row>
    <row r="49" spans="1:9" s="46" customFormat="1" ht="15">
      <c r="A49" s="45"/>
      <c r="B49" s="46" t="s">
        <v>95</v>
      </c>
      <c r="G49" s="45"/>
    </row>
    <row r="50" spans="1:9" s="46" customFormat="1" ht="15">
      <c r="A50" s="45"/>
      <c r="B50" s="46" t="s">
        <v>96</v>
      </c>
      <c r="G50" s="45"/>
    </row>
    <row r="51" spans="1:9" s="46" customFormat="1" ht="15">
      <c r="A51" s="45"/>
      <c r="B51" s="46" t="s">
        <v>97</v>
      </c>
      <c r="G51" s="45"/>
    </row>
    <row r="52" spans="1:9" s="46" customFormat="1" ht="15">
      <c r="A52" s="45"/>
      <c r="B52" s="46" t="s">
        <v>98</v>
      </c>
      <c r="G52" s="45"/>
    </row>
    <row r="53" spans="1:9" s="46" customFormat="1" ht="15">
      <c r="A53" s="45"/>
      <c r="B53" s="46" t="s">
        <v>99</v>
      </c>
      <c r="G53" s="45"/>
    </row>
    <row r="54" spans="1:9" ht="6.75" customHeight="1"/>
    <row r="55" spans="1:9" s="46" customFormat="1" ht="15">
      <c r="A55" s="45"/>
      <c r="B55" s="46" t="s">
        <v>100</v>
      </c>
      <c r="G55" s="45" t="s">
        <v>29</v>
      </c>
      <c r="H55" s="1230">
        <f>IF('Input (6)'!$E$18+'Input (6)'!$E$19=0,0,SUM(('Input (6)'!E18*'Input (6)'!E19)/16))</f>
        <v>0</v>
      </c>
      <c r="I55" s="1230"/>
    </row>
    <row r="56" spans="1:9" s="46" customFormat="1" ht="15">
      <c r="A56" s="45"/>
      <c r="B56" s="46" t="s">
        <v>101</v>
      </c>
      <c r="G56" s="45"/>
    </row>
    <row r="57" spans="1:9" s="46" customFormat="1" ht="15">
      <c r="A57" s="45"/>
      <c r="B57" s="46" t="s">
        <v>102</v>
      </c>
      <c r="G57" s="45"/>
    </row>
  </sheetData>
  <sheetProtection password="CDD6" sheet="1" objects="1" scenarios="1"/>
  <mergeCells count="16">
    <mergeCell ref="H39:I39"/>
    <mergeCell ref="H41:I41"/>
    <mergeCell ref="H43:I43"/>
    <mergeCell ref="H55:I55"/>
    <mergeCell ref="H20:I20"/>
    <mergeCell ref="H22:I22"/>
    <mergeCell ref="H25:I25"/>
    <mergeCell ref="H26:I26"/>
    <mergeCell ref="H31:I31"/>
    <mergeCell ref="H37:I37"/>
    <mergeCell ref="H18:I18"/>
    <mergeCell ref="A3:K3"/>
    <mergeCell ref="A5:K5"/>
    <mergeCell ref="H10:I10"/>
    <mergeCell ref="H13:I13"/>
    <mergeCell ref="H16:I16"/>
  </mergeCells>
  <pageMargins left="0.5" right="0.5" top="0.63" bottom="1" header="0.33" footer="0.5"/>
  <pageSetup scale="93" orientation="portrait" r:id="rId1"/>
  <headerFooter alignWithMargins="0">
    <oddFooter>&amp;L&amp;F</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7"/>
  <dimension ref="A1:AB12"/>
  <sheetViews>
    <sheetView workbookViewId="0">
      <selection activeCell="A4" sqref="A4"/>
    </sheetView>
  </sheetViews>
  <sheetFormatPr defaultRowHeight="13.2"/>
  <cols>
    <col min="1" max="1" width="4.5546875" style="2" customWidth="1"/>
    <col min="2" max="3" width="6.77734375" style="2" customWidth="1"/>
    <col min="4" max="4" width="3.21875" style="2" customWidth="1"/>
    <col min="5" max="5" width="4.21875" style="2" customWidth="1"/>
    <col min="6" max="6" width="5.44140625" style="2" customWidth="1"/>
    <col min="7" max="7" width="7.77734375" style="2" customWidth="1"/>
    <col min="8" max="8" width="5.21875" style="2" customWidth="1"/>
    <col min="9" max="9" width="7" style="2" customWidth="1"/>
    <col min="10" max="10" width="5.21875" style="2" customWidth="1"/>
    <col min="11" max="11" width="7" style="2" customWidth="1"/>
    <col min="12" max="12" width="4.21875" style="2" customWidth="1"/>
    <col min="13" max="13" width="6.77734375" style="2" customWidth="1"/>
    <col min="14" max="14" width="5.44140625" style="2" customWidth="1"/>
    <col min="15" max="15" width="7" style="2" customWidth="1"/>
    <col min="16" max="16" width="5.21875" style="2" customWidth="1"/>
    <col min="17" max="17" width="4.77734375" style="2" customWidth="1"/>
    <col min="18" max="18" width="5.77734375" style="2" customWidth="1"/>
    <col min="19" max="19" width="7.44140625" style="2" customWidth="1"/>
    <col min="20" max="20" width="4" style="2" customWidth="1"/>
    <col min="21" max="21" width="6.44140625" style="2" customWidth="1"/>
    <col min="22" max="22" width="5.77734375" style="2" customWidth="1"/>
    <col min="23" max="23" width="6.77734375" style="2" customWidth="1"/>
    <col min="24" max="24" width="4.21875" style="2" customWidth="1"/>
    <col min="25" max="25" width="7.21875" style="2" customWidth="1"/>
    <col min="26" max="256" width="8.77734375" style="2"/>
    <col min="257" max="257" width="4.5546875" style="2" customWidth="1"/>
    <col min="258" max="259" width="6.77734375" style="2" customWidth="1"/>
    <col min="260" max="260" width="3.21875" style="2" customWidth="1"/>
    <col min="261" max="261" width="4.21875" style="2" customWidth="1"/>
    <col min="262" max="262" width="5.44140625" style="2" customWidth="1"/>
    <col min="263" max="263" width="7.77734375" style="2" customWidth="1"/>
    <col min="264" max="264" width="5.21875" style="2" customWidth="1"/>
    <col min="265" max="265" width="7" style="2" customWidth="1"/>
    <col min="266" max="266" width="5.21875" style="2" customWidth="1"/>
    <col min="267" max="267" width="7" style="2" customWidth="1"/>
    <col min="268" max="268" width="4.21875" style="2" customWidth="1"/>
    <col min="269" max="269" width="6.77734375" style="2" customWidth="1"/>
    <col min="270" max="270" width="5.44140625" style="2" customWidth="1"/>
    <col min="271" max="271" width="7" style="2" customWidth="1"/>
    <col min="272" max="272" width="5.21875" style="2" customWidth="1"/>
    <col min="273" max="273" width="4.77734375" style="2" customWidth="1"/>
    <col min="274" max="274" width="5.77734375" style="2" customWidth="1"/>
    <col min="275" max="275" width="7.44140625" style="2" customWidth="1"/>
    <col min="276" max="276" width="4" style="2" customWidth="1"/>
    <col min="277" max="277" width="6.44140625" style="2" customWidth="1"/>
    <col min="278" max="278" width="5.77734375" style="2" customWidth="1"/>
    <col min="279" max="279" width="6.77734375" style="2" customWidth="1"/>
    <col min="280" max="280" width="4.21875" style="2" customWidth="1"/>
    <col min="281" max="281" width="7.21875" style="2" customWidth="1"/>
    <col min="282" max="512" width="8.77734375" style="2"/>
    <col min="513" max="513" width="4.5546875" style="2" customWidth="1"/>
    <col min="514" max="515" width="6.77734375" style="2" customWidth="1"/>
    <col min="516" max="516" width="3.21875" style="2" customWidth="1"/>
    <col min="517" max="517" width="4.21875" style="2" customWidth="1"/>
    <col min="518" max="518" width="5.44140625" style="2" customWidth="1"/>
    <col min="519" max="519" width="7.77734375" style="2" customWidth="1"/>
    <col min="520" max="520" width="5.21875" style="2" customWidth="1"/>
    <col min="521" max="521" width="7" style="2" customWidth="1"/>
    <col min="522" max="522" width="5.21875" style="2" customWidth="1"/>
    <col min="523" max="523" width="7" style="2" customWidth="1"/>
    <col min="524" max="524" width="4.21875" style="2" customWidth="1"/>
    <col min="525" max="525" width="6.77734375" style="2" customWidth="1"/>
    <col min="526" max="526" width="5.44140625" style="2" customWidth="1"/>
    <col min="527" max="527" width="7" style="2" customWidth="1"/>
    <col min="528" max="528" width="5.21875" style="2" customWidth="1"/>
    <col min="529" max="529" width="4.77734375" style="2" customWidth="1"/>
    <col min="530" max="530" width="5.77734375" style="2" customWidth="1"/>
    <col min="531" max="531" width="7.44140625" style="2" customWidth="1"/>
    <col min="532" max="532" width="4" style="2" customWidth="1"/>
    <col min="533" max="533" width="6.44140625" style="2" customWidth="1"/>
    <col min="534" max="534" width="5.77734375" style="2" customWidth="1"/>
    <col min="535" max="535" width="6.77734375" style="2" customWidth="1"/>
    <col min="536" max="536" width="4.21875" style="2" customWidth="1"/>
    <col min="537" max="537" width="7.21875" style="2" customWidth="1"/>
    <col min="538" max="768" width="8.77734375" style="2"/>
    <col min="769" max="769" width="4.5546875" style="2" customWidth="1"/>
    <col min="770" max="771" width="6.77734375" style="2" customWidth="1"/>
    <col min="772" max="772" width="3.21875" style="2" customWidth="1"/>
    <col min="773" max="773" width="4.21875" style="2" customWidth="1"/>
    <col min="774" max="774" width="5.44140625" style="2" customWidth="1"/>
    <col min="775" max="775" width="7.77734375" style="2" customWidth="1"/>
    <col min="776" max="776" width="5.21875" style="2" customWidth="1"/>
    <col min="777" max="777" width="7" style="2" customWidth="1"/>
    <col min="778" max="778" width="5.21875" style="2" customWidth="1"/>
    <col min="779" max="779" width="7" style="2" customWidth="1"/>
    <col min="780" max="780" width="4.21875" style="2" customWidth="1"/>
    <col min="781" max="781" width="6.77734375" style="2" customWidth="1"/>
    <col min="782" max="782" width="5.44140625" style="2" customWidth="1"/>
    <col min="783" max="783" width="7" style="2" customWidth="1"/>
    <col min="784" max="784" width="5.21875" style="2" customWidth="1"/>
    <col min="785" max="785" width="4.77734375" style="2" customWidth="1"/>
    <col min="786" max="786" width="5.77734375" style="2" customWidth="1"/>
    <col min="787" max="787" width="7.44140625" style="2" customWidth="1"/>
    <col min="788" max="788" width="4" style="2" customWidth="1"/>
    <col min="789" max="789" width="6.44140625" style="2" customWidth="1"/>
    <col min="790" max="790" width="5.77734375" style="2" customWidth="1"/>
    <col min="791" max="791" width="6.77734375" style="2" customWidth="1"/>
    <col min="792" max="792" width="4.21875" style="2" customWidth="1"/>
    <col min="793" max="793" width="7.21875" style="2" customWidth="1"/>
    <col min="794" max="1024" width="8.77734375" style="2"/>
    <col min="1025" max="1025" width="4.5546875" style="2" customWidth="1"/>
    <col min="1026" max="1027" width="6.77734375" style="2" customWidth="1"/>
    <col min="1028" max="1028" width="3.21875" style="2" customWidth="1"/>
    <col min="1029" max="1029" width="4.21875" style="2" customWidth="1"/>
    <col min="1030" max="1030" width="5.44140625" style="2" customWidth="1"/>
    <col min="1031" max="1031" width="7.77734375" style="2" customWidth="1"/>
    <col min="1032" max="1032" width="5.21875" style="2" customWidth="1"/>
    <col min="1033" max="1033" width="7" style="2" customWidth="1"/>
    <col min="1034" max="1034" width="5.21875" style="2" customWidth="1"/>
    <col min="1035" max="1035" width="7" style="2" customWidth="1"/>
    <col min="1036" max="1036" width="4.21875" style="2" customWidth="1"/>
    <col min="1037" max="1037" width="6.77734375" style="2" customWidth="1"/>
    <col min="1038" max="1038" width="5.44140625" style="2" customWidth="1"/>
    <col min="1039" max="1039" width="7" style="2" customWidth="1"/>
    <col min="1040" max="1040" width="5.21875" style="2" customWidth="1"/>
    <col min="1041" max="1041" width="4.77734375" style="2" customWidth="1"/>
    <col min="1042" max="1042" width="5.77734375" style="2" customWidth="1"/>
    <col min="1043" max="1043" width="7.44140625" style="2" customWidth="1"/>
    <col min="1044" max="1044" width="4" style="2" customWidth="1"/>
    <col min="1045" max="1045" width="6.44140625" style="2" customWidth="1"/>
    <col min="1046" max="1046" width="5.77734375" style="2" customWidth="1"/>
    <col min="1047" max="1047" width="6.77734375" style="2" customWidth="1"/>
    <col min="1048" max="1048" width="4.21875" style="2" customWidth="1"/>
    <col min="1049" max="1049" width="7.21875" style="2" customWidth="1"/>
    <col min="1050" max="1280" width="8.77734375" style="2"/>
    <col min="1281" max="1281" width="4.5546875" style="2" customWidth="1"/>
    <col min="1282" max="1283" width="6.77734375" style="2" customWidth="1"/>
    <col min="1284" max="1284" width="3.21875" style="2" customWidth="1"/>
    <col min="1285" max="1285" width="4.21875" style="2" customWidth="1"/>
    <col min="1286" max="1286" width="5.44140625" style="2" customWidth="1"/>
    <col min="1287" max="1287" width="7.77734375" style="2" customWidth="1"/>
    <col min="1288" max="1288" width="5.21875" style="2" customWidth="1"/>
    <col min="1289" max="1289" width="7" style="2" customWidth="1"/>
    <col min="1290" max="1290" width="5.21875" style="2" customWidth="1"/>
    <col min="1291" max="1291" width="7" style="2" customWidth="1"/>
    <col min="1292" max="1292" width="4.21875" style="2" customWidth="1"/>
    <col min="1293" max="1293" width="6.77734375" style="2" customWidth="1"/>
    <col min="1294" max="1294" width="5.44140625" style="2" customWidth="1"/>
    <col min="1295" max="1295" width="7" style="2" customWidth="1"/>
    <col min="1296" max="1296" width="5.21875" style="2" customWidth="1"/>
    <col min="1297" max="1297" width="4.77734375" style="2" customWidth="1"/>
    <col min="1298" max="1298" width="5.77734375" style="2" customWidth="1"/>
    <col min="1299" max="1299" width="7.44140625" style="2" customWidth="1"/>
    <col min="1300" max="1300" width="4" style="2" customWidth="1"/>
    <col min="1301" max="1301" width="6.44140625" style="2" customWidth="1"/>
    <col min="1302" max="1302" width="5.77734375" style="2" customWidth="1"/>
    <col min="1303" max="1303" width="6.77734375" style="2" customWidth="1"/>
    <col min="1304" max="1304" width="4.21875" style="2" customWidth="1"/>
    <col min="1305" max="1305" width="7.21875" style="2" customWidth="1"/>
    <col min="1306" max="1536" width="8.77734375" style="2"/>
    <col min="1537" max="1537" width="4.5546875" style="2" customWidth="1"/>
    <col min="1538" max="1539" width="6.77734375" style="2" customWidth="1"/>
    <col min="1540" max="1540" width="3.21875" style="2" customWidth="1"/>
    <col min="1541" max="1541" width="4.21875" style="2" customWidth="1"/>
    <col min="1542" max="1542" width="5.44140625" style="2" customWidth="1"/>
    <col min="1543" max="1543" width="7.77734375" style="2" customWidth="1"/>
    <col min="1544" max="1544" width="5.21875" style="2" customWidth="1"/>
    <col min="1545" max="1545" width="7" style="2" customWidth="1"/>
    <col min="1546" max="1546" width="5.21875" style="2" customWidth="1"/>
    <col min="1547" max="1547" width="7" style="2" customWidth="1"/>
    <col min="1548" max="1548" width="4.21875" style="2" customWidth="1"/>
    <col min="1549" max="1549" width="6.77734375" style="2" customWidth="1"/>
    <col min="1550" max="1550" width="5.44140625" style="2" customWidth="1"/>
    <col min="1551" max="1551" width="7" style="2" customWidth="1"/>
    <col min="1552" max="1552" width="5.21875" style="2" customWidth="1"/>
    <col min="1553" max="1553" width="4.77734375" style="2" customWidth="1"/>
    <col min="1554" max="1554" width="5.77734375" style="2" customWidth="1"/>
    <col min="1555" max="1555" width="7.44140625" style="2" customWidth="1"/>
    <col min="1556" max="1556" width="4" style="2" customWidth="1"/>
    <col min="1557" max="1557" width="6.44140625" style="2" customWidth="1"/>
    <col min="1558" max="1558" width="5.77734375" style="2" customWidth="1"/>
    <col min="1559" max="1559" width="6.77734375" style="2" customWidth="1"/>
    <col min="1560" max="1560" width="4.21875" style="2" customWidth="1"/>
    <col min="1561" max="1561" width="7.21875" style="2" customWidth="1"/>
    <col min="1562" max="1792" width="8.77734375" style="2"/>
    <col min="1793" max="1793" width="4.5546875" style="2" customWidth="1"/>
    <col min="1794" max="1795" width="6.77734375" style="2" customWidth="1"/>
    <col min="1796" max="1796" width="3.21875" style="2" customWidth="1"/>
    <col min="1797" max="1797" width="4.21875" style="2" customWidth="1"/>
    <col min="1798" max="1798" width="5.44140625" style="2" customWidth="1"/>
    <col min="1799" max="1799" width="7.77734375" style="2" customWidth="1"/>
    <col min="1800" max="1800" width="5.21875" style="2" customWidth="1"/>
    <col min="1801" max="1801" width="7" style="2" customWidth="1"/>
    <col min="1802" max="1802" width="5.21875" style="2" customWidth="1"/>
    <col min="1803" max="1803" width="7" style="2" customWidth="1"/>
    <col min="1804" max="1804" width="4.21875" style="2" customWidth="1"/>
    <col min="1805" max="1805" width="6.77734375" style="2" customWidth="1"/>
    <col min="1806" max="1806" width="5.44140625" style="2" customWidth="1"/>
    <col min="1807" max="1807" width="7" style="2" customWidth="1"/>
    <col min="1808" max="1808" width="5.21875" style="2" customWidth="1"/>
    <col min="1809" max="1809" width="4.77734375" style="2" customWidth="1"/>
    <col min="1810" max="1810" width="5.77734375" style="2" customWidth="1"/>
    <col min="1811" max="1811" width="7.44140625" style="2" customWidth="1"/>
    <col min="1812" max="1812" width="4" style="2" customWidth="1"/>
    <col min="1813" max="1813" width="6.44140625" style="2" customWidth="1"/>
    <col min="1814" max="1814" width="5.77734375" style="2" customWidth="1"/>
    <col min="1815" max="1815" width="6.77734375" style="2" customWidth="1"/>
    <col min="1816" max="1816" width="4.21875" style="2" customWidth="1"/>
    <col min="1817" max="1817" width="7.21875" style="2" customWidth="1"/>
    <col min="1818" max="2048" width="8.77734375" style="2"/>
    <col min="2049" max="2049" width="4.5546875" style="2" customWidth="1"/>
    <col min="2050" max="2051" width="6.77734375" style="2" customWidth="1"/>
    <col min="2052" max="2052" width="3.21875" style="2" customWidth="1"/>
    <col min="2053" max="2053" width="4.21875" style="2" customWidth="1"/>
    <col min="2054" max="2054" width="5.44140625" style="2" customWidth="1"/>
    <col min="2055" max="2055" width="7.77734375" style="2" customWidth="1"/>
    <col min="2056" max="2056" width="5.21875" style="2" customWidth="1"/>
    <col min="2057" max="2057" width="7" style="2" customWidth="1"/>
    <col min="2058" max="2058" width="5.21875" style="2" customWidth="1"/>
    <col min="2059" max="2059" width="7" style="2" customWidth="1"/>
    <col min="2060" max="2060" width="4.21875" style="2" customWidth="1"/>
    <col min="2061" max="2061" width="6.77734375" style="2" customWidth="1"/>
    <col min="2062" max="2062" width="5.44140625" style="2" customWidth="1"/>
    <col min="2063" max="2063" width="7" style="2" customWidth="1"/>
    <col min="2064" max="2064" width="5.21875" style="2" customWidth="1"/>
    <col min="2065" max="2065" width="4.77734375" style="2" customWidth="1"/>
    <col min="2066" max="2066" width="5.77734375" style="2" customWidth="1"/>
    <col min="2067" max="2067" width="7.44140625" style="2" customWidth="1"/>
    <col min="2068" max="2068" width="4" style="2" customWidth="1"/>
    <col min="2069" max="2069" width="6.44140625" style="2" customWidth="1"/>
    <col min="2070" max="2070" width="5.77734375" style="2" customWidth="1"/>
    <col min="2071" max="2071" width="6.77734375" style="2" customWidth="1"/>
    <col min="2072" max="2072" width="4.21875" style="2" customWidth="1"/>
    <col min="2073" max="2073" width="7.21875" style="2" customWidth="1"/>
    <col min="2074" max="2304" width="8.77734375" style="2"/>
    <col min="2305" max="2305" width="4.5546875" style="2" customWidth="1"/>
    <col min="2306" max="2307" width="6.77734375" style="2" customWidth="1"/>
    <col min="2308" max="2308" width="3.21875" style="2" customWidth="1"/>
    <col min="2309" max="2309" width="4.21875" style="2" customWidth="1"/>
    <col min="2310" max="2310" width="5.44140625" style="2" customWidth="1"/>
    <col min="2311" max="2311" width="7.77734375" style="2" customWidth="1"/>
    <col min="2312" max="2312" width="5.21875" style="2" customWidth="1"/>
    <col min="2313" max="2313" width="7" style="2" customWidth="1"/>
    <col min="2314" max="2314" width="5.21875" style="2" customWidth="1"/>
    <col min="2315" max="2315" width="7" style="2" customWidth="1"/>
    <col min="2316" max="2316" width="4.21875" style="2" customWidth="1"/>
    <col min="2317" max="2317" width="6.77734375" style="2" customWidth="1"/>
    <col min="2318" max="2318" width="5.44140625" style="2" customWidth="1"/>
    <col min="2319" max="2319" width="7" style="2" customWidth="1"/>
    <col min="2320" max="2320" width="5.21875" style="2" customWidth="1"/>
    <col min="2321" max="2321" width="4.77734375" style="2" customWidth="1"/>
    <col min="2322" max="2322" width="5.77734375" style="2" customWidth="1"/>
    <col min="2323" max="2323" width="7.44140625" style="2" customWidth="1"/>
    <col min="2324" max="2324" width="4" style="2" customWidth="1"/>
    <col min="2325" max="2325" width="6.44140625" style="2" customWidth="1"/>
    <col min="2326" max="2326" width="5.77734375" style="2" customWidth="1"/>
    <col min="2327" max="2327" width="6.77734375" style="2" customWidth="1"/>
    <col min="2328" max="2328" width="4.21875" style="2" customWidth="1"/>
    <col min="2329" max="2329" width="7.21875" style="2" customWidth="1"/>
    <col min="2330" max="2560" width="8.77734375" style="2"/>
    <col min="2561" max="2561" width="4.5546875" style="2" customWidth="1"/>
    <col min="2562" max="2563" width="6.77734375" style="2" customWidth="1"/>
    <col min="2564" max="2564" width="3.21875" style="2" customWidth="1"/>
    <col min="2565" max="2565" width="4.21875" style="2" customWidth="1"/>
    <col min="2566" max="2566" width="5.44140625" style="2" customWidth="1"/>
    <col min="2567" max="2567" width="7.77734375" style="2" customWidth="1"/>
    <col min="2568" max="2568" width="5.21875" style="2" customWidth="1"/>
    <col min="2569" max="2569" width="7" style="2" customWidth="1"/>
    <col min="2570" max="2570" width="5.21875" style="2" customWidth="1"/>
    <col min="2571" max="2571" width="7" style="2" customWidth="1"/>
    <col min="2572" max="2572" width="4.21875" style="2" customWidth="1"/>
    <col min="2573" max="2573" width="6.77734375" style="2" customWidth="1"/>
    <col min="2574" max="2574" width="5.44140625" style="2" customWidth="1"/>
    <col min="2575" max="2575" width="7" style="2" customWidth="1"/>
    <col min="2576" max="2576" width="5.21875" style="2" customWidth="1"/>
    <col min="2577" max="2577" width="4.77734375" style="2" customWidth="1"/>
    <col min="2578" max="2578" width="5.77734375" style="2" customWidth="1"/>
    <col min="2579" max="2579" width="7.44140625" style="2" customWidth="1"/>
    <col min="2580" max="2580" width="4" style="2" customWidth="1"/>
    <col min="2581" max="2581" width="6.44140625" style="2" customWidth="1"/>
    <col min="2582" max="2582" width="5.77734375" style="2" customWidth="1"/>
    <col min="2583" max="2583" width="6.77734375" style="2" customWidth="1"/>
    <col min="2584" max="2584" width="4.21875" style="2" customWidth="1"/>
    <col min="2585" max="2585" width="7.21875" style="2" customWidth="1"/>
    <col min="2586" max="2816" width="8.77734375" style="2"/>
    <col min="2817" max="2817" width="4.5546875" style="2" customWidth="1"/>
    <col min="2818" max="2819" width="6.77734375" style="2" customWidth="1"/>
    <col min="2820" max="2820" width="3.21875" style="2" customWidth="1"/>
    <col min="2821" max="2821" width="4.21875" style="2" customWidth="1"/>
    <col min="2822" max="2822" width="5.44140625" style="2" customWidth="1"/>
    <col min="2823" max="2823" width="7.77734375" style="2" customWidth="1"/>
    <col min="2824" max="2824" width="5.21875" style="2" customWidth="1"/>
    <col min="2825" max="2825" width="7" style="2" customWidth="1"/>
    <col min="2826" max="2826" width="5.21875" style="2" customWidth="1"/>
    <col min="2827" max="2827" width="7" style="2" customWidth="1"/>
    <col min="2828" max="2828" width="4.21875" style="2" customWidth="1"/>
    <col min="2829" max="2829" width="6.77734375" style="2" customWidth="1"/>
    <col min="2830" max="2830" width="5.44140625" style="2" customWidth="1"/>
    <col min="2831" max="2831" width="7" style="2" customWidth="1"/>
    <col min="2832" max="2832" width="5.21875" style="2" customWidth="1"/>
    <col min="2833" max="2833" width="4.77734375" style="2" customWidth="1"/>
    <col min="2834" max="2834" width="5.77734375" style="2" customWidth="1"/>
    <col min="2835" max="2835" width="7.44140625" style="2" customWidth="1"/>
    <col min="2836" max="2836" width="4" style="2" customWidth="1"/>
    <col min="2837" max="2837" width="6.44140625" style="2" customWidth="1"/>
    <col min="2838" max="2838" width="5.77734375" style="2" customWidth="1"/>
    <col min="2839" max="2839" width="6.77734375" style="2" customWidth="1"/>
    <col min="2840" max="2840" width="4.21875" style="2" customWidth="1"/>
    <col min="2841" max="2841" width="7.21875" style="2" customWidth="1"/>
    <col min="2842" max="3072" width="8.77734375" style="2"/>
    <col min="3073" max="3073" width="4.5546875" style="2" customWidth="1"/>
    <col min="3074" max="3075" width="6.77734375" style="2" customWidth="1"/>
    <col min="3076" max="3076" width="3.21875" style="2" customWidth="1"/>
    <col min="3077" max="3077" width="4.21875" style="2" customWidth="1"/>
    <col min="3078" max="3078" width="5.44140625" style="2" customWidth="1"/>
    <col min="3079" max="3079" width="7.77734375" style="2" customWidth="1"/>
    <col min="3080" max="3080" width="5.21875" style="2" customWidth="1"/>
    <col min="3081" max="3081" width="7" style="2" customWidth="1"/>
    <col min="3082" max="3082" width="5.21875" style="2" customWidth="1"/>
    <col min="3083" max="3083" width="7" style="2" customWidth="1"/>
    <col min="3084" max="3084" width="4.21875" style="2" customWidth="1"/>
    <col min="3085" max="3085" width="6.77734375" style="2" customWidth="1"/>
    <col min="3086" max="3086" width="5.44140625" style="2" customWidth="1"/>
    <col min="3087" max="3087" width="7" style="2" customWidth="1"/>
    <col min="3088" max="3088" width="5.21875" style="2" customWidth="1"/>
    <col min="3089" max="3089" width="4.77734375" style="2" customWidth="1"/>
    <col min="3090" max="3090" width="5.77734375" style="2" customWidth="1"/>
    <col min="3091" max="3091" width="7.44140625" style="2" customWidth="1"/>
    <col min="3092" max="3092" width="4" style="2" customWidth="1"/>
    <col min="3093" max="3093" width="6.44140625" style="2" customWidth="1"/>
    <col min="3094" max="3094" width="5.77734375" style="2" customWidth="1"/>
    <col min="3095" max="3095" width="6.77734375" style="2" customWidth="1"/>
    <col min="3096" max="3096" width="4.21875" style="2" customWidth="1"/>
    <col min="3097" max="3097" width="7.21875" style="2" customWidth="1"/>
    <col min="3098" max="3328" width="8.77734375" style="2"/>
    <col min="3329" max="3329" width="4.5546875" style="2" customWidth="1"/>
    <col min="3330" max="3331" width="6.77734375" style="2" customWidth="1"/>
    <col min="3332" max="3332" width="3.21875" style="2" customWidth="1"/>
    <col min="3333" max="3333" width="4.21875" style="2" customWidth="1"/>
    <col min="3334" max="3334" width="5.44140625" style="2" customWidth="1"/>
    <col min="3335" max="3335" width="7.77734375" style="2" customWidth="1"/>
    <col min="3336" max="3336" width="5.21875" style="2" customWidth="1"/>
    <col min="3337" max="3337" width="7" style="2" customWidth="1"/>
    <col min="3338" max="3338" width="5.21875" style="2" customWidth="1"/>
    <col min="3339" max="3339" width="7" style="2" customWidth="1"/>
    <col min="3340" max="3340" width="4.21875" style="2" customWidth="1"/>
    <col min="3341" max="3341" width="6.77734375" style="2" customWidth="1"/>
    <col min="3342" max="3342" width="5.44140625" style="2" customWidth="1"/>
    <col min="3343" max="3343" width="7" style="2" customWidth="1"/>
    <col min="3344" max="3344" width="5.21875" style="2" customWidth="1"/>
    <col min="3345" max="3345" width="4.77734375" style="2" customWidth="1"/>
    <col min="3346" max="3346" width="5.77734375" style="2" customWidth="1"/>
    <col min="3347" max="3347" width="7.44140625" style="2" customWidth="1"/>
    <col min="3348" max="3348" width="4" style="2" customWidth="1"/>
    <col min="3349" max="3349" width="6.44140625" style="2" customWidth="1"/>
    <col min="3350" max="3350" width="5.77734375" style="2" customWidth="1"/>
    <col min="3351" max="3351" width="6.77734375" style="2" customWidth="1"/>
    <col min="3352" max="3352" width="4.21875" style="2" customWidth="1"/>
    <col min="3353" max="3353" width="7.21875" style="2" customWidth="1"/>
    <col min="3354" max="3584" width="8.77734375" style="2"/>
    <col min="3585" max="3585" width="4.5546875" style="2" customWidth="1"/>
    <col min="3586" max="3587" width="6.77734375" style="2" customWidth="1"/>
    <col min="3588" max="3588" width="3.21875" style="2" customWidth="1"/>
    <col min="3589" max="3589" width="4.21875" style="2" customWidth="1"/>
    <col min="3590" max="3590" width="5.44140625" style="2" customWidth="1"/>
    <col min="3591" max="3591" width="7.77734375" style="2" customWidth="1"/>
    <col min="3592" max="3592" width="5.21875" style="2" customWidth="1"/>
    <col min="3593" max="3593" width="7" style="2" customWidth="1"/>
    <col min="3594" max="3594" width="5.21875" style="2" customWidth="1"/>
    <col min="3595" max="3595" width="7" style="2" customWidth="1"/>
    <col min="3596" max="3596" width="4.21875" style="2" customWidth="1"/>
    <col min="3597" max="3597" width="6.77734375" style="2" customWidth="1"/>
    <col min="3598" max="3598" width="5.44140625" style="2" customWidth="1"/>
    <col min="3599" max="3599" width="7" style="2" customWidth="1"/>
    <col min="3600" max="3600" width="5.21875" style="2" customWidth="1"/>
    <col min="3601" max="3601" width="4.77734375" style="2" customWidth="1"/>
    <col min="3602" max="3602" width="5.77734375" style="2" customWidth="1"/>
    <col min="3603" max="3603" width="7.44140625" style="2" customWidth="1"/>
    <col min="3604" max="3604" width="4" style="2" customWidth="1"/>
    <col min="3605" max="3605" width="6.44140625" style="2" customWidth="1"/>
    <col min="3606" max="3606" width="5.77734375" style="2" customWidth="1"/>
    <col min="3607" max="3607" width="6.77734375" style="2" customWidth="1"/>
    <col min="3608" max="3608" width="4.21875" style="2" customWidth="1"/>
    <col min="3609" max="3609" width="7.21875" style="2" customWidth="1"/>
    <col min="3610" max="3840" width="8.77734375" style="2"/>
    <col min="3841" max="3841" width="4.5546875" style="2" customWidth="1"/>
    <col min="3842" max="3843" width="6.77734375" style="2" customWidth="1"/>
    <col min="3844" max="3844" width="3.21875" style="2" customWidth="1"/>
    <col min="3845" max="3845" width="4.21875" style="2" customWidth="1"/>
    <col min="3846" max="3846" width="5.44140625" style="2" customWidth="1"/>
    <col min="3847" max="3847" width="7.77734375" style="2" customWidth="1"/>
    <col min="3848" max="3848" width="5.21875" style="2" customWidth="1"/>
    <col min="3849" max="3849" width="7" style="2" customWidth="1"/>
    <col min="3850" max="3850" width="5.21875" style="2" customWidth="1"/>
    <col min="3851" max="3851" width="7" style="2" customWidth="1"/>
    <col min="3852" max="3852" width="4.21875" style="2" customWidth="1"/>
    <col min="3853" max="3853" width="6.77734375" style="2" customWidth="1"/>
    <col min="3854" max="3854" width="5.44140625" style="2" customWidth="1"/>
    <col min="3855" max="3855" width="7" style="2" customWidth="1"/>
    <col min="3856" max="3856" width="5.21875" style="2" customWidth="1"/>
    <col min="3857" max="3857" width="4.77734375" style="2" customWidth="1"/>
    <col min="3858" max="3858" width="5.77734375" style="2" customWidth="1"/>
    <col min="3859" max="3859" width="7.44140625" style="2" customWidth="1"/>
    <col min="3860" max="3860" width="4" style="2" customWidth="1"/>
    <col min="3861" max="3861" width="6.44140625" style="2" customWidth="1"/>
    <col min="3862" max="3862" width="5.77734375" style="2" customWidth="1"/>
    <col min="3863" max="3863" width="6.77734375" style="2" customWidth="1"/>
    <col min="3864" max="3864" width="4.21875" style="2" customWidth="1"/>
    <col min="3865" max="3865" width="7.21875" style="2" customWidth="1"/>
    <col min="3866" max="4096" width="8.77734375" style="2"/>
    <col min="4097" max="4097" width="4.5546875" style="2" customWidth="1"/>
    <col min="4098" max="4099" width="6.77734375" style="2" customWidth="1"/>
    <col min="4100" max="4100" width="3.21875" style="2" customWidth="1"/>
    <col min="4101" max="4101" width="4.21875" style="2" customWidth="1"/>
    <col min="4102" max="4102" width="5.44140625" style="2" customWidth="1"/>
    <col min="4103" max="4103" width="7.77734375" style="2" customWidth="1"/>
    <col min="4104" max="4104" width="5.21875" style="2" customWidth="1"/>
    <col min="4105" max="4105" width="7" style="2" customWidth="1"/>
    <col min="4106" max="4106" width="5.21875" style="2" customWidth="1"/>
    <col min="4107" max="4107" width="7" style="2" customWidth="1"/>
    <col min="4108" max="4108" width="4.21875" style="2" customWidth="1"/>
    <col min="4109" max="4109" width="6.77734375" style="2" customWidth="1"/>
    <col min="4110" max="4110" width="5.44140625" style="2" customWidth="1"/>
    <col min="4111" max="4111" width="7" style="2" customWidth="1"/>
    <col min="4112" max="4112" width="5.21875" style="2" customWidth="1"/>
    <col min="4113" max="4113" width="4.77734375" style="2" customWidth="1"/>
    <col min="4114" max="4114" width="5.77734375" style="2" customWidth="1"/>
    <col min="4115" max="4115" width="7.44140625" style="2" customWidth="1"/>
    <col min="4116" max="4116" width="4" style="2" customWidth="1"/>
    <col min="4117" max="4117" width="6.44140625" style="2" customWidth="1"/>
    <col min="4118" max="4118" width="5.77734375" style="2" customWidth="1"/>
    <col min="4119" max="4119" width="6.77734375" style="2" customWidth="1"/>
    <col min="4120" max="4120" width="4.21875" style="2" customWidth="1"/>
    <col min="4121" max="4121" width="7.21875" style="2" customWidth="1"/>
    <col min="4122" max="4352" width="8.77734375" style="2"/>
    <col min="4353" max="4353" width="4.5546875" style="2" customWidth="1"/>
    <col min="4354" max="4355" width="6.77734375" style="2" customWidth="1"/>
    <col min="4356" max="4356" width="3.21875" style="2" customWidth="1"/>
    <col min="4357" max="4357" width="4.21875" style="2" customWidth="1"/>
    <col min="4358" max="4358" width="5.44140625" style="2" customWidth="1"/>
    <col min="4359" max="4359" width="7.77734375" style="2" customWidth="1"/>
    <col min="4360" max="4360" width="5.21875" style="2" customWidth="1"/>
    <col min="4361" max="4361" width="7" style="2" customWidth="1"/>
    <col min="4362" max="4362" width="5.21875" style="2" customWidth="1"/>
    <col min="4363" max="4363" width="7" style="2" customWidth="1"/>
    <col min="4364" max="4364" width="4.21875" style="2" customWidth="1"/>
    <col min="4365" max="4365" width="6.77734375" style="2" customWidth="1"/>
    <col min="4366" max="4366" width="5.44140625" style="2" customWidth="1"/>
    <col min="4367" max="4367" width="7" style="2" customWidth="1"/>
    <col min="4368" max="4368" width="5.21875" style="2" customWidth="1"/>
    <col min="4369" max="4369" width="4.77734375" style="2" customWidth="1"/>
    <col min="4370" max="4370" width="5.77734375" style="2" customWidth="1"/>
    <col min="4371" max="4371" width="7.44140625" style="2" customWidth="1"/>
    <col min="4372" max="4372" width="4" style="2" customWidth="1"/>
    <col min="4373" max="4373" width="6.44140625" style="2" customWidth="1"/>
    <col min="4374" max="4374" width="5.77734375" style="2" customWidth="1"/>
    <col min="4375" max="4375" width="6.77734375" style="2" customWidth="1"/>
    <col min="4376" max="4376" width="4.21875" style="2" customWidth="1"/>
    <col min="4377" max="4377" width="7.21875" style="2" customWidth="1"/>
    <col min="4378" max="4608" width="8.77734375" style="2"/>
    <col min="4609" max="4609" width="4.5546875" style="2" customWidth="1"/>
    <col min="4610" max="4611" width="6.77734375" style="2" customWidth="1"/>
    <col min="4612" max="4612" width="3.21875" style="2" customWidth="1"/>
    <col min="4613" max="4613" width="4.21875" style="2" customWidth="1"/>
    <col min="4614" max="4614" width="5.44140625" style="2" customWidth="1"/>
    <col min="4615" max="4615" width="7.77734375" style="2" customWidth="1"/>
    <col min="4616" max="4616" width="5.21875" style="2" customWidth="1"/>
    <col min="4617" max="4617" width="7" style="2" customWidth="1"/>
    <col min="4618" max="4618" width="5.21875" style="2" customWidth="1"/>
    <col min="4619" max="4619" width="7" style="2" customWidth="1"/>
    <col min="4620" max="4620" width="4.21875" style="2" customWidth="1"/>
    <col min="4621" max="4621" width="6.77734375" style="2" customWidth="1"/>
    <col min="4622" max="4622" width="5.44140625" style="2" customWidth="1"/>
    <col min="4623" max="4623" width="7" style="2" customWidth="1"/>
    <col min="4624" max="4624" width="5.21875" style="2" customWidth="1"/>
    <col min="4625" max="4625" width="4.77734375" style="2" customWidth="1"/>
    <col min="4626" max="4626" width="5.77734375" style="2" customWidth="1"/>
    <col min="4627" max="4627" width="7.44140625" style="2" customWidth="1"/>
    <col min="4628" max="4628" width="4" style="2" customWidth="1"/>
    <col min="4629" max="4629" width="6.44140625" style="2" customWidth="1"/>
    <col min="4630" max="4630" width="5.77734375" style="2" customWidth="1"/>
    <col min="4631" max="4631" width="6.77734375" style="2" customWidth="1"/>
    <col min="4632" max="4632" width="4.21875" style="2" customWidth="1"/>
    <col min="4633" max="4633" width="7.21875" style="2" customWidth="1"/>
    <col min="4634" max="4864" width="8.77734375" style="2"/>
    <col min="4865" max="4865" width="4.5546875" style="2" customWidth="1"/>
    <col min="4866" max="4867" width="6.77734375" style="2" customWidth="1"/>
    <col min="4868" max="4868" width="3.21875" style="2" customWidth="1"/>
    <col min="4869" max="4869" width="4.21875" style="2" customWidth="1"/>
    <col min="4870" max="4870" width="5.44140625" style="2" customWidth="1"/>
    <col min="4871" max="4871" width="7.77734375" style="2" customWidth="1"/>
    <col min="4872" max="4872" width="5.21875" style="2" customWidth="1"/>
    <col min="4873" max="4873" width="7" style="2" customWidth="1"/>
    <col min="4874" max="4874" width="5.21875" style="2" customWidth="1"/>
    <col min="4875" max="4875" width="7" style="2" customWidth="1"/>
    <col min="4876" max="4876" width="4.21875" style="2" customWidth="1"/>
    <col min="4877" max="4877" width="6.77734375" style="2" customWidth="1"/>
    <col min="4878" max="4878" width="5.44140625" style="2" customWidth="1"/>
    <col min="4879" max="4879" width="7" style="2" customWidth="1"/>
    <col min="4880" max="4880" width="5.21875" style="2" customWidth="1"/>
    <col min="4881" max="4881" width="4.77734375" style="2" customWidth="1"/>
    <col min="4882" max="4882" width="5.77734375" style="2" customWidth="1"/>
    <col min="4883" max="4883" width="7.44140625" style="2" customWidth="1"/>
    <col min="4884" max="4884" width="4" style="2" customWidth="1"/>
    <col min="4885" max="4885" width="6.44140625" style="2" customWidth="1"/>
    <col min="4886" max="4886" width="5.77734375" style="2" customWidth="1"/>
    <col min="4887" max="4887" width="6.77734375" style="2" customWidth="1"/>
    <col min="4888" max="4888" width="4.21875" style="2" customWidth="1"/>
    <col min="4889" max="4889" width="7.21875" style="2" customWidth="1"/>
    <col min="4890" max="5120" width="8.77734375" style="2"/>
    <col min="5121" max="5121" width="4.5546875" style="2" customWidth="1"/>
    <col min="5122" max="5123" width="6.77734375" style="2" customWidth="1"/>
    <col min="5124" max="5124" width="3.21875" style="2" customWidth="1"/>
    <col min="5125" max="5125" width="4.21875" style="2" customWidth="1"/>
    <col min="5126" max="5126" width="5.44140625" style="2" customWidth="1"/>
    <col min="5127" max="5127" width="7.77734375" style="2" customWidth="1"/>
    <col min="5128" max="5128" width="5.21875" style="2" customWidth="1"/>
    <col min="5129" max="5129" width="7" style="2" customWidth="1"/>
    <col min="5130" max="5130" width="5.21875" style="2" customWidth="1"/>
    <col min="5131" max="5131" width="7" style="2" customWidth="1"/>
    <col min="5132" max="5132" width="4.21875" style="2" customWidth="1"/>
    <col min="5133" max="5133" width="6.77734375" style="2" customWidth="1"/>
    <col min="5134" max="5134" width="5.44140625" style="2" customWidth="1"/>
    <col min="5135" max="5135" width="7" style="2" customWidth="1"/>
    <col min="5136" max="5136" width="5.21875" style="2" customWidth="1"/>
    <col min="5137" max="5137" width="4.77734375" style="2" customWidth="1"/>
    <col min="5138" max="5138" width="5.77734375" style="2" customWidth="1"/>
    <col min="5139" max="5139" width="7.44140625" style="2" customWidth="1"/>
    <col min="5140" max="5140" width="4" style="2" customWidth="1"/>
    <col min="5141" max="5141" width="6.44140625" style="2" customWidth="1"/>
    <col min="5142" max="5142" width="5.77734375" style="2" customWidth="1"/>
    <col min="5143" max="5143" width="6.77734375" style="2" customWidth="1"/>
    <col min="5144" max="5144" width="4.21875" style="2" customWidth="1"/>
    <col min="5145" max="5145" width="7.21875" style="2" customWidth="1"/>
    <col min="5146" max="5376" width="8.77734375" style="2"/>
    <col min="5377" max="5377" width="4.5546875" style="2" customWidth="1"/>
    <col min="5378" max="5379" width="6.77734375" style="2" customWidth="1"/>
    <col min="5380" max="5380" width="3.21875" style="2" customWidth="1"/>
    <col min="5381" max="5381" width="4.21875" style="2" customWidth="1"/>
    <col min="5382" max="5382" width="5.44140625" style="2" customWidth="1"/>
    <col min="5383" max="5383" width="7.77734375" style="2" customWidth="1"/>
    <col min="5384" max="5384" width="5.21875" style="2" customWidth="1"/>
    <col min="5385" max="5385" width="7" style="2" customWidth="1"/>
    <col min="5386" max="5386" width="5.21875" style="2" customWidth="1"/>
    <col min="5387" max="5387" width="7" style="2" customWidth="1"/>
    <col min="5388" max="5388" width="4.21875" style="2" customWidth="1"/>
    <col min="5389" max="5389" width="6.77734375" style="2" customWidth="1"/>
    <col min="5390" max="5390" width="5.44140625" style="2" customWidth="1"/>
    <col min="5391" max="5391" width="7" style="2" customWidth="1"/>
    <col min="5392" max="5392" width="5.21875" style="2" customWidth="1"/>
    <col min="5393" max="5393" width="4.77734375" style="2" customWidth="1"/>
    <col min="5394" max="5394" width="5.77734375" style="2" customWidth="1"/>
    <col min="5395" max="5395" width="7.44140625" style="2" customWidth="1"/>
    <col min="5396" max="5396" width="4" style="2" customWidth="1"/>
    <col min="5397" max="5397" width="6.44140625" style="2" customWidth="1"/>
    <col min="5398" max="5398" width="5.77734375" style="2" customWidth="1"/>
    <col min="5399" max="5399" width="6.77734375" style="2" customWidth="1"/>
    <col min="5400" max="5400" width="4.21875" style="2" customWidth="1"/>
    <col min="5401" max="5401" width="7.21875" style="2" customWidth="1"/>
    <col min="5402" max="5632" width="8.77734375" style="2"/>
    <col min="5633" max="5633" width="4.5546875" style="2" customWidth="1"/>
    <col min="5634" max="5635" width="6.77734375" style="2" customWidth="1"/>
    <col min="5636" max="5636" width="3.21875" style="2" customWidth="1"/>
    <col min="5637" max="5637" width="4.21875" style="2" customWidth="1"/>
    <col min="5638" max="5638" width="5.44140625" style="2" customWidth="1"/>
    <col min="5639" max="5639" width="7.77734375" style="2" customWidth="1"/>
    <col min="5640" max="5640" width="5.21875" style="2" customWidth="1"/>
    <col min="5641" max="5641" width="7" style="2" customWidth="1"/>
    <col min="5642" max="5642" width="5.21875" style="2" customWidth="1"/>
    <col min="5643" max="5643" width="7" style="2" customWidth="1"/>
    <col min="5644" max="5644" width="4.21875" style="2" customWidth="1"/>
    <col min="5645" max="5645" width="6.77734375" style="2" customWidth="1"/>
    <col min="5646" max="5646" width="5.44140625" style="2" customWidth="1"/>
    <col min="5647" max="5647" width="7" style="2" customWidth="1"/>
    <col min="5648" max="5648" width="5.21875" style="2" customWidth="1"/>
    <col min="5649" max="5649" width="4.77734375" style="2" customWidth="1"/>
    <col min="5650" max="5650" width="5.77734375" style="2" customWidth="1"/>
    <col min="5651" max="5651" width="7.44140625" style="2" customWidth="1"/>
    <col min="5652" max="5652" width="4" style="2" customWidth="1"/>
    <col min="5653" max="5653" width="6.44140625" style="2" customWidth="1"/>
    <col min="5654" max="5654" width="5.77734375" style="2" customWidth="1"/>
    <col min="5655" max="5655" width="6.77734375" style="2" customWidth="1"/>
    <col min="5656" max="5656" width="4.21875" style="2" customWidth="1"/>
    <col min="5657" max="5657" width="7.21875" style="2" customWidth="1"/>
    <col min="5658" max="5888" width="8.77734375" style="2"/>
    <col min="5889" max="5889" width="4.5546875" style="2" customWidth="1"/>
    <col min="5890" max="5891" width="6.77734375" style="2" customWidth="1"/>
    <col min="5892" max="5892" width="3.21875" style="2" customWidth="1"/>
    <col min="5893" max="5893" width="4.21875" style="2" customWidth="1"/>
    <col min="5894" max="5894" width="5.44140625" style="2" customWidth="1"/>
    <col min="5895" max="5895" width="7.77734375" style="2" customWidth="1"/>
    <col min="5896" max="5896" width="5.21875" style="2" customWidth="1"/>
    <col min="5897" max="5897" width="7" style="2" customWidth="1"/>
    <col min="5898" max="5898" width="5.21875" style="2" customWidth="1"/>
    <col min="5899" max="5899" width="7" style="2" customWidth="1"/>
    <col min="5900" max="5900" width="4.21875" style="2" customWidth="1"/>
    <col min="5901" max="5901" width="6.77734375" style="2" customWidth="1"/>
    <col min="5902" max="5902" width="5.44140625" style="2" customWidth="1"/>
    <col min="5903" max="5903" width="7" style="2" customWidth="1"/>
    <col min="5904" max="5904" width="5.21875" style="2" customWidth="1"/>
    <col min="5905" max="5905" width="4.77734375" style="2" customWidth="1"/>
    <col min="5906" max="5906" width="5.77734375" style="2" customWidth="1"/>
    <col min="5907" max="5907" width="7.44140625" style="2" customWidth="1"/>
    <col min="5908" max="5908" width="4" style="2" customWidth="1"/>
    <col min="5909" max="5909" width="6.44140625" style="2" customWidth="1"/>
    <col min="5910" max="5910" width="5.77734375" style="2" customWidth="1"/>
    <col min="5911" max="5911" width="6.77734375" style="2" customWidth="1"/>
    <col min="5912" max="5912" width="4.21875" style="2" customWidth="1"/>
    <col min="5913" max="5913" width="7.21875" style="2" customWidth="1"/>
    <col min="5914" max="6144" width="8.77734375" style="2"/>
    <col min="6145" max="6145" width="4.5546875" style="2" customWidth="1"/>
    <col min="6146" max="6147" width="6.77734375" style="2" customWidth="1"/>
    <col min="6148" max="6148" width="3.21875" style="2" customWidth="1"/>
    <col min="6149" max="6149" width="4.21875" style="2" customWidth="1"/>
    <col min="6150" max="6150" width="5.44140625" style="2" customWidth="1"/>
    <col min="6151" max="6151" width="7.77734375" style="2" customWidth="1"/>
    <col min="6152" max="6152" width="5.21875" style="2" customWidth="1"/>
    <col min="6153" max="6153" width="7" style="2" customWidth="1"/>
    <col min="6154" max="6154" width="5.21875" style="2" customWidth="1"/>
    <col min="6155" max="6155" width="7" style="2" customWidth="1"/>
    <col min="6156" max="6156" width="4.21875" style="2" customWidth="1"/>
    <col min="6157" max="6157" width="6.77734375" style="2" customWidth="1"/>
    <col min="6158" max="6158" width="5.44140625" style="2" customWidth="1"/>
    <col min="6159" max="6159" width="7" style="2" customWidth="1"/>
    <col min="6160" max="6160" width="5.21875" style="2" customWidth="1"/>
    <col min="6161" max="6161" width="4.77734375" style="2" customWidth="1"/>
    <col min="6162" max="6162" width="5.77734375" style="2" customWidth="1"/>
    <col min="6163" max="6163" width="7.44140625" style="2" customWidth="1"/>
    <col min="6164" max="6164" width="4" style="2" customWidth="1"/>
    <col min="6165" max="6165" width="6.44140625" style="2" customWidth="1"/>
    <col min="6166" max="6166" width="5.77734375" style="2" customWidth="1"/>
    <col min="6167" max="6167" width="6.77734375" style="2" customWidth="1"/>
    <col min="6168" max="6168" width="4.21875" style="2" customWidth="1"/>
    <col min="6169" max="6169" width="7.21875" style="2" customWidth="1"/>
    <col min="6170" max="6400" width="8.77734375" style="2"/>
    <col min="6401" max="6401" width="4.5546875" style="2" customWidth="1"/>
    <col min="6402" max="6403" width="6.77734375" style="2" customWidth="1"/>
    <col min="6404" max="6404" width="3.21875" style="2" customWidth="1"/>
    <col min="6405" max="6405" width="4.21875" style="2" customWidth="1"/>
    <col min="6406" max="6406" width="5.44140625" style="2" customWidth="1"/>
    <col min="6407" max="6407" width="7.77734375" style="2" customWidth="1"/>
    <col min="6408" max="6408" width="5.21875" style="2" customWidth="1"/>
    <col min="6409" max="6409" width="7" style="2" customWidth="1"/>
    <col min="6410" max="6410" width="5.21875" style="2" customWidth="1"/>
    <col min="6411" max="6411" width="7" style="2" customWidth="1"/>
    <col min="6412" max="6412" width="4.21875" style="2" customWidth="1"/>
    <col min="6413" max="6413" width="6.77734375" style="2" customWidth="1"/>
    <col min="6414" max="6414" width="5.44140625" style="2" customWidth="1"/>
    <col min="6415" max="6415" width="7" style="2" customWidth="1"/>
    <col min="6416" max="6416" width="5.21875" style="2" customWidth="1"/>
    <col min="6417" max="6417" width="4.77734375" style="2" customWidth="1"/>
    <col min="6418" max="6418" width="5.77734375" style="2" customWidth="1"/>
    <col min="6419" max="6419" width="7.44140625" style="2" customWidth="1"/>
    <col min="6420" max="6420" width="4" style="2" customWidth="1"/>
    <col min="6421" max="6421" width="6.44140625" style="2" customWidth="1"/>
    <col min="6422" max="6422" width="5.77734375" style="2" customWidth="1"/>
    <col min="6423" max="6423" width="6.77734375" style="2" customWidth="1"/>
    <col min="6424" max="6424" width="4.21875" style="2" customWidth="1"/>
    <col min="6425" max="6425" width="7.21875" style="2" customWidth="1"/>
    <col min="6426" max="6656" width="8.77734375" style="2"/>
    <col min="6657" max="6657" width="4.5546875" style="2" customWidth="1"/>
    <col min="6658" max="6659" width="6.77734375" style="2" customWidth="1"/>
    <col min="6660" max="6660" width="3.21875" style="2" customWidth="1"/>
    <col min="6661" max="6661" width="4.21875" style="2" customWidth="1"/>
    <col min="6662" max="6662" width="5.44140625" style="2" customWidth="1"/>
    <col min="6663" max="6663" width="7.77734375" style="2" customWidth="1"/>
    <col min="6664" max="6664" width="5.21875" style="2" customWidth="1"/>
    <col min="6665" max="6665" width="7" style="2" customWidth="1"/>
    <col min="6666" max="6666" width="5.21875" style="2" customWidth="1"/>
    <col min="6667" max="6667" width="7" style="2" customWidth="1"/>
    <col min="6668" max="6668" width="4.21875" style="2" customWidth="1"/>
    <col min="6669" max="6669" width="6.77734375" style="2" customWidth="1"/>
    <col min="6670" max="6670" width="5.44140625" style="2" customWidth="1"/>
    <col min="6671" max="6671" width="7" style="2" customWidth="1"/>
    <col min="6672" max="6672" width="5.21875" style="2" customWidth="1"/>
    <col min="6673" max="6673" width="4.77734375" style="2" customWidth="1"/>
    <col min="6674" max="6674" width="5.77734375" style="2" customWidth="1"/>
    <col min="6675" max="6675" width="7.44140625" style="2" customWidth="1"/>
    <col min="6676" max="6676" width="4" style="2" customWidth="1"/>
    <col min="6677" max="6677" width="6.44140625" style="2" customWidth="1"/>
    <col min="6678" max="6678" width="5.77734375" style="2" customWidth="1"/>
    <col min="6679" max="6679" width="6.77734375" style="2" customWidth="1"/>
    <col min="6680" max="6680" width="4.21875" style="2" customWidth="1"/>
    <col min="6681" max="6681" width="7.21875" style="2" customWidth="1"/>
    <col min="6682" max="6912" width="8.77734375" style="2"/>
    <col min="6913" max="6913" width="4.5546875" style="2" customWidth="1"/>
    <col min="6914" max="6915" width="6.77734375" style="2" customWidth="1"/>
    <col min="6916" max="6916" width="3.21875" style="2" customWidth="1"/>
    <col min="6917" max="6917" width="4.21875" style="2" customWidth="1"/>
    <col min="6918" max="6918" width="5.44140625" style="2" customWidth="1"/>
    <col min="6919" max="6919" width="7.77734375" style="2" customWidth="1"/>
    <col min="6920" max="6920" width="5.21875" style="2" customWidth="1"/>
    <col min="6921" max="6921" width="7" style="2" customWidth="1"/>
    <col min="6922" max="6922" width="5.21875" style="2" customWidth="1"/>
    <col min="6923" max="6923" width="7" style="2" customWidth="1"/>
    <col min="6924" max="6924" width="4.21875" style="2" customWidth="1"/>
    <col min="6925" max="6925" width="6.77734375" style="2" customWidth="1"/>
    <col min="6926" max="6926" width="5.44140625" style="2" customWidth="1"/>
    <col min="6927" max="6927" width="7" style="2" customWidth="1"/>
    <col min="6928" max="6928" width="5.21875" style="2" customWidth="1"/>
    <col min="6929" max="6929" width="4.77734375" style="2" customWidth="1"/>
    <col min="6930" max="6930" width="5.77734375" style="2" customWidth="1"/>
    <col min="6931" max="6931" width="7.44140625" style="2" customWidth="1"/>
    <col min="6932" max="6932" width="4" style="2" customWidth="1"/>
    <col min="6933" max="6933" width="6.44140625" style="2" customWidth="1"/>
    <col min="6934" max="6934" width="5.77734375" style="2" customWidth="1"/>
    <col min="6935" max="6935" width="6.77734375" style="2" customWidth="1"/>
    <col min="6936" max="6936" width="4.21875" style="2" customWidth="1"/>
    <col min="6937" max="6937" width="7.21875" style="2" customWidth="1"/>
    <col min="6938" max="7168" width="8.77734375" style="2"/>
    <col min="7169" max="7169" width="4.5546875" style="2" customWidth="1"/>
    <col min="7170" max="7171" width="6.77734375" style="2" customWidth="1"/>
    <col min="7172" max="7172" width="3.21875" style="2" customWidth="1"/>
    <col min="7173" max="7173" width="4.21875" style="2" customWidth="1"/>
    <col min="7174" max="7174" width="5.44140625" style="2" customWidth="1"/>
    <col min="7175" max="7175" width="7.77734375" style="2" customWidth="1"/>
    <col min="7176" max="7176" width="5.21875" style="2" customWidth="1"/>
    <col min="7177" max="7177" width="7" style="2" customWidth="1"/>
    <col min="7178" max="7178" width="5.21875" style="2" customWidth="1"/>
    <col min="7179" max="7179" width="7" style="2" customWidth="1"/>
    <col min="7180" max="7180" width="4.21875" style="2" customWidth="1"/>
    <col min="7181" max="7181" width="6.77734375" style="2" customWidth="1"/>
    <col min="7182" max="7182" width="5.44140625" style="2" customWidth="1"/>
    <col min="7183" max="7183" width="7" style="2" customWidth="1"/>
    <col min="7184" max="7184" width="5.21875" style="2" customWidth="1"/>
    <col min="7185" max="7185" width="4.77734375" style="2" customWidth="1"/>
    <col min="7186" max="7186" width="5.77734375" style="2" customWidth="1"/>
    <col min="7187" max="7187" width="7.44140625" style="2" customWidth="1"/>
    <col min="7188" max="7188" width="4" style="2" customWidth="1"/>
    <col min="7189" max="7189" width="6.44140625" style="2" customWidth="1"/>
    <col min="7190" max="7190" width="5.77734375" style="2" customWidth="1"/>
    <col min="7191" max="7191" width="6.77734375" style="2" customWidth="1"/>
    <col min="7192" max="7192" width="4.21875" style="2" customWidth="1"/>
    <col min="7193" max="7193" width="7.21875" style="2" customWidth="1"/>
    <col min="7194" max="7424" width="8.77734375" style="2"/>
    <col min="7425" max="7425" width="4.5546875" style="2" customWidth="1"/>
    <col min="7426" max="7427" width="6.77734375" style="2" customWidth="1"/>
    <col min="7428" max="7428" width="3.21875" style="2" customWidth="1"/>
    <col min="7429" max="7429" width="4.21875" style="2" customWidth="1"/>
    <col min="7430" max="7430" width="5.44140625" style="2" customWidth="1"/>
    <col min="7431" max="7431" width="7.77734375" style="2" customWidth="1"/>
    <col min="7432" max="7432" width="5.21875" style="2" customWidth="1"/>
    <col min="7433" max="7433" width="7" style="2" customWidth="1"/>
    <col min="7434" max="7434" width="5.21875" style="2" customWidth="1"/>
    <col min="7435" max="7435" width="7" style="2" customWidth="1"/>
    <col min="7436" max="7436" width="4.21875" style="2" customWidth="1"/>
    <col min="7437" max="7437" width="6.77734375" style="2" customWidth="1"/>
    <col min="7438" max="7438" width="5.44140625" style="2" customWidth="1"/>
    <col min="7439" max="7439" width="7" style="2" customWidth="1"/>
    <col min="7440" max="7440" width="5.21875" style="2" customWidth="1"/>
    <col min="7441" max="7441" width="4.77734375" style="2" customWidth="1"/>
    <col min="7442" max="7442" width="5.77734375" style="2" customWidth="1"/>
    <col min="7443" max="7443" width="7.44140625" style="2" customWidth="1"/>
    <col min="7444" max="7444" width="4" style="2" customWidth="1"/>
    <col min="7445" max="7445" width="6.44140625" style="2" customWidth="1"/>
    <col min="7446" max="7446" width="5.77734375" style="2" customWidth="1"/>
    <col min="7447" max="7447" width="6.77734375" style="2" customWidth="1"/>
    <col min="7448" max="7448" width="4.21875" style="2" customWidth="1"/>
    <col min="7449" max="7449" width="7.21875" style="2" customWidth="1"/>
    <col min="7450" max="7680" width="8.77734375" style="2"/>
    <col min="7681" max="7681" width="4.5546875" style="2" customWidth="1"/>
    <col min="7682" max="7683" width="6.77734375" style="2" customWidth="1"/>
    <col min="7684" max="7684" width="3.21875" style="2" customWidth="1"/>
    <col min="7685" max="7685" width="4.21875" style="2" customWidth="1"/>
    <col min="7686" max="7686" width="5.44140625" style="2" customWidth="1"/>
    <col min="7687" max="7687" width="7.77734375" style="2" customWidth="1"/>
    <col min="7688" max="7688" width="5.21875" style="2" customWidth="1"/>
    <col min="7689" max="7689" width="7" style="2" customWidth="1"/>
    <col min="7690" max="7690" width="5.21875" style="2" customWidth="1"/>
    <col min="7691" max="7691" width="7" style="2" customWidth="1"/>
    <col min="7692" max="7692" width="4.21875" style="2" customWidth="1"/>
    <col min="7693" max="7693" width="6.77734375" style="2" customWidth="1"/>
    <col min="7694" max="7694" width="5.44140625" style="2" customWidth="1"/>
    <col min="7695" max="7695" width="7" style="2" customWidth="1"/>
    <col min="7696" max="7696" width="5.21875" style="2" customWidth="1"/>
    <col min="7697" max="7697" width="4.77734375" style="2" customWidth="1"/>
    <col min="7698" max="7698" width="5.77734375" style="2" customWidth="1"/>
    <col min="7699" max="7699" width="7.44140625" style="2" customWidth="1"/>
    <col min="7700" max="7700" width="4" style="2" customWidth="1"/>
    <col min="7701" max="7701" width="6.44140625" style="2" customWidth="1"/>
    <col min="7702" max="7702" width="5.77734375" style="2" customWidth="1"/>
    <col min="7703" max="7703" width="6.77734375" style="2" customWidth="1"/>
    <col min="7704" max="7704" width="4.21875" style="2" customWidth="1"/>
    <col min="7705" max="7705" width="7.21875" style="2" customWidth="1"/>
    <col min="7706" max="7936" width="8.77734375" style="2"/>
    <col min="7937" max="7937" width="4.5546875" style="2" customWidth="1"/>
    <col min="7938" max="7939" width="6.77734375" style="2" customWidth="1"/>
    <col min="7940" max="7940" width="3.21875" style="2" customWidth="1"/>
    <col min="7941" max="7941" width="4.21875" style="2" customWidth="1"/>
    <col min="7942" max="7942" width="5.44140625" style="2" customWidth="1"/>
    <col min="7943" max="7943" width="7.77734375" style="2" customWidth="1"/>
    <col min="7944" max="7944" width="5.21875" style="2" customWidth="1"/>
    <col min="7945" max="7945" width="7" style="2" customWidth="1"/>
    <col min="7946" max="7946" width="5.21875" style="2" customWidth="1"/>
    <col min="7947" max="7947" width="7" style="2" customWidth="1"/>
    <col min="7948" max="7948" width="4.21875" style="2" customWidth="1"/>
    <col min="7949" max="7949" width="6.77734375" style="2" customWidth="1"/>
    <col min="7950" max="7950" width="5.44140625" style="2" customWidth="1"/>
    <col min="7951" max="7951" width="7" style="2" customWidth="1"/>
    <col min="7952" max="7952" width="5.21875" style="2" customWidth="1"/>
    <col min="7953" max="7953" width="4.77734375" style="2" customWidth="1"/>
    <col min="7954" max="7954" width="5.77734375" style="2" customWidth="1"/>
    <col min="7955" max="7955" width="7.44140625" style="2" customWidth="1"/>
    <col min="7956" max="7956" width="4" style="2" customWidth="1"/>
    <col min="7957" max="7957" width="6.44140625" style="2" customWidth="1"/>
    <col min="7958" max="7958" width="5.77734375" style="2" customWidth="1"/>
    <col min="7959" max="7959" width="6.77734375" style="2" customWidth="1"/>
    <col min="7960" max="7960" width="4.21875" style="2" customWidth="1"/>
    <col min="7961" max="7961" width="7.21875" style="2" customWidth="1"/>
    <col min="7962" max="8192" width="8.77734375" style="2"/>
    <col min="8193" max="8193" width="4.5546875" style="2" customWidth="1"/>
    <col min="8194" max="8195" width="6.77734375" style="2" customWidth="1"/>
    <col min="8196" max="8196" width="3.21875" style="2" customWidth="1"/>
    <col min="8197" max="8197" width="4.21875" style="2" customWidth="1"/>
    <col min="8198" max="8198" width="5.44140625" style="2" customWidth="1"/>
    <col min="8199" max="8199" width="7.77734375" style="2" customWidth="1"/>
    <col min="8200" max="8200" width="5.21875" style="2" customWidth="1"/>
    <col min="8201" max="8201" width="7" style="2" customWidth="1"/>
    <col min="8202" max="8202" width="5.21875" style="2" customWidth="1"/>
    <col min="8203" max="8203" width="7" style="2" customWidth="1"/>
    <col min="8204" max="8204" width="4.21875" style="2" customWidth="1"/>
    <col min="8205" max="8205" width="6.77734375" style="2" customWidth="1"/>
    <col min="8206" max="8206" width="5.44140625" style="2" customWidth="1"/>
    <col min="8207" max="8207" width="7" style="2" customWidth="1"/>
    <col min="8208" max="8208" width="5.21875" style="2" customWidth="1"/>
    <col min="8209" max="8209" width="4.77734375" style="2" customWidth="1"/>
    <col min="8210" max="8210" width="5.77734375" style="2" customWidth="1"/>
    <col min="8211" max="8211" width="7.44140625" style="2" customWidth="1"/>
    <col min="8212" max="8212" width="4" style="2" customWidth="1"/>
    <col min="8213" max="8213" width="6.44140625" style="2" customWidth="1"/>
    <col min="8214" max="8214" width="5.77734375" style="2" customWidth="1"/>
    <col min="8215" max="8215" width="6.77734375" style="2" customWidth="1"/>
    <col min="8216" max="8216" width="4.21875" style="2" customWidth="1"/>
    <col min="8217" max="8217" width="7.21875" style="2" customWidth="1"/>
    <col min="8218" max="8448" width="8.77734375" style="2"/>
    <col min="8449" max="8449" width="4.5546875" style="2" customWidth="1"/>
    <col min="8450" max="8451" width="6.77734375" style="2" customWidth="1"/>
    <col min="8452" max="8452" width="3.21875" style="2" customWidth="1"/>
    <col min="8453" max="8453" width="4.21875" style="2" customWidth="1"/>
    <col min="8454" max="8454" width="5.44140625" style="2" customWidth="1"/>
    <col min="8455" max="8455" width="7.77734375" style="2" customWidth="1"/>
    <col min="8456" max="8456" width="5.21875" style="2" customWidth="1"/>
    <col min="8457" max="8457" width="7" style="2" customWidth="1"/>
    <col min="8458" max="8458" width="5.21875" style="2" customWidth="1"/>
    <col min="8459" max="8459" width="7" style="2" customWidth="1"/>
    <col min="8460" max="8460" width="4.21875" style="2" customWidth="1"/>
    <col min="8461" max="8461" width="6.77734375" style="2" customWidth="1"/>
    <col min="8462" max="8462" width="5.44140625" style="2" customWidth="1"/>
    <col min="8463" max="8463" width="7" style="2" customWidth="1"/>
    <col min="8464" max="8464" width="5.21875" style="2" customWidth="1"/>
    <col min="8465" max="8465" width="4.77734375" style="2" customWidth="1"/>
    <col min="8466" max="8466" width="5.77734375" style="2" customWidth="1"/>
    <col min="8467" max="8467" width="7.44140625" style="2" customWidth="1"/>
    <col min="8468" max="8468" width="4" style="2" customWidth="1"/>
    <col min="8469" max="8469" width="6.44140625" style="2" customWidth="1"/>
    <col min="8470" max="8470" width="5.77734375" style="2" customWidth="1"/>
    <col min="8471" max="8471" width="6.77734375" style="2" customWidth="1"/>
    <col min="8472" max="8472" width="4.21875" style="2" customWidth="1"/>
    <col min="8473" max="8473" width="7.21875" style="2" customWidth="1"/>
    <col min="8474" max="8704" width="8.77734375" style="2"/>
    <col min="8705" max="8705" width="4.5546875" style="2" customWidth="1"/>
    <col min="8706" max="8707" width="6.77734375" style="2" customWidth="1"/>
    <col min="8708" max="8708" width="3.21875" style="2" customWidth="1"/>
    <col min="8709" max="8709" width="4.21875" style="2" customWidth="1"/>
    <col min="8710" max="8710" width="5.44140625" style="2" customWidth="1"/>
    <col min="8711" max="8711" width="7.77734375" style="2" customWidth="1"/>
    <col min="8712" max="8712" width="5.21875" style="2" customWidth="1"/>
    <col min="8713" max="8713" width="7" style="2" customWidth="1"/>
    <col min="8714" max="8714" width="5.21875" style="2" customWidth="1"/>
    <col min="8715" max="8715" width="7" style="2" customWidth="1"/>
    <col min="8716" max="8716" width="4.21875" style="2" customWidth="1"/>
    <col min="8717" max="8717" width="6.77734375" style="2" customWidth="1"/>
    <col min="8718" max="8718" width="5.44140625" style="2" customWidth="1"/>
    <col min="8719" max="8719" width="7" style="2" customWidth="1"/>
    <col min="8720" max="8720" width="5.21875" style="2" customWidth="1"/>
    <col min="8721" max="8721" width="4.77734375" style="2" customWidth="1"/>
    <col min="8722" max="8722" width="5.77734375" style="2" customWidth="1"/>
    <col min="8723" max="8723" width="7.44140625" style="2" customWidth="1"/>
    <col min="8724" max="8724" width="4" style="2" customWidth="1"/>
    <col min="8725" max="8725" width="6.44140625" style="2" customWidth="1"/>
    <col min="8726" max="8726" width="5.77734375" style="2" customWidth="1"/>
    <col min="8727" max="8727" width="6.77734375" style="2" customWidth="1"/>
    <col min="8728" max="8728" width="4.21875" style="2" customWidth="1"/>
    <col min="8729" max="8729" width="7.21875" style="2" customWidth="1"/>
    <col min="8730" max="8960" width="8.77734375" style="2"/>
    <col min="8961" max="8961" width="4.5546875" style="2" customWidth="1"/>
    <col min="8962" max="8963" width="6.77734375" style="2" customWidth="1"/>
    <col min="8964" max="8964" width="3.21875" style="2" customWidth="1"/>
    <col min="8965" max="8965" width="4.21875" style="2" customWidth="1"/>
    <col min="8966" max="8966" width="5.44140625" style="2" customWidth="1"/>
    <col min="8967" max="8967" width="7.77734375" style="2" customWidth="1"/>
    <col min="8968" max="8968" width="5.21875" style="2" customWidth="1"/>
    <col min="8969" max="8969" width="7" style="2" customWidth="1"/>
    <col min="8970" max="8970" width="5.21875" style="2" customWidth="1"/>
    <col min="8971" max="8971" width="7" style="2" customWidth="1"/>
    <col min="8972" max="8972" width="4.21875" style="2" customWidth="1"/>
    <col min="8973" max="8973" width="6.77734375" style="2" customWidth="1"/>
    <col min="8974" max="8974" width="5.44140625" style="2" customWidth="1"/>
    <col min="8975" max="8975" width="7" style="2" customWidth="1"/>
    <col min="8976" max="8976" width="5.21875" style="2" customWidth="1"/>
    <col min="8977" max="8977" width="4.77734375" style="2" customWidth="1"/>
    <col min="8978" max="8978" width="5.77734375" style="2" customWidth="1"/>
    <col min="8979" max="8979" width="7.44140625" style="2" customWidth="1"/>
    <col min="8980" max="8980" width="4" style="2" customWidth="1"/>
    <col min="8981" max="8981" width="6.44140625" style="2" customWidth="1"/>
    <col min="8982" max="8982" width="5.77734375" style="2" customWidth="1"/>
    <col min="8983" max="8983" width="6.77734375" style="2" customWidth="1"/>
    <col min="8984" max="8984" width="4.21875" style="2" customWidth="1"/>
    <col min="8985" max="8985" width="7.21875" style="2" customWidth="1"/>
    <col min="8986" max="9216" width="8.77734375" style="2"/>
    <col min="9217" max="9217" width="4.5546875" style="2" customWidth="1"/>
    <col min="9218" max="9219" width="6.77734375" style="2" customWidth="1"/>
    <col min="9220" max="9220" width="3.21875" style="2" customWidth="1"/>
    <col min="9221" max="9221" width="4.21875" style="2" customWidth="1"/>
    <col min="9222" max="9222" width="5.44140625" style="2" customWidth="1"/>
    <col min="9223" max="9223" width="7.77734375" style="2" customWidth="1"/>
    <col min="9224" max="9224" width="5.21875" style="2" customWidth="1"/>
    <col min="9225" max="9225" width="7" style="2" customWidth="1"/>
    <col min="9226" max="9226" width="5.21875" style="2" customWidth="1"/>
    <col min="9227" max="9227" width="7" style="2" customWidth="1"/>
    <col min="9228" max="9228" width="4.21875" style="2" customWidth="1"/>
    <col min="9229" max="9229" width="6.77734375" style="2" customWidth="1"/>
    <col min="9230" max="9230" width="5.44140625" style="2" customWidth="1"/>
    <col min="9231" max="9231" width="7" style="2" customWidth="1"/>
    <col min="9232" max="9232" width="5.21875" style="2" customWidth="1"/>
    <col min="9233" max="9233" width="4.77734375" style="2" customWidth="1"/>
    <col min="9234" max="9234" width="5.77734375" style="2" customWidth="1"/>
    <col min="9235" max="9235" width="7.44140625" style="2" customWidth="1"/>
    <col min="9236" max="9236" width="4" style="2" customWidth="1"/>
    <col min="9237" max="9237" width="6.44140625" style="2" customWidth="1"/>
    <col min="9238" max="9238" width="5.77734375" style="2" customWidth="1"/>
    <col min="9239" max="9239" width="6.77734375" style="2" customWidth="1"/>
    <col min="9240" max="9240" width="4.21875" style="2" customWidth="1"/>
    <col min="9241" max="9241" width="7.21875" style="2" customWidth="1"/>
    <col min="9242" max="9472" width="8.77734375" style="2"/>
    <col min="9473" max="9473" width="4.5546875" style="2" customWidth="1"/>
    <col min="9474" max="9475" width="6.77734375" style="2" customWidth="1"/>
    <col min="9476" max="9476" width="3.21875" style="2" customWidth="1"/>
    <col min="9477" max="9477" width="4.21875" style="2" customWidth="1"/>
    <col min="9478" max="9478" width="5.44140625" style="2" customWidth="1"/>
    <col min="9479" max="9479" width="7.77734375" style="2" customWidth="1"/>
    <col min="9480" max="9480" width="5.21875" style="2" customWidth="1"/>
    <col min="9481" max="9481" width="7" style="2" customWidth="1"/>
    <col min="9482" max="9482" width="5.21875" style="2" customWidth="1"/>
    <col min="9483" max="9483" width="7" style="2" customWidth="1"/>
    <col min="9484" max="9484" width="4.21875" style="2" customWidth="1"/>
    <col min="9485" max="9485" width="6.77734375" style="2" customWidth="1"/>
    <col min="9486" max="9486" width="5.44140625" style="2" customWidth="1"/>
    <col min="9487" max="9487" width="7" style="2" customWidth="1"/>
    <col min="9488" max="9488" width="5.21875" style="2" customWidth="1"/>
    <col min="9489" max="9489" width="4.77734375" style="2" customWidth="1"/>
    <col min="9490" max="9490" width="5.77734375" style="2" customWidth="1"/>
    <col min="9491" max="9491" width="7.44140625" style="2" customWidth="1"/>
    <col min="9492" max="9492" width="4" style="2" customWidth="1"/>
    <col min="9493" max="9493" width="6.44140625" style="2" customWidth="1"/>
    <col min="9494" max="9494" width="5.77734375" style="2" customWidth="1"/>
    <col min="9495" max="9495" width="6.77734375" style="2" customWidth="1"/>
    <col min="9496" max="9496" width="4.21875" style="2" customWidth="1"/>
    <col min="9497" max="9497" width="7.21875" style="2" customWidth="1"/>
    <col min="9498" max="9728" width="8.77734375" style="2"/>
    <col min="9729" max="9729" width="4.5546875" style="2" customWidth="1"/>
    <col min="9730" max="9731" width="6.77734375" style="2" customWidth="1"/>
    <col min="9732" max="9732" width="3.21875" style="2" customWidth="1"/>
    <col min="9733" max="9733" width="4.21875" style="2" customWidth="1"/>
    <col min="9734" max="9734" width="5.44140625" style="2" customWidth="1"/>
    <col min="9735" max="9735" width="7.77734375" style="2" customWidth="1"/>
    <col min="9736" max="9736" width="5.21875" style="2" customWidth="1"/>
    <col min="9737" max="9737" width="7" style="2" customWidth="1"/>
    <col min="9738" max="9738" width="5.21875" style="2" customWidth="1"/>
    <col min="9739" max="9739" width="7" style="2" customWidth="1"/>
    <col min="9740" max="9740" width="4.21875" style="2" customWidth="1"/>
    <col min="9741" max="9741" width="6.77734375" style="2" customWidth="1"/>
    <col min="9742" max="9742" width="5.44140625" style="2" customWidth="1"/>
    <col min="9743" max="9743" width="7" style="2" customWidth="1"/>
    <col min="9744" max="9744" width="5.21875" style="2" customWidth="1"/>
    <col min="9745" max="9745" width="4.77734375" style="2" customWidth="1"/>
    <col min="9746" max="9746" width="5.77734375" style="2" customWidth="1"/>
    <col min="9747" max="9747" width="7.44140625" style="2" customWidth="1"/>
    <col min="9748" max="9748" width="4" style="2" customWidth="1"/>
    <col min="9749" max="9749" width="6.44140625" style="2" customWidth="1"/>
    <col min="9750" max="9750" width="5.77734375" style="2" customWidth="1"/>
    <col min="9751" max="9751" width="6.77734375" style="2" customWidth="1"/>
    <col min="9752" max="9752" width="4.21875" style="2" customWidth="1"/>
    <col min="9753" max="9753" width="7.21875" style="2" customWidth="1"/>
    <col min="9754" max="9984" width="8.77734375" style="2"/>
    <col min="9985" max="9985" width="4.5546875" style="2" customWidth="1"/>
    <col min="9986" max="9987" width="6.77734375" style="2" customWidth="1"/>
    <col min="9988" max="9988" width="3.21875" style="2" customWidth="1"/>
    <col min="9989" max="9989" width="4.21875" style="2" customWidth="1"/>
    <col min="9990" max="9990" width="5.44140625" style="2" customWidth="1"/>
    <col min="9991" max="9991" width="7.77734375" style="2" customWidth="1"/>
    <col min="9992" max="9992" width="5.21875" style="2" customWidth="1"/>
    <col min="9993" max="9993" width="7" style="2" customWidth="1"/>
    <col min="9994" max="9994" width="5.21875" style="2" customWidth="1"/>
    <col min="9995" max="9995" width="7" style="2" customWidth="1"/>
    <col min="9996" max="9996" width="4.21875" style="2" customWidth="1"/>
    <col min="9997" max="9997" width="6.77734375" style="2" customWidth="1"/>
    <col min="9998" max="9998" width="5.44140625" style="2" customWidth="1"/>
    <col min="9999" max="9999" width="7" style="2" customWidth="1"/>
    <col min="10000" max="10000" width="5.21875" style="2" customWidth="1"/>
    <col min="10001" max="10001" width="4.77734375" style="2" customWidth="1"/>
    <col min="10002" max="10002" width="5.77734375" style="2" customWidth="1"/>
    <col min="10003" max="10003" width="7.44140625" style="2" customWidth="1"/>
    <col min="10004" max="10004" width="4" style="2" customWidth="1"/>
    <col min="10005" max="10005" width="6.44140625" style="2" customWidth="1"/>
    <col min="10006" max="10006" width="5.77734375" style="2" customWidth="1"/>
    <col min="10007" max="10007" width="6.77734375" style="2" customWidth="1"/>
    <col min="10008" max="10008" width="4.21875" style="2" customWidth="1"/>
    <col min="10009" max="10009" width="7.21875" style="2" customWidth="1"/>
    <col min="10010" max="10240" width="8.77734375" style="2"/>
    <col min="10241" max="10241" width="4.5546875" style="2" customWidth="1"/>
    <col min="10242" max="10243" width="6.77734375" style="2" customWidth="1"/>
    <col min="10244" max="10244" width="3.21875" style="2" customWidth="1"/>
    <col min="10245" max="10245" width="4.21875" style="2" customWidth="1"/>
    <col min="10246" max="10246" width="5.44140625" style="2" customWidth="1"/>
    <col min="10247" max="10247" width="7.77734375" style="2" customWidth="1"/>
    <col min="10248" max="10248" width="5.21875" style="2" customWidth="1"/>
    <col min="10249" max="10249" width="7" style="2" customWidth="1"/>
    <col min="10250" max="10250" width="5.21875" style="2" customWidth="1"/>
    <col min="10251" max="10251" width="7" style="2" customWidth="1"/>
    <col min="10252" max="10252" width="4.21875" style="2" customWidth="1"/>
    <col min="10253" max="10253" width="6.77734375" style="2" customWidth="1"/>
    <col min="10254" max="10254" width="5.44140625" style="2" customWidth="1"/>
    <col min="10255" max="10255" width="7" style="2" customWidth="1"/>
    <col min="10256" max="10256" width="5.21875" style="2" customWidth="1"/>
    <col min="10257" max="10257" width="4.77734375" style="2" customWidth="1"/>
    <col min="10258" max="10258" width="5.77734375" style="2" customWidth="1"/>
    <col min="10259" max="10259" width="7.44140625" style="2" customWidth="1"/>
    <col min="10260" max="10260" width="4" style="2" customWidth="1"/>
    <col min="10261" max="10261" width="6.44140625" style="2" customWidth="1"/>
    <col min="10262" max="10262" width="5.77734375" style="2" customWidth="1"/>
    <col min="10263" max="10263" width="6.77734375" style="2" customWidth="1"/>
    <col min="10264" max="10264" width="4.21875" style="2" customWidth="1"/>
    <col min="10265" max="10265" width="7.21875" style="2" customWidth="1"/>
    <col min="10266" max="10496" width="8.77734375" style="2"/>
    <col min="10497" max="10497" width="4.5546875" style="2" customWidth="1"/>
    <col min="10498" max="10499" width="6.77734375" style="2" customWidth="1"/>
    <col min="10500" max="10500" width="3.21875" style="2" customWidth="1"/>
    <col min="10501" max="10501" width="4.21875" style="2" customWidth="1"/>
    <col min="10502" max="10502" width="5.44140625" style="2" customWidth="1"/>
    <col min="10503" max="10503" width="7.77734375" style="2" customWidth="1"/>
    <col min="10504" max="10504" width="5.21875" style="2" customWidth="1"/>
    <col min="10505" max="10505" width="7" style="2" customWidth="1"/>
    <col min="10506" max="10506" width="5.21875" style="2" customWidth="1"/>
    <col min="10507" max="10507" width="7" style="2" customWidth="1"/>
    <col min="10508" max="10508" width="4.21875" style="2" customWidth="1"/>
    <col min="10509" max="10509" width="6.77734375" style="2" customWidth="1"/>
    <col min="10510" max="10510" width="5.44140625" style="2" customWidth="1"/>
    <col min="10511" max="10511" width="7" style="2" customWidth="1"/>
    <col min="10512" max="10512" width="5.21875" style="2" customWidth="1"/>
    <col min="10513" max="10513" width="4.77734375" style="2" customWidth="1"/>
    <col min="10514" max="10514" width="5.77734375" style="2" customWidth="1"/>
    <col min="10515" max="10515" width="7.44140625" style="2" customWidth="1"/>
    <col min="10516" max="10516" width="4" style="2" customWidth="1"/>
    <col min="10517" max="10517" width="6.44140625" style="2" customWidth="1"/>
    <col min="10518" max="10518" width="5.77734375" style="2" customWidth="1"/>
    <col min="10519" max="10519" width="6.77734375" style="2" customWidth="1"/>
    <col min="10520" max="10520" width="4.21875" style="2" customWidth="1"/>
    <col min="10521" max="10521" width="7.21875" style="2" customWidth="1"/>
    <col min="10522" max="10752" width="8.77734375" style="2"/>
    <col min="10753" max="10753" width="4.5546875" style="2" customWidth="1"/>
    <col min="10754" max="10755" width="6.77734375" style="2" customWidth="1"/>
    <col min="10756" max="10756" width="3.21875" style="2" customWidth="1"/>
    <col min="10757" max="10757" width="4.21875" style="2" customWidth="1"/>
    <col min="10758" max="10758" width="5.44140625" style="2" customWidth="1"/>
    <col min="10759" max="10759" width="7.77734375" style="2" customWidth="1"/>
    <col min="10760" max="10760" width="5.21875" style="2" customWidth="1"/>
    <col min="10761" max="10761" width="7" style="2" customWidth="1"/>
    <col min="10762" max="10762" width="5.21875" style="2" customWidth="1"/>
    <col min="10763" max="10763" width="7" style="2" customWidth="1"/>
    <col min="10764" max="10764" width="4.21875" style="2" customWidth="1"/>
    <col min="10765" max="10765" width="6.77734375" style="2" customWidth="1"/>
    <col min="10766" max="10766" width="5.44140625" style="2" customWidth="1"/>
    <col min="10767" max="10767" width="7" style="2" customWidth="1"/>
    <col min="10768" max="10768" width="5.21875" style="2" customWidth="1"/>
    <col min="10769" max="10769" width="4.77734375" style="2" customWidth="1"/>
    <col min="10770" max="10770" width="5.77734375" style="2" customWidth="1"/>
    <col min="10771" max="10771" width="7.44140625" style="2" customWidth="1"/>
    <col min="10772" max="10772" width="4" style="2" customWidth="1"/>
    <col min="10773" max="10773" width="6.44140625" style="2" customWidth="1"/>
    <col min="10774" max="10774" width="5.77734375" style="2" customWidth="1"/>
    <col min="10775" max="10775" width="6.77734375" style="2" customWidth="1"/>
    <col min="10776" max="10776" width="4.21875" style="2" customWidth="1"/>
    <col min="10777" max="10777" width="7.21875" style="2" customWidth="1"/>
    <col min="10778" max="11008" width="8.77734375" style="2"/>
    <col min="11009" max="11009" width="4.5546875" style="2" customWidth="1"/>
    <col min="11010" max="11011" width="6.77734375" style="2" customWidth="1"/>
    <col min="11012" max="11012" width="3.21875" style="2" customWidth="1"/>
    <col min="11013" max="11013" width="4.21875" style="2" customWidth="1"/>
    <col min="11014" max="11014" width="5.44140625" style="2" customWidth="1"/>
    <col min="11015" max="11015" width="7.77734375" style="2" customWidth="1"/>
    <col min="11016" max="11016" width="5.21875" style="2" customWidth="1"/>
    <col min="11017" max="11017" width="7" style="2" customWidth="1"/>
    <col min="11018" max="11018" width="5.21875" style="2" customWidth="1"/>
    <col min="11019" max="11019" width="7" style="2" customWidth="1"/>
    <col min="11020" max="11020" width="4.21875" style="2" customWidth="1"/>
    <col min="11021" max="11021" width="6.77734375" style="2" customWidth="1"/>
    <col min="11022" max="11022" width="5.44140625" style="2" customWidth="1"/>
    <col min="11023" max="11023" width="7" style="2" customWidth="1"/>
    <col min="11024" max="11024" width="5.21875" style="2" customWidth="1"/>
    <col min="11025" max="11025" width="4.77734375" style="2" customWidth="1"/>
    <col min="11026" max="11026" width="5.77734375" style="2" customWidth="1"/>
    <col min="11027" max="11027" width="7.44140625" style="2" customWidth="1"/>
    <col min="11028" max="11028" width="4" style="2" customWidth="1"/>
    <col min="11029" max="11029" width="6.44140625" style="2" customWidth="1"/>
    <col min="11030" max="11030" width="5.77734375" style="2" customWidth="1"/>
    <col min="11031" max="11031" width="6.77734375" style="2" customWidth="1"/>
    <col min="11032" max="11032" width="4.21875" style="2" customWidth="1"/>
    <col min="11033" max="11033" width="7.21875" style="2" customWidth="1"/>
    <col min="11034" max="11264" width="8.77734375" style="2"/>
    <col min="11265" max="11265" width="4.5546875" style="2" customWidth="1"/>
    <col min="11266" max="11267" width="6.77734375" style="2" customWidth="1"/>
    <col min="11268" max="11268" width="3.21875" style="2" customWidth="1"/>
    <col min="11269" max="11269" width="4.21875" style="2" customWidth="1"/>
    <col min="11270" max="11270" width="5.44140625" style="2" customWidth="1"/>
    <col min="11271" max="11271" width="7.77734375" style="2" customWidth="1"/>
    <col min="11272" max="11272" width="5.21875" style="2" customWidth="1"/>
    <col min="11273" max="11273" width="7" style="2" customWidth="1"/>
    <col min="11274" max="11274" width="5.21875" style="2" customWidth="1"/>
    <col min="11275" max="11275" width="7" style="2" customWidth="1"/>
    <col min="11276" max="11276" width="4.21875" style="2" customWidth="1"/>
    <col min="11277" max="11277" width="6.77734375" style="2" customWidth="1"/>
    <col min="11278" max="11278" width="5.44140625" style="2" customWidth="1"/>
    <col min="11279" max="11279" width="7" style="2" customWidth="1"/>
    <col min="11280" max="11280" width="5.21875" style="2" customWidth="1"/>
    <col min="11281" max="11281" width="4.77734375" style="2" customWidth="1"/>
    <col min="11282" max="11282" width="5.77734375" style="2" customWidth="1"/>
    <col min="11283" max="11283" width="7.44140625" style="2" customWidth="1"/>
    <col min="11284" max="11284" width="4" style="2" customWidth="1"/>
    <col min="11285" max="11285" width="6.44140625" style="2" customWidth="1"/>
    <col min="11286" max="11286" width="5.77734375" style="2" customWidth="1"/>
    <col min="11287" max="11287" width="6.77734375" style="2" customWidth="1"/>
    <col min="11288" max="11288" width="4.21875" style="2" customWidth="1"/>
    <col min="11289" max="11289" width="7.21875" style="2" customWidth="1"/>
    <col min="11290" max="11520" width="8.77734375" style="2"/>
    <col min="11521" max="11521" width="4.5546875" style="2" customWidth="1"/>
    <col min="11522" max="11523" width="6.77734375" style="2" customWidth="1"/>
    <col min="11524" max="11524" width="3.21875" style="2" customWidth="1"/>
    <col min="11525" max="11525" width="4.21875" style="2" customWidth="1"/>
    <col min="11526" max="11526" width="5.44140625" style="2" customWidth="1"/>
    <col min="11527" max="11527" width="7.77734375" style="2" customWidth="1"/>
    <col min="11528" max="11528" width="5.21875" style="2" customWidth="1"/>
    <col min="11529" max="11529" width="7" style="2" customWidth="1"/>
    <col min="11530" max="11530" width="5.21875" style="2" customWidth="1"/>
    <col min="11531" max="11531" width="7" style="2" customWidth="1"/>
    <col min="11532" max="11532" width="4.21875" style="2" customWidth="1"/>
    <col min="11533" max="11533" width="6.77734375" style="2" customWidth="1"/>
    <col min="11534" max="11534" width="5.44140625" style="2" customWidth="1"/>
    <col min="11535" max="11535" width="7" style="2" customWidth="1"/>
    <col min="11536" max="11536" width="5.21875" style="2" customWidth="1"/>
    <col min="11537" max="11537" width="4.77734375" style="2" customWidth="1"/>
    <col min="11538" max="11538" width="5.77734375" style="2" customWidth="1"/>
    <col min="11539" max="11539" width="7.44140625" style="2" customWidth="1"/>
    <col min="11540" max="11540" width="4" style="2" customWidth="1"/>
    <col min="11541" max="11541" width="6.44140625" style="2" customWidth="1"/>
    <col min="11542" max="11542" width="5.77734375" style="2" customWidth="1"/>
    <col min="11543" max="11543" width="6.77734375" style="2" customWidth="1"/>
    <col min="11544" max="11544" width="4.21875" style="2" customWidth="1"/>
    <col min="11545" max="11545" width="7.21875" style="2" customWidth="1"/>
    <col min="11546" max="11776" width="8.77734375" style="2"/>
    <col min="11777" max="11777" width="4.5546875" style="2" customWidth="1"/>
    <col min="11778" max="11779" width="6.77734375" style="2" customWidth="1"/>
    <col min="11780" max="11780" width="3.21875" style="2" customWidth="1"/>
    <col min="11781" max="11781" width="4.21875" style="2" customWidth="1"/>
    <col min="11782" max="11782" width="5.44140625" style="2" customWidth="1"/>
    <col min="11783" max="11783" width="7.77734375" style="2" customWidth="1"/>
    <col min="11784" max="11784" width="5.21875" style="2" customWidth="1"/>
    <col min="11785" max="11785" width="7" style="2" customWidth="1"/>
    <col min="11786" max="11786" width="5.21875" style="2" customWidth="1"/>
    <col min="11787" max="11787" width="7" style="2" customWidth="1"/>
    <col min="11788" max="11788" width="4.21875" style="2" customWidth="1"/>
    <col min="11789" max="11789" width="6.77734375" style="2" customWidth="1"/>
    <col min="11790" max="11790" width="5.44140625" style="2" customWidth="1"/>
    <col min="11791" max="11791" width="7" style="2" customWidth="1"/>
    <col min="11792" max="11792" width="5.21875" style="2" customWidth="1"/>
    <col min="11793" max="11793" width="4.77734375" style="2" customWidth="1"/>
    <col min="11794" max="11794" width="5.77734375" style="2" customWidth="1"/>
    <col min="11795" max="11795" width="7.44140625" style="2" customWidth="1"/>
    <col min="11796" max="11796" width="4" style="2" customWidth="1"/>
    <col min="11797" max="11797" width="6.44140625" style="2" customWidth="1"/>
    <col min="11798" max="11798" width="5.77734375" style="2" customWidth="1"/>
    <col min="11799" max="11799" width="6.77734375" style="2" customWidth="1"/>
    <col min="11800" max="11800" width="4.21875" style="2" customWidth="1"/>
    <col min="11801" max="11801" width="7.21875" style="2" customWidth="1"/>
    <col min="11802" max="12032" width="8.77734375" style="2"/>
    <col min="12033" max="12033" width="4.5546875" style="2" customWidth="1"/>
    <col min="12034" max="12035" width="6.77734375" style="2" customWidth="1"/>
    <col min="12036" max="12036" width="3.21875" style="2" customWidth="1"/>
    <col min="12037" max="12037" width="4.21875" style="2" customWidth="1"/>
    <col min="12038" max="12038" width="5.44140625" style="2" customWidth="1"/>
    <col min="12039" max="12039" width="7.77734375" style="2" customWidth="1"/>
    <col min="12040" max="12040" width="5.21875" style="2" customWidth="1"/>
    <col min="12041" max="12041" width="7" style="2" customWidth="1"/>
    <col min="12042" max="12042" width="5.21875" style="2" customWidth="1"/>
    <col min="12043" max="12043" width="7" style="2" customWidth="1"/>
    <col min="12044" max="12044" width="4.21875" style="2" customWidth="1"/>
    <col min="12045" max="12045" width="6.77734375" style="2" customWidth="1"/>
    <col min="12046" max="12046" width="5.44140625" style="2" customWidth="1"/>
    <col min="12047" max="12047" width="7" style="2" customWidth="1"/>
    <col min="12048" max="12048" width="5.21875" style="2" customWidth="1"/>
    <col min="12049" max="12049" width="4.77734375" style="2" customWidth="1"/>
    <col min="12050" max="12050" width="5.77734375" style="2" customWidth="1"/>
    <col min="12051" max="12051" width="7.44140625" style="2" customWidth="1"/>
    <col min="12052" max="12052" width="4" style="2" customWidth="1"/>
    <col min="12053" max="12053" width="6.44140625" style="2" customWidth="1"/>
    <col min="12054" max="12054" width="5.77734375" style="2" customWidth="1"/>
    <col min="12055" max="12055" width="6.77734375" style="2" customWidth="1"/>
    <col min="12056" max="12056" width="4.21875" style="2" customWidth="1"/>
    <col min="12057" max="12057" width="7.21875" style="2" customWidth="1"/>
    <col min="12058" max="12288" width="8.77734375" style="2"/>
    <col min="12289" max="12289" width="4.5546875" style="2" customWidth="1"/>
    <col min="12290" max="12291" width="6.77734375" style="2" customWidth="1"/>
    <col min="12292" max="12292" width="3.21875" style="2" customWidth="1"/>
    <col min="12293" max="12293" width="4.21875" style="2" customWidth="1"/>
    <col min="12294" max="12294" width="5.44140625" style="2" customWidth="1"/>
    <col min="12295" max="12295" width="7.77734375" style="2" customWidth="1"/>
    <col min="12296" max="12296" width="5.21875" style="2" customWidth="1"/>
    <col min="12297" max="12297" width="7" style="2" customWidth="1"/>
    <col min="12298" max="12298" width="5.21875" style="2" customWidth="1"/>
    <col min="12299" max="12299" width="7" style="2" customWidth="1"/>
    <col min="12300" max="12300" width="4.21875" style="2" customWidth="1"/>
    <col min="12301" max="12301" width="6.77734375" style="2" customWidth="1"/>
    <col min="12302" max="12302" width="5.44140625" style="2" customWidth="1"/>
    <col min="12303" max="12303" width="7" style="2" customWidth="1"/>
    <col min="12304" max="12304" width="5.21875" style="2" customWidth="1"/>
    <col min="12305" max="12305" width="4.77734375" style="2" customWidth="1"/>
    <col min="12306" max="12306" width="5.77734375" style="2" customWidth="1"/>
    <col min="12307" max="12307" width="7.44140625" style="2" customWidth="1"/>
    <col min="12308" max="12308" width="4" style="2" customWidth="1"/>
    <col min="12309" max="12309" width="6.44140625" style="2" customWidth="1"/>
    <col min="12310" max="12310" width="5.77734375" style="2" customWidth="1"/>
    <col min="12311" max="12311" width="6.77734375" style="2" customWidth="1"/>
    <col min="12312" max="12312" width="4.21875" style="2" customWidth="1"/>
    <col min="12313" max="12313" width="7.21875" style="2" customWidth="1"/>
    <col min="12314" max="12544" width="8.77734375" style="2"/>
    <col min="12545" max="12545" width="4.5546875" style="2" customWidth="1"/>
    <col min="12546" max="12547" width="6.77734375" style="2" customWidth="1"/>
    <col min="12548" max="12548" width="3.21875" style="2" customWidth="1"/>
    <col min="12549" max="12549" width="4.21875" style="2" customWidth="1"/>
    <col min="12550" max="12550" width="5.44140625" style="2" customWidth="1"/>
    <col min="12551" max="12551" width="7.77734375" style="2" customWidth="1"/>
    <col min="12552" max="12552" width="5.21875" style="2" customWidth="1"/>
    <col min="12553" max="12553" width="7" style="2" customWidth="1"/>
    <col min="12554" max="12554" width="5.21875" style="2" customWidth="1"/>
    <col min="12555" max="12555" width="7" style="2" customWidth="1"/>
    <col min="12556" max="12556" width="4.21875" style="2" customWidth="1"/>
    <col min="12557" max="12557" width="6.77734375" style="2" customWidth="1"/>
    <col min="12558" max="12558" width="5.44140625" style="2" customWidth="1"/>
    <col min="12559" max="12559" width="7" style="2" customWidth="1"/>
    <col min="12560" max="12560" width="5.21875" style="2" customWidth="1"/>
    <col min="12561" max="12561" width="4.77734375" style="2" customWidth="1"/>
    <col min="12562" max="12562" width="5.77734375" style="2" customWidth="1"/>
    <col min="12563" max="12563" width="7.44140625" style="2" customWidth="1"/>
    <col min="12564" max="12564" width="4" style="2" customWidth="1"/>
    <col min="12565" max="12565" width="6.44140625" style="2" customWidth="1"/>
    <col min="12566" max="12566" width="5.77734375" style="2" customWidth="1"/>
    <col min="12567" max="12567" width="6.77734375" style="2" customWidth="1"/>
    <col min="12568" max="12568" width="4.21875" style="2" customWidth="1"/>
    <col min="12569" max="12569" width="7.21875" style="2" customWidth="1"/>
    <col min="12570" max="12800" width="8.77734375" style="2"/>
    <col min="12801" max="12801" width="4.5546875" style="2" customWidth="1"/>
    <col min="12802" max="12803" width="6.77734375" style="2" customWidth="1"/>
    <col min="12804" max="12804" width="3.21875" style="2" customWidth="1"/>
    <col min="12805" max="12805" width="4.21875" style="2" customWidth="1"/>
    <col min="12806" max="12806" width="5.44140625" style="2" customWidth="1"/>
    <col min="12807" max="12807" width="7.77734375" style="2" customWidth="1"/>
    <col min="12808" max="12808" width="5.21875" style="2" customWidth="1"/>
    <col min="12809" max="12809" width="7" style="2" customWidth="1"/>
    <col min="12810" max="12810" width="5.21875" style="2" customWidth="1"/>
    <col min="12811" max="12811" width="7" style="2" customWidth="1"/>
    <col min="12812" max="12812" width="4.21875" style="2" customWidth="1"/>
    <col min="12813" max="12813" width="6.77734375" style="2" customWidth="1"/>
    <col min="12814" max="12814" width="5.44140625" style="2" customWidth="1"/>
    <col min="12815" max="12815" width="7" style="2" customWidth="1"/>
    <col min="12816" max="12816" width="5.21875" style="2" customWidth="1"/>
    <col min="12817" max="12817" width="4.77734375" style="2" customWidth="1"/>
    <col min="12818" max="12818" width="5.77734375" style="2" customWidth="1"/>
    <col min="12819" max="12819" width="7.44140625" style="2" customWidth="1"/>
    <col min="12820" max="12820" width="4" style="2" customWidth="1"/>
    <col min="12821" max="12821" width="6.44140625" style="2" customWidth="1"/>
    <col min="12822" max="12822" width="5.77734375" style="2" customWidth="1"/>
    <col min="12823" max="12823" width="6.77734375" style="2" customWidth="1"/>
    <col min="12824" max="12824" width="4.21875" style="2" customWidth="1"/>
    <col min="12825" max="12825" width="7.21875" style="2" customWidth="1"/>
    <col min="12826" max="13056" width="8.77734375" style="2"/>
    <col min="13057" max="13057" width="4.5546875" style="2" customWidth="1"/>
    <col min="13058" max="13059" width="6.77734375" style="2" customWidth="1"/>
    <col min="13060" max="13060" width="3.21875" style="2" customWidth="1"/>
    <col min="13061" max="13061" width="4.21875" style="2" customWidth="1"/>
    <col min="13062" max="13062" width="5.44140625" style="2" customWidth="1"/>
    <col min="13063" max="13063" width="7.77734375" style="2" customWidth="1"/>
    <col min="13064" max="13064" width="5.21875" style="2" customWidth="1"/>
    <col min="13065" max="13065" width="7" style="2" customWidth="1"/>
    <col min="13066" max="13066" width="5.21875" style="2" customWidth="1"/>
    <col min="13067" max="13067" width="7" style="2" customWidth="1"/>
    <col min="13068" max="13068" width="4.21875" style="2" customWidth="1"/>
    <col min="13069" max="13069" width="6.77734375" style="2" customWidth="1"/>
    <col min="13070" max="13070" width="5.44140625" style="2" customWidth="1"/>
    <col min="13071" max="13071" width="7" style="2" customWidth="1"/>
    <col min="13072" max="13072" width="5.21875" style="2" customWidth="1"/>
    <col min="13073" max="13073" width="4.77734375" style="2" customWidth="1"/>
    <col min="13074" max="13074" width="5.77734375" style="2" customWidth="1"/>
    <col min="13075" max="13075" width="7.44140625" style="2" customWidth="1"/>
    <col min="13076" max="13076" width="4" style="2" customWidth="1"/>
    <col min="13077" max="13077" width="6.44140625" style="2" customWidth="1"/>
    <col min="13078" max="13078" width="5.77734375" style="2" customWidth="1"/>
    <col min="13079" max="13079" width="6.77734375" style="2" customWidth="1"/>
    <col min="13080" max="13080" width="4.21875" style="2" customWidth="1"/>
    <col min="13081" max="13081" width="7.21875" style="2" customWidth="1"/>
    <col min="13082" max="13312" width="8.77734375" style="2"/>
    <col min="13313" max="13313" width="4.5546875" style="2" customWidth="1"/>
    <col min="13314" max="13315" width="6.77734375" style="2" customWidth="1"/>
    <col min="13316" max="13316" width="3.21875" style="2" customWidth="1"/>
    <col min="13317" max="13317" width="4.21875" style="2" customWidth="1"/>
    <col min="13318" max="13318" width="5.44140625" style="2" customWidth="1"/>
    <col min="13319" max="13319" width="7.77734375" style="2" customWidth="1"/>
    <col min="13320" max="13320" width="5.21875" style="2" customWidth="1"/>
    <col min="13321" max="13321" width="7" style="2" customWidth="1"/>
    <col min="13322" max="13322" width="5.21875" style="2" customWidth="1"/>
    <col min="13323" max="13323" width="7" style="2" customWidth="1"/>
    <col min="13324" max="13324" width="4.21875" style="2" customWidth="1"/>
    <col min="13325" max="13325" width="6.77734375" style="2" customWidth="1"/>
    <col min="13326" max="13326" width="5.44140625" style="2" customWidth="1"/>
    <col min="13327" max="13327" width="7" style="2" customWidth="1"/>
    <col min="13328" max="13328" width="5.21875" style="2" customWidth="1"/>
    <col min="13329" max="13329" width="4.77734375" style="2" customWidth="1"/>
    <col min="13330" max="13330" width="5.77734375" style="2" customWidth="1"/>
    <col min="13331" max="13331" width="7.44140625" style="2" customWidth="1"/>
    <col min="13332" max="13332" width="4" style="2" customWidth="1"/>
    <col min="13333" max="13333" width="6.44140625" style="2" customWidth="1"/>
    <col min="13334" max="13334" width="5.77734375" style="2" customWidth="1"/>
    <col min="13335" max="13335" width="6.77734375" style="2" customWidth="1"/>
    <col min="13336" max="13336" width="4.21875" style="2" customWidth="1"/>
    <col min="13337" max="13337" width="7.21875" style="2" customWidth="1"/>
    <col min="13338" max="13568" width="8.77734375" style="2"/>
    <col min="13569" max="13569" width="4.5546875" style="2" customWidth="1"/>
    <col min="13570" max="13571" width="6.77734375" style="2" customWidth="1"/>
    <col min="13572" max="13572" width="3.21875" style="2" customWidth="1"/>
    <col min="13573" max="13573" width="4.21875" style="2" customWidth="1"/>
    <col min="13574" max="13574" width="5.44140625" style="2" customWidth="1"/>
    <col min="13575" max="13575" width="7.77734375" style="2" customWidth="1"/>
    <col min="13576" max="13576" width="5.21875" style="2" customWidth="1"/>
    <col min="13577" max="13577" width="7" style="2" customWidth="1"/>
    <col min="13578" max="13578" width="5.21875" style="2" customWidth="1"/>
    <col min="13579" max="13579" width="7" style="2" customWidth="1"/>
    <col min="13580" max="13580" width="4.21875" style="2" customWidth="1"/>
    <col min="13581" max="13581" width="6.77734375" style="2" customWidth="1"/>
    <col min="13582" max="13582" width="5.44140625" style="2" customWidth="1"/>
    <col min="13583" max="13583" width="7" style="2" customWidth="1"/>
    <col min="13584" max="13584" width="5.21875" style="2" customWidth="1"/>
    <col min="13585" max="13585" width="4.77734375" style="2" customWidth="1"/>
    <col min="13586" max="13586" width="5.77734375" style="2" customWidth="1"/>
    <col min="13587" max="13587" width="7.44140625" style="2" customWidth="1"/>
    <col min="13588" max="13588" width="4" style="2" customWidth="1"/>
    <col min="13589" max="13589" width="6.44140625" style="2" customWidth="1"/>
    <col min="13590" max="13590" width="5.77734375" style="2" customWidth="1"/>
    <col min="13591" max="13591" width="6.77734375" style="2" customWidth="1"/>
    <col min="13592" max="13592" width="4.21875" style="2" customWidth="1"/>
    <col min="13593" max="13593" width="7.21875" style="2" customWidth="1"/>
    <col min="13594" max="13824" width="8.77734375" style="2"/>
    <col min="13825" max="13825" width="4.5546875" style="2" customWidth="1"/>
    <col min="13826" max="13827" width="6.77734375" style="2" customWidth="1"/>
    <col min="13828" max="13828" width="3.21875" style="2" customWidth="1"/>
    <col min="13829" max="13829" width="4.21875" style="2" customWidth="1"/>
    <col min="13830" max="13830" width="5.44140625" style="2" customWidth="1"/>
    <col min="13831" max="13831" width="7.77734375" style="2" customWidth="1"/>
    <col min="13832" max="13832" width="5.21875" style="2" customWidth="1"/>
    <col min="13833" max="13833" width="7" style="2" customWidth="1"/>
    <col min="13834" max="13834" width="5.21875" style="2" customWidth="1"/>
    <col min="13835" max="13835" width="7" style="2" customWidth="1"/>
    <col min="13836" max="13836" width="4.21875" style="2" customWidth="1"/>
    <col min="13837" max="13837" width="6.77734375" style="2" customWidth="1"/>
    <col min="13838" max="13838" width="5.44140625" style="2" customWidth="1"/>
    <col min="13839" max="13839" width="7" style="2" customWidth="1"/>
    <col min="13840" max="13840" width="5.21875" style="2" customWidth="1"/>
    <col min="13841" max="13841" width="4.77734375" style="2" customWidth="1"/>
    <col min="13842" max="13842" width="5.77734375" style="2" customWidth="1"/>
    <col min="13843" max="13843" width="7.44140625" style="2" customWidth="1"/>
    <col min="13844" max="13844" width="4" style="2" customWidth="1"/>
    <col min="13845" max="13845" width="6.44140625" style="2" customWidth="1"/>
    <col min="13846" max="13846" width="5.77734375" style="2" customWidth="1"/>
    <col min="13847" max="13847" width="6.77734375" style="2" customWidth="1"/>
    <col min="13848" max="13848" width="4.21875" style="2" customWidth="1"/>
    <col min="13849" max="13849" width="7.21875" style="2" customWidth="1"/>
    <col min="13850" max="14080" width="8.77734375" style="2"/>
    <col min="14081" max="14081" width="4.5546875" style="2" customWidth="1"/>
    <col min="14082" max="14083" width="6.77734375" style="2" customWidth="1"/>
    <col min="14084" max="14084" width="3.21875" style="2" customWidth="1"/>
    <col min="14085" max="14085" width="4.21875" style="2" customWidth="1"/>
    <col min="14086" max="14086" width="5.44140625" style="2" customWidth="1"/>
    <col min="14087" max="14087" width="7.77734375" style="2" customWidth="1"/>
    <col min="14088" max="14088" width="5.21875" style="2" customWidth="1"/>
    <col min="14089" max="14089" width="7" style="2" customWidth="1"/>
    <col min="14090" max="14090" width="5.21875" style="2" customWidth="1"/>
    <col min="14091" max="14091" width="7" style="2" customWidth="1"/>
    <col min="14092" max="14092" width="4.21875" style="2" customWidth="1"/>
    <col min="14093" max="14093" width="6.77734375" style="2" customWidth="1"/>
    <col min="14094" max="14094" width="5.44140625" style="2" customWidth="1"/>
    <col min="14095" max="14095" width="7" style="2" customWidth="1"/>
    <col min="14096" max="14096" width="5.21875" style="2" customWidth="1"/>
    <col min="14097" max="14097" width="4.77734375" style="2" customWidth="1"/>
    <col min="14098" max="14098" width="5.77734375" style="2" customWidth="1"/>
    <col min="14099" max="14099" width="7.44140625" style="2" customWidth="1"/>
    <col min="14100" max="14100" width="4" style="2" customWidth="1"/>
    <col min="14101" max="14101" width="6.44140625" style="2" customWidth="1"/>
    <col min="14102" max="14102" width="5.77734375" style="2" customWidth="1"/>
    <col min="14103" max="14103" width="6.77734375" style="2" customWidth="1"/>
    <col min="14104" max="14104" width="4.21875" style="2" customWidth="1"/>
    <col min="14105" max="14105" width="7.21875" style="2" customWidth="1"/>
    <col min="14106" max="14336" width="8.77734375" style="2"/>
    <col min="14337" max="14337" width="4.5546875" style="2" customWidth="1"/>
    <col min="14338" max="14339" width="6.77734375" style="2" customWidth="1"/>
    <col min="14340" max="14340" width="3.21875" style="2" customWidth="1"/>
    <col min="14341" max="14341" width="4.21875" style="2" customWidth="1"/>
    <col min="14342" max="14342" width="5.44140625" style="2" customWidth="1"/>
    <col min="14343" max="14343" width="7.77734375" style="2" customWidth="1"/>
    <col min="14344" max="14344" width="5.21875" style="2" customWidth="1"/>
    <col min="14345" max="14345" width="7" style="2" customWidth="1"/>
    <col min="14346" max="14346" width="5.21875" style="2" customWidth="1"/>
    <col min="14347" max="14347" width="7" style="2" customWidth="1"/>
    <col min="14348" max="14348" width="4.21875" style="2" customWidth="1"/>
    <col min="14349" max="14349" width="6.77734375" style="2" customWidth="1"/>
    <col min="14350" max="14350" width="5.44140625" style="2" customWidth="1"/>
    <col min="14351" max="14351" width="7" style="2" customWidth="1"/>
    <col min="14352" max="14352" width="5.21875" style="2" customWidth="1"/>
    <col min="14353" max="14353" width="4.77734375" style="2" customWidth="1"/>
    <col min="14354" max="14354" width="5.77734375" style="2" customWidth="1"/>
    <col min="14355" max="14355" width="7.44140625" style="2" customWidth="1"/>
    <col min="14356" max="14356" width="4" style="2" customWidth="1"/>
    <col min="14357" max="14357" width="6.44140625" style="2" customWidth="1"/>
    <col min="14358" max="14358" width="5.77734375" style="2" customWidth="1"/>
    <col min="14359" max="14359" width="6.77734375" style="2" customWidth="1"/>
    <col min="14360" max="14360" width="4.21875" style="2" customWidth="1"/>
    <col min="14361" max="14361" width="7.21875" style="2" customWidth="1"/>
    <col min="14362" max="14592" width="8.77734375" style="2"/>
    <col min="14593" max="14593" width="4.5546875" style="2" customWidth="1"/>
    <col min="14594" max="14595" width="6.77734375" style="2" customWidth="1"/>
    <col min="14596" max="14596" width="3.21875" style="2" customWidth="1"/>
    <col min="14597" max="14597" width="4.21875" style="2" customWidth="1"/>
    <col min="14598" max="14598" width="5.44140625" style="2" customWidth="1"/>
    <col min="14599" max="14599" width="7.77734375" style="2" customWidth="1"/>
    <col min="14600" max="14600" width="5.21875" style="2" customWidth="1"/>
    <col min="14601" max="14601" width="7" style="2" customWidth="1"/>
    <col min="14602" max="14602" width="5.21875" style="2" customWidth="1"/>
    <col min="14603" max="14603" width="7" style="2" customWidth="1"/>
    <col min="14604" max="14604" width="4.21875" style="2" customWidth="1"/>
    <col min="14605" max="14605" width="6.77734375" style="2" customWidth="1"/>
    <col min="14606" max="14606" width="5.44140625" style="2" customWidth="1"/>
    <col min="14607" max="14607" width="7" style="2" customWidth="1"/>
    <col min="14608" max="14608" width="5.21875" style="2" customWidth="1"/>
    <col min="14609" max="14609" width="4.77734375" style="2" customWidth="1"/>
    <col min="14610" max="14610" width="5.77734375" style="2" customWidth="1"/>
    <col min="14611" max="14611" width="7.44140625" style="2" customWidth="1"/>
    <col min="14612" max="14612" width="4" style="2" customWidth="1"/>
    <col min="14613" max="14613" width="6.44140625" style="2" customWidth="1"/>
    <col min="14614" max="14614" width="5.77734375" style="2" customWidth="1"/>
    <col min="14615" max="14615" width="6.77734375" style="2" customWidth="1"/>
    <col min="14616" max="14616" width="4.21875" style="2" customWidth="1"/>
    <col min="14617" max="14617" width="7.21875" style="2" customWidth="1"/>
    <col min="14618" max="14848" width="8.77734375" style="2"/>
    <col min="14849" max="14849" width="4.5546875" style="2" customWidth="1"/>
    <col min="14850" max="14851" width="6.77734375" style="2" customWidth="1"/>
    <col min="14852" max="14852" width="3.21875" style="2" customWidth="1"/>
    <col min="14853" max="14853" width="4.21875" style="2" customWidth="1"/>
    <col min="14854" max="14854" width="5.44140625" style="2" customWidth="1"/>
    <col min="14855" max="14855" width="7.77734375" style="2" customWidth="1"/>
    <col min="14856" max="14856" width="5.21875" style="2" customWidth="1"/>
    <col min="14857" max="14857" width="7" style="2" customWidth="1"/>
    <col min="14858" max="14858" width="5.21875" style="2" customWidth="1"/>
    <col min="14859" max="14859" width="7" style="2" customWidth="1"/>
    <col min="14860" max="14860" width="4.21875" style="2" customWidth="1"/>
    <col min="14861" max="14861" width="6.77734375" style="2" customWidth="1"/>
    <col min="14862" max="14862" width="5.44140625" style="2" customWidth="1"/>
    <col min="14863" max="14863" width="7" style="2" customWidth="1"/>
    <col min="14864" max="14864" width="5.21875" style="2" customWidth="1"/>
    <col min="14865" max="14865" width="4.77734375" style="2" customWidth="1"/>
    <col min="14866" max="14866" width="5.77734375" style="2" customWidth="1"/>
    <col min="14867" max="14867" width="7.44140625" style="2" customWidth="1"/>
    <col min="14868" max="14868" width="4" style="2" customWidth="1"/>
    <col min="14869" max="14869" width="6.44140625" style="2" customWidth="1"/>
    <col min="14870" max="14870" width="5.77734375" style="2" customWidth="1"/>
    <col min="14871" max="14871" width="6.77734375" style="2" customWidth="1"/>
    <col min="14872" max="14872" width="4.21875" style="2" customWidth="1"/>
    <col min="14873" max="14873" width="7.21875" style="2" customWidth="1"/>
    <col min="14874" max="15104" width="8.77734375" style="2"/>
    <col min="15105" max="15105" width="4.5546875" style="2" customWidth="1"/>
    <col min="15106" max="15107" width="6.77734375" style="2" customWidth="1"/>
    <col min="15108" max="15108" width="3.21875" style="2" customWidth="1"/>
    <col min="15109" max="15109" width="4.21875" style="2" customWidth="1"/>
    <col min="15110" max="15110" width="5.44140625" style="2" customWidth="1"/>
    <col min="15111" max="15111" width="7.77734375" style="2" customWidth="1"/>
    <col min="15112" max="15112" width="5.21875" style="2" customWidth="1"/>
    <col min="15113" max="15113" width="7" style="2" customWidth="1"/>
    <col min="15114" max="15114" width="5.21875" style="2" customWidth="1"/>
    <col min="15115" max="15115" width="7" style="2" customWidth="1"/>
    <col min="15116" max="15116" width="4.21875" style="2" customWidth="1"/>
    <col min="15117" max="15117" width="6.77734375" style="2" customWidth="1"/>
    <col min="15118" max="15118" width="5.44140625" style="2" customWidth="1"/>
    <col min="15119" max="15119" width="7" style="2" customWidth="1"/>
    <col min="15120" max="15120" width="5.21875" style="2" customWidth="1"/>
    <col min="15121" max="15121" width="4.77734375" style="2" customWidth="1"/>
    <col min="15122" max="15122" width="5.77734375" style="2" customWidth="1"/>
    <col min="15123" max="15123" width="7.44140625" style="2" customWidth="1"/>
    <col min="15124" max="15124" width="4" style="2" customWidth="1"/>
    <col min="15125" max="15125" width="6.44140625" style="2" customWidth="1"/>
    <col min="15126" max="15126" width="5.77734375" style="2" customWidth="1"/>
    <col min="15127" max="15127" width="6.77734375" style="2" customWidth="1"/>
    <col min="15128" max="15128" width="4.21875" style="2" customWidth="1"/>
    <col min="15129" max="15129" width="7.21875" style="2" customWidth="1"/>
    <col min="15130" max="15360" width="8.77734375" style="2"/>
    <col min="15361" max="15361" width="4.5546875" style="2" customWidth="1"/>
    <col min="15362" max="15363" width="6.77734375" style="2" customWidth="1"/>
    <col min="15364" max="15364" width="3.21875" style="2" customWidth="1"/>
    <col min="15365" max="15365" width="4.21875" style="2" customWidth="1"/>
    <col min="15366" max="15366" width="5.44140625" style="2" customWidth="1"/>
    <col min="15367" max="15367" width="7.77734375" style="2" customWidth="1"/>
    <col min="15368" max="15368" width="5.21875" style="2" customWidth="1"/>
    <col min="15369" max="15369" width="7" style="2" customWidth="1"/>
    <col min="15370" max="15370" width="5.21875" style="2" customWidth="1"/>
    <col min="15371" max="15371" width="7" style="2" customWidth="1"/>
    <col min="15372" max="15372" width="4.21875" style="2" customWidth="1"/>
    <col min="15373" max="15373" width="6.77734375" style="2" customWidth="1"/>
    <col min="15374" max="15374" width="5.44140625" style="2" customWidth="1"/>
    <col min="15375" max="15375" width="7" style="2" customWidth="1"/>
    <col min="15376" max="15376" width="5.21875" style="2" customWidth="1"/>
    <col min="15377" max="15377" width="4.77734375" style="2" customWidth="1"/>
    <col min="15378" max="15378" width="5.77734375" style="2" customWidth="1"/>
    <col min="15379" max="15379" width="7.44140625" style="2" customWidth="1"/>
    <col min="15380" max="15380" width="4" style="2" customWidth="1"/>
    <col min="15381" max="15381" width="6.44140625" style="2" customWidth="1"/>
    <col min="15382" max="15382" width="5.77734375" style="2" customWidth="1"/>
    <col min="15383" max="15383" width="6.77734375" style="2" customWidth="1"/>
    <col min="15384" max="15384" width="4.21875" style="2" customWidth="1"/>
    <col min="15385" max="15385" width="7.21875" style="2" customWidth="1"/>
    <col min="15386" max="15616" width="8.77734375" style="2"/>
    <col min="15617" max="15617" width="4.5546875" style="2" customWidth="1"/>
    <col min="15618" max="15619" width="6.77734375" style="2" customWidth="1"/>
    <col min="15620" max="15620" width="3.21875" style="2" customWidth="1"/>
    <col min="15621" max="15621" width="4.21875" style="2" customWidth="1"/>
    <col min="15622" max="15622" width="5.44140625" style="2" customWidth="1"/>
    <col min="15623" max="15623" width="7.77734375" style="2" customWidth="1"/>
    <col min="15624" max="15624" width="5.21875" style="2" customWidth="1"/>
    <col min="15625" max="15625" width="7" style="2" customWidth="1"/>
    <col min="15626" max="15626" width="5.21875" style="2" customWidth="1"/>
    <col min="15627" max="15627" width="7" style="2" customWidth="1"/>
    <col min="15628" max="15628" width="4.21875" style="2" customWidth="1"/>
    <col min="15629" max="15629" width="6.77734375" style="2" customWidth="1"/>
    <col min="15630" max="15630" width="5.44140625" style="2" customWidth="1"/>
    <col min="15631" max="15631" width="7" style="2" customWidth="1"/>
    <col min="15632" max="15632" width="5.21875" style="2" customWidth="1"/>
    <col min="15633" max="15633" width="4.77734375" style="2" customWidth="1"/>
    <col min="15634" max="15634" width="5.77734375" style="2" customWidth="1"/>
    <col min="15635" max="15635" width="7.44140625" style="2" customWidth="1"/>
    <col min="15636" max="15636" width="4" style="2" customWidth="1"/>
    <col min="15637" max="15637" width="6.44140625" style="2" customWidth="1"/>
    <col min="15638" max="15638" width="5.77734375" style="2" customWidth="1"/>
    <col min="15639" max="15639" width="6.77734375" style="2" customWidth="1"/>
    <col min="15640" max="15640" width="4.21875" style="2" customWidth="1"/>
    <col min="15641" max="15641" width="7.21875" style="2" customWidth="1"/>
    <col min="15642" max="15872" width="8.77734375" style="2"/>
    <col min="15873" max="15873" width="4.5546875" style="2" customWidth="1"/>
    <col min="15874" max="15875" width="6.77734375" style="2" customWidth="1"/>
    <col min="15876" max="15876" width="3.21875" style="2" customWidth="1"/>
    <col min="15877" max="15877" width="4.21875" style="2" customWidth="1"/>
    <col min="15878" max="15878" width="5.44140625" style="2" customWidth="1"/>
    <col min="15879" max="15879" width="7.77734375" style="2" customWidth="1"/>
    <col min="15880" max="15880" width="5.21875" style="2" customWidth="1"/>
    <col min="15881" max="15881" width="7" style="2" customWidth="1"/>
    <col min="15882" max="15882" width="5.21875" style="2" customWidth="1"/>
    <col min="15883" max="15883" width="7" style="2" customWidth="1"/>
    <col min="15884" max="15884" width="4.21875" style="2" customWidth="1"/>
    <col min="15885" max="15885" width="6.77734375" style="2" customWidth="1"/>
    <col min="15886" max="15886" width="5.44140625" style="2" customWidth="1"/>
    <col min="15887" max="15887" width="7" style="2" customWidth="1"/>
    <col min="15888" max="15888" width="5.21875" style="2" customWidth="1"/>
    <col min="15889" max="15889" width="4.77734375" style="2" customWidth="1"/>
    <col min="15890" max="15890" width="5.77734375" style="2" customWidth="1"/>
    <col min="15891" max="15891" width="7.44140625" style="2" customWidth="1"/>
    <col min="15892" max="15892" width="4" style="2" customWidth="1"/>
    <col min="15893" max="15893" width="6.44140625" style="2" customWidth="1"/>
    <col min="15894" max="15894" width="5.77734375" style="2" customWidth="1"/>
    <col min="15895" max="15895" width="6.77734375" style="2" customWidth="1"/>
    <col min="15896" max="15896" width="4.21875" style="2" customWidth="1"/>
    <col min="15897" max="15897" width="7.21875" style="2" customWidth="1"/>
    <col min="15898" max="16128" width="8.77734375" style="2"/>
    <col min="16129" max="16129" width="4.5546875" style="2" customWidth="1"/>
    <col min="16130" max="16131" width="6.77734375" style="2" customWidth="1"/>
    <col min="16132" max="16132" width="3.21875" style="2" customWidth="1"/>
    <col min="16133" max="16133" width="4.21875" style="2" customWidth="1"/>
    <col min="16134" max="16134" width="5.44140625" style="2" customWidth="1"/>
    <col min="16135" max="16135" width="7.77734375" style="2" customWidth="1"/>
    <col min="16136" max="16136" width="5.21875" style="2" customWidth="1"/>
    <col min="16137" max="16137" width="7" style="2" customWidth="1"/>
    <col min="16138" max="16138" width="5.21875" style="2" customWidth="1"/>
    <col min="16139" max="16139" width="7" style="2" customWidth="1"/>
    <col min="16140" max="16140" width="4.21875" style="2" customWidth="1"/>
    <col min="16141" max="16141" width="6.77734375" style="2" customWidth="1"/>
    <col min="16142" max="16142" width="5.44140625" style="2" customWidth="1"/>
    <col min="16143" max="16143" width="7" style="2" customWidth="1"/>
    <col min="16144" max="16144" width="5.21875" style="2" customWidth="1"/>
    <col min="16145" max="16145" width="4.77734375" style="2" customWidth="1"/>
    <col min="16146" max="16146" width="5.77734375" style="2" customWidth="1"/>
    <col min="16147" max="16147" width="7.44140625" style="2" customWidth="1"/>
    <col min="16148" max="16148" width="4" style="2" customWidth="1"/>
    <col min="16149" max="16149" width="6.44140625" style="2" customWidth="1"/>
    <col min="16150" max="16150" width="5.77734375" style="2" customWidth="1"/>
    <col min="16151" max="16151" width="6.77734375" style="2" customWidth="1"/>
    <col min="16152" max="16152" width="4.21875" style="2" customWidth="1"/>
    <col min="16153" max="16153" width="7.21875" style="2" customWidth="1"/>
    <col min="16154" max="16384" width="8.77734375" style="2"/>
  </cols>
  <sheetData>
    <row r="1" spans="1:28">
      <c r="A1" s="32" t="s">
        <v>103</v>
      </c>
      <c r="B1" s="32"/>
      <c r="C1" s="32"/>
      <c r="D1" s="32"/>
      <c r="E1" s="32" t="s">
        <v>104</v>
      </c>
      <c r="F1" s="32"/>
      <c r="G1" s="32"/>
      <c r="H1" s="32"/>
      <c r="I1" s="32" t="s">
        <v>105</v>
      </c>
      <c r="J1" s="32"/>
      <c r="K1" s="32"/>
      <c r="L1" s="32"/>
      <c r="M1" s="32" t="s">
        <v>106</v>
      </c>
      <c r="N1" s="32"/>
      <c r="O1" s="32"/>
      <c r="P1" s="32"/>
      <c r="Q1" s="32" t="s">
        <v>75</v>
      </c>
      <c r="R1" s="32"/>
      <c r="S1" s="32"/>
      <c r="T1" s="32"/>
      <c r="U1" s="32" t="s">
        <v>34</v>
      </c>
      <c r="V1" s="32"/>
      <c r="W1" s="32"/>
      <c r="X1" s="32"/>
      <c r="Y1" s="32" t="s">
        <v>107</v>
      </c>
      <c r="Z1" s="32"/>
      <c r="AA1" s="32"/>
      <c r="AB1" s="32"/>
    </row>
    <row r="2" spans="1:28">
      <c r="A2" s="58" t="s">
        <v>108</v>
      </c>
      <c r="B2" s="58" t="s">
        <v>109</v>
      </c>
      <c r="C2" s="58" t="s">
        <v>110</v>
      </c>
      <c r="D2" s="32"/>
      <c r="E2" s="58" t="s">
        <v>108</v>
      </c>
      <c r="F2" s="58" t="s">
        <v>109</v>
      </c>
      <c r="G2" s="58" t="s">
        <v>110</v>
      </c>
      <c r="H2" s="32"/>
      <c r="I2" s="58" t="s">
        <v>108</v>
      </c>
      <c r="J2" s="58" t="s">
        <v>109</v>
      </c>
      <c r="K2" s="58" t="s">
        <v>110</v>
      </c>
      <c r="L2" s="32"/>
      <c r="M2" s="58" t="s">
        <v>108</v>
      </c>
      <c r="N2" s="58" t="s">
        <v>109</v>
      </c>
      <c r="O2" s="58" t="s">
        <v>110</v>
      </c>
      <c r="P2" s="58"/>
      <c r="Q2" s="58" t="s">
        <v>108</v>
      </c>
      <c r="R2" s="58" t="s">
        <v>109</v>
      </c>
      <c r="S2" s="58" t="s">
        <v>110</v>
      </c>
      <c r="T2" s="32"/>
      <c r="U2" s="58" t="s">
        <v>108</v>
      </c>
      <c r="V2" s="58" t="s">
        <v>109</v>
      </c>
      <c r="W2" s="58" t="s">
        <v>110</v>
      </c>
      <c r="X2" s="32"/>
      <c r="Y2" s="58" t="s">
        <v>111</v>
      </c>
      <c r="Z2" s="58" t="s">
        <v>112</v>
      </c>
      <c r="AA2" s="58" t="s">
        <v>110</v>
      </c>
      <c r="AB2" s="32"/>
    </row>
    <row r="3" spans="1:28">
      <c r="A3" s="59">
        <v>0</v>
      </c>
      <c r="B3" s="59">
        <v>0</v>
      </c>
      <c r="C3" s="59">
        <v>0</v>
      </c>
      <c r="D3" s="32"/>
      <c r="E3" s="59">
        <v>0</v>
      </c>
      <c r="F3" s="59">
        <v>0</v>
      </c>
      <c r="G3" s="59">
        <v>0</v>
      </c>
      <c r="H3" s="32"/>
      <c r="I3" s="59">
        <v>0</v>
      </c>
      <c r="J3" s="59">
        <v>0</v>
      </c>
      <c r="K3" s="59">
        <v>0</v>
      </c>
      <c r="L3" s="32"/>
      <c r="M3" s="59">
        <v>0</v>
      </c>
      <c r="N3" s="59">
        <v>0</v>
      </c>
      <c r="O3" s="59">
        <v>0</v>
      </c>
      <c r="P3" s="58"/>
      <c r="Q3" s="59">
        <v>0</v>
      </c>
      <c r="R3" s="59">
        <v>0</v>
      </c>
      <c r="S3" s="59">
        <v>0</v>
      </c>
      <c r="T3" s="32"/>
      <c r="U3" s="59">
        <v>0</v>
      </c>
      <c r="V3" s="59">
        <v>0</v>
      </c>
      <c r="W3" s="59">
        <v>0</v>
      </c>
      <c r="X3" s="32"/>
      <c r="Y3" s="59">
        <v>8</v>
      </c>
      <c r="Z3" s="59">
        <v>16</v>
      </c>
      <c r="AA3" s="59">
        <v>0</v>
      </c>
      <c r="AB3" s="32"/>
    </row>
    <row r="4" spans="1:28">
      <c r="A4" s="32">
        <v>1</v>
      </c>
      <c r="B4" s="32">
        <v>0</v>
      </c>
      <c r="C4" s="32">
        <v>0</v>
      </c>
      <c r="D4" s="32"/>
      <c r="E4" s="32">
        <v>1</v>
      </c>
      <c r="F4" s="32">
        <v>12</v>
      </c>
      <c r="G4" s="32">
        <v>1</v>
      </c>
      <c r="H4" s="32"/>
      <c r="I4" s="32">
        <v>1</v>
      </c>
      <c r="J4" s="32">
        <v>12</v>
      </c>
      <c r="K4" s="32">
        <v>1</v>
      </c>
      <c r="L4" s="32"/>
      <c r="M4" s="32">
        <v>1</v>
      </c>
      <c r="N4" s="32">
        <v>12</v>
      </c>
      <c r="O4" s="32">
        <v>1</v>
      </c>
      <c r="P4" s="32"/>
      <c r="Q4" s="32">
        <v>1</v>
      </c>
      <c r="R4" s="32">
        <v>12</v>
      </c>
      <c r="S4" s="32">
        <v>0</v>
      </c>
      <c r="T4" s="32"/>
      <c r="U4" s="32">
        <v>1</v>
      </c>
      <c r="V4" s="32">
        <v>14.5</v>
      </c>
      <c r="W4" s="32">
        <v>0.25</v>
      </c>
      <c r="X4" s="32"/>
      <c r="Y4" s="32">
        <v>9</v>
      </c>
      <c r="Z4" s="32">
        <v>14</v>
      </c>
      <c r="AA4" s="32">
        <v>0</v>
      </c>
      <c r="AB4" s="32"/>
    </row>
    <row r="5" spans="1:28">
      <c r="A5" s="32">
        <v>8</v>
      </c>
      <c r="B5" s="32">
        <v>40</v>
      </c>
      <c r="C5" s="32">
        <v>0.5</v>
      </c>
      <c r="D5" s="32"/>
      <c r="E5" s="32">
        <v>16.600000000000001</v>
      </c>
      <c r="F5" s="32">
        <v>12</v>
      </c>
      <c r="G5" s="32">
        <v>1.4</v>
      </c>
      <c r="H5" s="32"/>
      <c r="I5" s="32">
        <v>16.600000000000001</v>
      </c>
      <c r="J5" s="32">
        <v>12</v>
      </c>
      <c r="K5" s="32">
        <v>1.4</v>
      </c>
      <c r="L5" s="32"/>
      <c r="M5" s="32">
        <v>17</v>
      </c>
      <c r="N5" s="32">
        <v>12</v>
      </c>
      <c r="O5" s="32">
        <v>1.4</v>
      </c>
      <c r="P5" s="32"/>
      <c r="Q5" s="32">
        <v>100</v>
      </c>
      <c r="R5" s="32">
        <v>12</v>
      </c>
      <c r="S5" s="32">
        <v>9</v>
      </c>
      <c r="T5" s="32"/>
      <c r="U5" s="32">
        <v>4</v>
      </c>
      <c r="V5" s="32">
        <v>14.5</v>
      </c>
      <c r="W5" s="32">
        <v>0.5</v>
      </c>
      <c r="X5" s="32"/>
      <c r="Y5" s="32">
        <v>12</v>
      </c>
      <c r="Z5" s="32">
        <v>0</v>
      </c>
      <c r="AA5" s="32">
        <v>8</v>
      </c>
      <c r="AB5" s="32"/>
    </row>
    <row r="6" spans="1:28">
      <c r="A6" s="32">
        <v>16</v>
      </c>
      <c r="B6" s="32">
        <v>40</v>
      </c>
      <c r="C6" s="32">
        <v>0.6</v>
      </c>
      <c r="D6" s="32"/>
      <c r="E6" s="32">
        <v>33.6</v>
      </c>
      <c r="F6" s="32">
        <v>13</v>
      </c>
      <c r="G6" s="32">
        <v>2.8</v>
      </c>
      <c r="H6" s="32"/>
      <c r="I6" s="32">
        <v>33.6</v>
      </c>
      <c r="J6" s="32">
        <v>13</v>
      </c>
      <c r="K6" s="32">
        <v>2.8</v>
      </c>
      <c r="L6" s="32"/>
      <c r="M6" s="32">
        <v>34</v>
      </c>
      <c r="N6" s="32">
        <v>13</v>
      </c>
      <c r="O6" s="32">
        <v>2.8</v>
      </c>
      <c r="P6" s="32"/>
      <c r="Q6" s="32">
        <v>200</v>
      </c>
      <c r="R6" s="32">
        <v>13.5</v>
      </c>
      <c r="S6" s="32">
        <v>17</v>
      </c>
      <c r="T6" s="32"/>
      <c r="U6" s="32">
        <v>8</v>
      </c>
      <c r="V6" s="32">
        <v>14.5</v>
      </c>
      <c r="W6" s="32">
        <v>0.75</v>
      </c>
      <c r="X6" s="32"/>
      <c r="Y6" s="32"/>
      <c r="Z6" s="32"/>
      <c r="AA6" s="32"/>
      <c r="AB6" s="32"/>
    </row>
    <row r="7" spans="1:28">
      <c r="A7" s="32">
        <v>21</v>
      </c>
      <c r="B7" s="32">
        <v>40</v>
      </c>
      <c r="C7" s="32">
        <v>0.75</v>
      </c>
      <c r="D7" s="32"/>
      <c r="E7" s="32">
        <v>51.7</v>
      </c>
      <c r="F7" s="32">
        <v>15</v>
      </c>
      <c r="G7" s="32">
        <v>4</v>
      </c>
      <c r="H7" s="32"/>
      <c r="I7" s="32">
        <v>51.7</v>
      </c>
      <c r="J7" s="32">
        <v>15</v>
      </c>
      <c r="K7" s="32">
        <v>4</v>
      </c>
      <c r="L7" s="32"/>
      <c r="M7" s="32">
        <v>52</v>
      </c>
      <c r="N7" s="32">
        <v>15</v>
      </c>
      <c r="O7" s="32">
        <v>4</v>
      </c>
      <c r="P7" s="32"/>
      <c r="Q7" s="32">
        <v>300</v>
      </c>
      <c r="R7" s="32">
        <v>14.5</v>
      </c>
      <c r="S7" s="32">
        <v>22</v>
      </c>
      <c r="T7" s="32"/>
      <c r="U7" s="32">
        <v>12</v>
      </c>
      <c r="V7" s="32">
        <v>14.5</v>
      </c>
      <c r="W7" s="32">
        <v>1</v>
      </c>
      <c r="X7" s="32"/>
      <c r="Y7" s="32"/>
      <c r="Z7" s="32"/>
      <c r="AA7" s="32"/>
      <c r="AB7" s="32"/>
    </row>
    <row r="8" spans="1:28">
      <c r="A8" s="32">
        <v>26</v>
      </c>
      <c r="B8" s="32">
        <v>40</v>
      </c>
      <c r="C8" s="32">
        <v>0.85</v>
      </c>
      <c r="D8" s="32"/>
      <c r="E8" s="32">
        <v>71.099999999999994</v>
      </c>
      <c r="F8" s="32">
        <v>16</v>
      </c>
      <c r="G8" s="32">
        <v>4.7</v>
      </c>
      <c r="H8" s="32"/>
      <c r="I8" s="32">
        <v>71.099999999999994</v>
      </c>
      <c r="J8" s="32">
        <v>16</v>
      </c>
      <c r="K8" s="32">
        <v>4.7</v>
      </c>
      <c r="L8" s="32"/>
      <c r="M8" s="32">
        <v>71</v>
      </c>
      <c r="N8" s="32">
        <v>16</v>
      </c>
      <c r="O8" s="32">
        <v>4.7</v>
      </c>
      <c r="P8" s="32"/>
      <c r="Q8" s="32">
        <v>400</v>
      </c>
      <c r="R8" s="32">
        <v>16</v>
      </c>
      <c r="S8" s="32">
        <v>28</v>
      </c>
      <c r="T8" s="32"/>
      <c r="U8" s="32">
        <v>14</v>
      </c>
      <c r="V8" s="32">
        <v>14.5</v>
      </c>
      <c r="W8" s="32">
        <v>1</v>
      </c>
      <c r="X8" s="32"/>
      <c r="Y8" s="32"/>
      <c r="Z8" s="32"/>
      <c r="AA8" s="32"/>
      <c r="AB8" s="32"/>
    </row>
    <row r="9" spans="1:28">
      <c r="A9" s="32">
        <v>31</v>
      </c>
      <c r="B9" s="32">
        <v>40</v>
      </c>
      <c r="C9" s="32">
        <v>1</v>
      </c>
      <c r="D9" s="32"/>
      <c r="E9" s="32">
        <v>110</v>
      </c>
      <c r="F9" s="32">
        <v>19</v>
      </c>
      <c r="G9" s="32">
        <v>6.8</v>
      </c>
      <c r="H9" s="32"/>
      <c r="I9" s="32">
        <v>110</v>
      </c>
      <c r="J9" s="32">
        <v>19</v>
      </c>
      <c r="K9" s="32">
        <v>6.8</v>
      </c>
      <c r="L9" s="32"/>
      <c r="M9" s="32">
        <v>110</v>
      </c>
      <c r="N9" s="32">
        <v>19</v>
      </c>
      <c r="O9" s="32">
        <v>6.8</v>
      </c>
      <c r="P9" s="32"/>
      <c r="Q9" s="32">
        <v>750</v>
      </c>
      <c r="R9" s="32">
        <v>18.5</v>
      </c>
      <c r="S9" s="32">
        <v>47</v>
      </c>
      <c r="T9" s="32"/>
      <c r="U9" s="32"/>
      <c r="V9" s="32"/>
      <c r="W9" s="32"/>
      <c r="X9" s="32"/>
      <c r="Y9" s="32"/>
      <c r="Z9" s="32"/>
      <c r="AA9" s="32"/>
      <c r="AB9" s="32"/>
    </row>
    <row r="10" spans="1:28">
      <c r="A10" s="32">
        <v>41</v>
      </c>
      <c r="B10" s="32">
        <v>40</v>
      </c>
      <c r="C10" s="32">
        <v>1</v>
      </c>
      <c r="D10" s="32"/>
      <c r="E10" s="32">
        <v>160</v>
      </c>
      <c r="F10" s="32">
        <v>20</v>
      </c>
      <c r="G10" s="32">
        <v>8.4</v>
      </c>
      <c r="H10" s="32"/>
      <c r="I10" s="32">
        <v>160</v>
      </c>
      <c r="J10" s="32">
        <v>20</v>
      </c>
      <c r="K10" s="32">
        <v>8.4</v>
      </c>
      <c r="L10" s="32"/>
      <c r="M10" s="32">
        <v>160</v>
      </c>
      <c r="N10" s="32">
        <v>20</v>
      </c>
      <c r="O10" s="32">
        <v>8.4</v>
      </c>
      <c r="P10" s="32"/>
      <c r="Q10" s="32"/>
      <c r="R10" s="32"/>
      <c r="S10" s="32"/>
      <c r="T10" s="32"/>
      <c r="U10" s="32"/>
      <c r="V10" s="32"/>
      <c r="W10" s="32"/>
      <c r="X10" s="32"/>
      <c r="Y10" s="32"/>
      <c r="Z10" s="32"/>
      <c r="AA10" s="32"/>
      <c r="AB10" s="32"/>
    </row>
    <row r="11" spans="1:28">
      <c r="A11" s="32"/>
      <c r="B11" s="32"/>
      <c r="C11" s="32"/>
      <c r="D11" s="32"/>
      <c r="E11" s="32">
        <v>300</v>
      </c>
      <c r="F11" s="32">
        <v>20</v>
      </c>
      <c r="G11" s="32">
        <v>15</v>
      </c>
      <c r="H11" s="32"/>
      <c r="I11" s="32">
        <v>300</v>
      </c>
      <c r="J11" s="32">
        <v>23</v>
      </c>
      <c r="K11" s="32">
        <v>15</v>
      </c>
      <c r="L11" s="32"/>
      <c r="M11" s="32">
        <v>300</v>
      </c>
      <c r="N11" s="32">
        <v>23</v>
      </c>
      <c r="O11" s="32">
        <v>15</v>
      </c>
      <c r="P11" s="32"/>
      <c r="Q11" s="32"/>
      <c r="R11" s="32"/>
      <c r="S11" s="32"/>
      <c r="T11" s="32"/>
      <c r="U11" s="32"/>
      <c r="V11" s="32"/>
      <c r="W11" s="32"/>
      <c r="X11" s="32"/>
      <c r="Y11" s="32"/>
      <c r="Z11" s="32"/>
      <c r="AA11" s="32"/>
      <c r="AB11" s="32"/>
    </row>
    <row r="12" spans="1:28">
      <c r="A12" s="32"/>
      <c r="B12" s="32"/>
      <c r="C12" s="32"/>
      <c r="D12" s="32"/>
      <c r="E12" s="32"/>
      <c r="F12" s="32"/>
      <c r="G12" s="32"/>
      <c r="H12" s="32"/>
      <c r="I12" s="32"/>
      <c r="J12" s="32"/>
      <c r="K12" s="32"/>
      <c r="L12" s="32"/>
      <c r="M12" s="32"/>
      <c r="N12" s="32"/>
      <c r="O12" s="32"/>
      <c r="P12" s="32"/>
      <c r="Q12" s="32"/>
      <c r="R12" s="32"/>
      <c r="S12" s="32"/>
      <c r="T12" s="32"/>
      <c r="U12" s="32"/>
      <c r="V12" s="32"/>
      <c r="W12" s="32"/>
      <c r="X12" s="32"/>
      <c r="Y12" s="32"/>
      <c r="Z12" s="32"/>
      <c r="AA12" s="32"/>
      <c r="AB12" s="32"/>
    </row>
  </sheetData>
  <sheetProtection password="CDD6" sheet="1" objects="1" scenarios="1"/>
  <pageMargins left="0.75" right="0.75" top="1" bottom="1" header="0.5" footer="0.5"/>
  <pageSetup orientation="portrait" r:id="rId1"/>
  <headerFooter alignWithMargins="0">
    <oddFooter>&amp;L&amp;F</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8">
    <tabColor indexed="12"/>
  </sheetPr>
  <dimension ref="A1:H24"/>
  <sheetViews>
    <sheetView workbookViewId="0">
      <selection activeCell="C4" sqref="C4"/>
    </sheetView>
  </sheetViews>
  <sheetFormatPr defaultRowHeight="13.2"/>
  <cols>
    <col min="1" max="1" width="8.77734375" style="2"/>
    <col min="2" max="2" width="24" style="2" customWidth="1"/>
    <col min="3" max="3" width="13.5546875" style="2" customWidth="1"/>
    <col min="4" max="4" width="3.21875" style="2" customWidth="1"/>
    <col min="5" max="5" width="14.77734375" style="2" customWidth="1"/>
    <col min="6" max="6" width="3.21875" style="2" customWidth="1"/>
    <col min="7" max="7" width="14.5546875" style="2" customWidth="1"/>
    <col min="8" max="8" width="3.21875" style="2" customWidth="1"/>
    <col min="9" max="257" width="8.77734375" style="2"/>
    <col min="258" max="258" width="24" style="2" customWidth="1"/>
    <col min="259" max="259" width="13.5546875" style="2" customWidth="1"/>
    <col min="260" max="260" width="3.21875" style="2" customWidth="1"/>
    <col min="261" max="261" width="14.77734375" style="2" customWidth="1"/>
    <col min="262" max="262" width="3.21875" style="2" customWidth="1"/>
    <col min="263" max="263" width="14.5546875" style="2" customWidth="1"/>
    <col min="264" max="264" width="3.21875" style="2" customWidth="1"/>
    <col min="265" max="513" width="8.77734375" style="2"/>
    <col min="514" max="514" width="24" style="2" customWidth="1"/>
    <col min="515" max="515" width="13.5546875" style="2" customWidth="1"/>
    <col min="516" max="516" width="3.21875" style="2" customWidth="1"/>
    <col min="517" max="517" width="14.77734375" style="2" customWidth="1"/>
    <col min="518" max="518" width="3.21875" style="2" customWidth="1"/>
    <col min="519" max="519" width="14.5546875" style="2" customWidth="1"/>
    <col min="520" max="520" width="3.21875" style="2" customWidth="1"/>
    <col min="521" max="769" width="8.77734375" style="2"/>
    <col min="770" max="770" width="24" style="2" customWidth="1"/>
    <col min="771" max="771" width="13.5546875" style="2" customWidth="1"/>
    <col min="772" max="772" width="3.21875" style="2" customWidth="1"/>
    <col min="773" max="773" width="14.77734375" style="2" customWidth="1"/>
    <col min="774" max="774" width="3.21875" style="2" customWidth="1"/>
    <col min="775" max="775" width="14.5546875" style="2" customWidth="1"/>
    <col min="776" max="776" width="3.21875" style="2" customWidth="1"/>
    <col min="777" max="1025" width="8.77734375" style="2"/>
    <col min="1026" max="1026" width="24" style="2" customWidth="1"/>
    <col min="1027" max="1027" width="13.5546875" style="2" customWidth="1"/>
    <col min="1028" max="1028" width="3.21875" style="2" customWidth="1"/>
    <col min="1029" max="1029" width="14.77734375" style="2" customWidth="1"/>
    <col min="1030" max="1030" width="3.21875" style="2" customWidth="1"/>
    <col min="1031" max="1031" width="14.5546875" style="2" customWidth="1"/>
    <col min="1032" max="1032" width="3.21875" style="2" customWidth="1"/>
    <col min="1033" max="1281" width="8.77734375" style="2"/>
    <col min="1282" max="1282" width="24" style="2" customWidth="1"/>
    <col min="1283" max="1283" width="13.5546875" style="2" customWidth="1"/>
    <col min="1284" max="1284" width="3.21875" style="2" customWidth="1"/>
    <col min="1285" max="1285" width="14.77734375" style="2" customWidth="1"/>
    <col min="1286" max="1286" width="3.21875" style="2" customWidth="1"/>
    <col min="1287" max="1287" width="14.5546875" style="2" customWidth="1"/>
    <col min="1288" max="1288" width="3.21875" style="2" customWidth="1"/>
    <col min="1289" max="1537" width="8.77734375" style="2"/>
    <col min="1538" max="1538" width="24" style="2" customWidth="1"/>
    <col min="1539" max="1539" width="13.5546875" style="2" customWidth="1"/>
    <col min="1540" max="1540" width="3.21875" style="2" customWidth="1"/>
    <col min="1541" max="1541" width="14.77734375" style="2" customWidth="1"/>
    <col min="1542" max="1542" width="3.21875" style="2" customWidth="1"/>
    <col min="1543" max="1543" width="14.5546875" style="2" customWidth="1"/>
    <col min="1544" max="1544" width="3.21875" style="2" customWidth="1"/>
    <col min="1545" max="1793" width="8.77734375" style="2"/>
    <col min="1794" max="1794" width="24" style="2" customWidth="1"/>
    <col min="1795" max="1795" width="13.5546875" style="2" customWidth="1"/>
    <col min="1796" max="1796" width="3.21875" style="2" customWidth="1"/>
    <col min="1797" max="1797" width="14.77734375" style="2" customWidth="1"/>
    <col min="1798" max="1798" width="3.21875" style="2" customWidth="1"/>
    <col min="1799" max="1799" width="14.5546875" style="2" customWidth="1"/>
    <col min="1800" max="1800" width="3.21875" style="2" customWidth="1"/>
    <col min="1801" max="2049" width="8.77734375" style="2"/>
    <col min="2050" max="2050" width="24" style="2" customWidth="1"/>
    <col min="2051" max="2051" width="13.5546875" style="2" customWidth="1"/>
    <col min="2052" max="2052" width="3.21875" style="2" customWidth="1"/>
    <col min="2053" max="2053" width="14.77734375" style="2" customWidth="1"/>
    <col min="2054" max="2054" width="3.21875" style="2" customWidth="1"/>
    <col min="2055" max="2055" width="14.5546875" style="2" customWidth="1"/>
    <col min="2056" max="2056" width="3.21875" style="2" customWidth="1"/>
    <col min="2057" max="2305" width="8.77734375" style="2"/>
    <col min="2306" max="2306" width="24" style="2" customWidth="1"/>
    <col min="2307" max="2307" width="13.5546875" style="2" customWidth="1"/>
    <col min="2308" max="2308" width="3.21875" style="2" customWidth="1"/>
    <col min="2309" max="2309" width="14.77734375" style="2" customWidth="1"/>
    <col min="2310" max="2310" width="3.21875" style="2" customWidth="1"/>
    <col min="2311" max="2311" width="14.5546875" style="2" customWidth="1"/>
    <col min="2312" max="2312" width="3.21875" style="2" customWidth="1"/>
    <col min="2313" max="2561" width="8.77734375" style="2"/>
    <col min="2562" max="2562" width="24" style="2" customWidth="1"/>
    <col min="2563" max="2563" width="13.5546875" style="2" customWidth="1"/>
    <col min="2564" max="2564" width="3.21875" style="2" customWidth="1"/>
    <col min="2565" max="2565" width="14.77734375" style="2" customWidth="1"/>
    <col min="2566" max="2566" width="3.21875" style="2" customWidth="1"/>
    <col min="2567" max="2567" width="14.5546875" style="2" customWidth="1"/>
    <col min="2568" max="2568" width="3.21875" style="2" customWidth="1"/>
    <col min="2569" max="2817" width="8.77734375" style="2"/>
    <col min="2818" max="2818" width="24" style="2" customWidth="1"/>
    <col min="2819" max="2819" width="13.5546875" style="2" customWidth="1"/>
    <col min="2820" max="2820" width="3.21875" style="2" customWidth="1"/>
    <col min="2821" max="2821" width="14.77734375" style="2" customWidth="1"/>
    <col min="2822" max="2822" width="3.21875" style="2" customWidth="1"/>
    <col min="2823" max="2823" width="14.5546875" style="2" customWidth="1"/>
    <col min="2824" max="2824" width="3.21875" style="2" customWidth="1"/>
    <col min="2825" max="3073" width="8.77734375" style="2"/>
    <col min="3074" max="3074" width="24" style="2" customWidth="1"/>
    <col min="3075" max="3075" width="13.5546875" style="2" customWidth="1"/>
    <col min="3076" max="3076" width="3.21875" style="2" customWidth="1"/>
    <col min="3077" max="3077" width="14.77734375" style="2" customWidth="1"/>
    <col min="3078" max="3078" width="3.21875" style="2" customWidth="1"/>
    <col min="3079" max="3079" width="14.5546875" style="2" customWidth="1"/>
    <col min="3080" max="3080" width="3.21875" style="2" customWidth="1"/>
    <col min="3081" max="3329" width="8.77734375" style="2"/>
    <col min="3330" max="3330" width="24" style="2" customWidth="1"/>
    <col min="3331" max="3331" width="13.5546875" style="2" customWidth="1"/>
    <col min="3332" max="3332" width="3.21875" style="2" customWidth="1"/>
    <col min="3333" max="3333" width="14.77734375" style="2" customWidth="1"/>
    <col min="3334" max="3334" width="3.21875" style="2" customWidth="1"/>
    <col min="3335" max="3335" width="14.5546875" style="2" customWidth="1"/>
    <col min="3336" max="3336" width="3.21875" style="2" customWidth="1"/>
    <col min="3337" max="3585" width="8.77734375" style="2"/>
    <col min="3586" max="3586" width="24" style="2" customWidth="1"/>
    <col min="3587" max="3587" width="13.5546875" style="2" customWidth="1"/>
    <col min="3588" max="3588" width="3.21875" style="2" customWidth="1"/>
    <col min="3589" max="3589" width="14.77734375" style="2" customWidth="1"/>
    <col min="3590" max="3590" width="3.21875" style="2" customWidth="1"/>
    <col min="3591" max="3591" width="14.5546875" style="2" customWidth="1"/>
    <col min="3592" max="3592" width="3.21875" style="2" customWidth="1"/>
    <col min="3593" max="3841" width="8.77734375" style="2"/>
    <col min="3842" max="3842" width="24" style="2" customWidth="1"/>
    <col min="3843" max="3843" width="13.5546875" style="2" customWidth="1"/>
    <col min="3844" max="3844" width="3.21875" style="2" customWidth="1"/>
    <col min="3845" max="3845" width="14.77734375" style="2" customWidth="1"/>
    <col min="3846" max="3846" width="3.21875" style="2" customWidth="1"/>
    <col min="3847" max="3847" width="14.5546875" style="2" customWidth="1"/>
    <col min="3848" max="3848" width="3.21875" style="2" customWidth="1"/>
    <col min="3849" max="4097" width="8.77734375" style="2"/>
    <col min="4098" max="4098" width="24" style="2" customWidth="1"/>
    <col min="4099" max="4099" width="13.5546875" style="2" customWidth="1"/>
    <col min="4100" max="4100" width="3.21875" style="2" customWidth="1"/>
    <col min="4101" max="4101" width="14.77734375" style="2" customWidth="1"/>
    <col min="4102" max="4102" width="3.21875" style="2" customWidth="1"/>
    <col min="4103" max="4103" width="14.5546875" style="2" customWidth="1"/>
    <col min="4104" max="4104" width="3.21875" style="2" customWidth="1"/>
    <col min="4105" max="4353" width="8.77734375" style="2"/>
    <col min="4354" max="4354" width="24" style="2" customWidth="1"/>
    <col min="4355" max="4355" width="13.5546875" style="2" customWidth="1"/>
    <col min="4356" max="4356" width="3.21875" style="2" customWidth="1"/>
    <col min="4357" max="4357" width="14.77734375" style="2" customWidth="1"/>
    <col min="4358" max="4358" width="3.21875" style="2" customWidth="1"/>
    <col min="4359" max="4359" width="14.5546875" style="2" customWidth="1"/>
    <col min="4360" max="4360" width="3.21875" style="2" customWidth="1"/>
    <col min="4361" max="4609" width="8.77734375" style="2"/>
    <col min="4610" max="4610" width="24" style="2" customWidth="1"/>
    <col min="4611" max="4611" width="13.5546875" style="2" customWidth="1"/>
    <col min="4612" max="4612" width="3.21875" style="2" customWidth="1"/>
    <col min="4613" max="4613" width="14.77734375" style="2" customWidth="1"/>
    <col min="4614" max="4614" width="3.21875" style="2" customWidth="1"/>
    <col min="4615" max="4615" width="14.5546875" style="2" customWidth="1"/>
    <col min="4616" max="4616" width="3.21875" style="2" customWidth="1"/>
    <col min="4617" max="4865" width="8.77734375" style="2"/>
    <col min="4866" max="4866" width="24" style="2" customWidth="1"/>
    <col min="4867" max="4867" width="13.5546875" style="2" customWidth="1"/>
    <col min="4868" max="4868" width="3.21875" style="2" customWidth="1"/>
    <col min="4869" max="4869" width="14.77734375" style="2" customWidth="1"/>
    <col min="4870" max="4870" width="3.21875" style="2" customWidth="1"/>
    <col min="4871" max="4871" width="14.5546875" style="2" customWidth="1"/>
    <col min="4872" max="4872" width="3.21875" style="2" customWidth="1"/>
    <col min="4873" max="5121" width="8.77734375" style="2"/>
    <col min="5122" max="5122" width="24" style="2" customWidth="1"/>
    <col min="5123" max="5123" width="13.5546875" style="2" customWidth="1"/>
    <col min="5124" max="5124" width="3.21875" style="2" customWidth="1"/>
    <col min="5125" max="5125" width="14.77734375" style="2" customWidth="1"/>
    <col min="5126" max="5126" width="3.21875" style="2" customWidth="1"/>
    <col min="5127" max="5127" width="14.5546875" style="2" customWidth="1"/>
    <col min="5128" max="5128" width="3.21875" style="2" customWidth="1"/>
    <col min="5129" max="5377" width="8.77734375" style="2"/>
    <col min="5378" max="5378" width="24" style="2" customWidth="1"/>
    <col min="5379" max="5379" width="13.5546875" style="2" customWidth="1"/>
    <col min="5380" max="5380" width="3.21875" style="2" customWidth="1"/>
    <col min="5381" max="5381" width="14.77734375" style="2" customWidth="1"/>
    <col min="5382" max="5382" width="3.21875" style="2" customWidth="1"/>
    <col min="5383" max="5383" width="14.5546875" style="2" customWidth="1"/>
    <col min="5384" max="5384" width="3.21875" style="2" customWidth="1"/>
    <col min="5385" max="5633" width="8.77734375" style="2"/>
    <col min="5634" max="5634" width="24" style="2" customWidth="1"/>
    <col min="5635" max="5635" width="13.5546875" style="2" customWidth="1"/>
    <col min="5636" max="5636" width="3.21875" style="2" customWidth="1"/>
    <col min="5637" max="5637" width="14.77734375" style="2" customWidth="1"/>
    <col min="5638" max="5638" width="3.21875" style="2" customWidth="1"/>
    <col min="5639" max="5639" width="14.5546875" style="2" customWidth="1"/>
    <col min="5640" max="5640" width="3.21875" style="2" customWidth="1"/>
    <col min="5641" max="5889" width="8.77734375" style="2"/>
    <col min="5890" max="5890" width="24" style="2" customWidth="1"/>
    <col min="5891" max="5891" width="13.5546875" style="2" customWidth="1"/>
    <col min="5892" max="5892" width="3.21875" style="2" customWidth="1"/>
    <col min="5893" max="5893" width="14.77734375" style="2" customWidth="1"/>
    <col min="5894" max="5894" width="3.21875" style="2" customWidth="1"/>
    <col min="5895" max="5895" width="14.5546875" style="2" customWidth="1"/>
    <col min="5896" max="5896" width="3.21875" style="2" customWidth="1"/>
    <col min="5897" max="6145" width="8.77734375" style="2"/>
    <col min="6146" max="6146" width="24" style="2" customWidth="1"/>
    <col min="6147" max="6147" width="13.5546875" style="2" customWidth="1"/>
    <col min="6148" max="6148" width="3.21875" style="2" customWidth="1"/>
    <col min="6149" max="6149" width="14.77734375" style="2" customWidth="1"/>
    <col min="6150" max="6150" width="3.21875" style="2" customWidth="1"/>
    <col min="6151" max="6151" width="14.5546875" style="2" customWidth="1"/>
    <col min="6152" max="6152" width="3.21875" style="2" customWidth="1"/>
    <col min="6153" max="6401" width="8.77734375" style="2"/>
    <col min="6402" max="6402" width="24" style="2" customWidth="1"/>
    <col min="6403" max="6403" width="13.5546875" style="2" customWidth="1"/>
    <col min="6404" max="6404" width="3.21875" style="2" customWidth="1"/>
    <col min="6405" max="6405" width="14.77734375" style="2" customWidth="1"/>
    <col min="6406" max="6406" width="3.21875" style="2" customWidth="1"/>
    <col min="6407" max="6407" width="14.5546875" style="2" customWidth="1"/>
    <col min="6408" max="6408" width="3.21875" style="2" customWidth="1"/>
    <col min="6409" max="6657" width="8.77734375" style="2"/>
    <col min="6658" max="6658" width="24" style="2" customWidth="1"/>
    <col min="6659" max="6659" width="13.5546875" style="2" customWidth="1"/>
    <col min="6660" max="6660" width="3.21875" style="2" customWidth="1"/>
    <col min="6661" max="6661" width="14.77734375" style="2" customWidth="1"/>
    <col min="6662" max="6662" width="3.21875" style="2" customWidth="1"/>
    <col min="6663" max="6663" width="14.5546875" style="2" customWidth="1"/>
    <col min="6664" max="6664" width="3.21875" style="2" customWidth="1"/>
    <col min="6665" max="6913" width="8.77734375" style="2"/>
    <col min="6914" max="6914" width="24" style="2" customWidth="1"/>
    <col min="6915" max="6915" width="13.5546875" style="2" customWidth="1"/>
    <col min="6916" max="6916" width="3.21875" style="2" customWidth="1"/>
    <col min="6917" max="6917" width="14.77734375" style="2" customWidth="1"/>
    <col min="6918" max="6918" width="3.21875" style="2" customWidth="1"/>
    <col min="6919" max="6919" width="14.5546875" style="2" customWidth="1"/>
    <col min="6920" max="6920" width="3.21875" style="2" customWidth="1"/>
    <col min="6921" max="7169" width="8.77734375" style="2"/>
    <col min="7170" max="7170" width="24" style="2" customWidth="1"/>
    <col min="7171" max="7171" width="13.5546875" style="2" customWidth="1"/>
    <col min="7172" max="7172" width="3.21875" style="2" customWidth="1"/>
    <col min="7173" max="7173" width="14.77734375" style="2" customWidth="1"/>
    <col min="7174" max="7174" width="3.21875" style="2" customWidth="1"/>
    <col min="7175" max="7175" width="14.5546875" style="2" customWidth="1"/>
    <col min="7176" max="7176" width="3.21875" style="2" customWidth="1"/>
    <col min="7177" max="7425" width="8.77734375" style="2"/>
    <col min="7426" max="7426" width="24" style="2" customWidth="1"/>
    <col min="7427" max="7427" width="13.5546875" style="2" customWidth="1"/>
    <col min="7428" max="7428" width="3.21875" style="2" customWidth="1"/>
    <col min="7429" max="7429" width="14.77734375" style="2" customWidth="1"/>
    <col min="7430" max="7430" width="3.21875" style="2" customWidth="1"/>
    <col min="7431" max="7431" width="14.5546875" style="2" customWidth="1"/>
    <col min="7432" max="7432" width="3.21875" style="2" customWidth="1"/>
    <col min="7433" max="7681" width="8.77734375" style="2"/>
    <col min="7682" max="7682" width="24" style="2" customWidth="1"/>
    <col min="7683" max="7683" width="13.5546875" style="2" customWidth="1"/>
    <col min="7684" max="7684" width="3.21875" style="2" customWidth="1"/>
    <col min="7685" max="7685" width="14.77734375" style="2" customWidth="1"/>
    <col min="7686" max="7686" width="3.21875" style="2" customWidth="1"/>
    <col min="7687" max="7687" width="14.5546875" style="2" customWidth="1"/>
    <col min="7688" max="7688" width="3.21875" style="2" customWidth="1"/>
    <col min="7689" max="7937" width="8.77734375" style="2"/>
    <col min="7938" max="7938" width="24" style="2" customWidth="1"/>
    <col min="7939" max="7939" width="13.5546875" style="2" customWidth="1"/>
    <col min="7940" max="7940" width="3.21875" style="2" customWidth="1"/>
    <col min="7941" max="7941" width="14.77734375" style="2" customWidth="1"/>
    <col min="7942" max="7942" width="3.21875" style="2" customWidth="1"/>
    <col min="7943" max="7943" width="14.5546875" style="2" customWidth="1"/>
    <col min="7944" max="7944" width="3.21875" style="2" customWidth="1"/>
    <col min="7945" max="8193" width="8.77734375" style="2"/>
    <col min="8194" max="8194" width="24" style="2" customWidth="1"/>
    <col min="8195" max="8195" width="13.5546875" style="2" customWidth="1"/>
    <col min="8196" max="8196" width="3.21875" style="2" customWidth="1"/>
    <col min="8197" max="8197" width="14.77734375" style="2" customWidth="1"/>
    <col min="8198" max="8198" width="3.21875" style="2" customWidth="1"/>
    <col min="8199" max="8199" width="14.5546875" style="2" customWidth="1"/>
    <col min="8200" max="8200" width="3.21875" style="2" customWidth="1"/>
    <col min="8201" max="8449" width="8.77734375" style="2"/>
    <col min="8450" max="8450" width="24" style="2" customWidth="1"/>
    <col min="8451" max="8451" width="13.5546875" style="2" customWidth="1"/>
    <col min="8452" max="8452" width="3.21875" style="2" customWidth="1"/>
    <col min="8453" max="8453" width="14.77734375" style="2" customWidth="1"/>
    <col min="8454" max="8454" width="3.21875" style="2" customWidth="1"/>
    <col min="8455" max="8455" width="14.5546875" style="2" customWidth="1"/>
    <col min="8456" max="8456" width="3.21875" style="2" customWidth="1"/>
    <col min="8457" max="8705" width="8.77734375" style="2"/>
    <col min="8706" max="8706" width="24" style="2" customWidth="1"/>
    <col min="8707" max="8707" width="13.5546875" style="2" customWidth="1"/>
    <col min="8708" max="8708" width="3.21875" style="2" customWidth="1"/>
    <col min="8709" max="8709" width="14.77734375" style="2" customWidth="1"/>
    <col min="8710" max="8710" width="3.21875" style="2" customWidth="1"/>
    <col min="8711" max="8711" width="14.5546875" style="2" customWidth="1"/>
    <col min="8712" max="8712" width="3.21875" style="2" customWidth="1"/>
    <col min="8713" max="8961" width="8.77734375" style="2"/>
    <col min="8962" max="8962" width="24" style="2" customWidth="1"/>
    <col min="8963" max="8963" width="13.5546875" style="2" customWidth="1"/>
    <col min="8964" max="8964" width="3.21875" style="2" customWidth="1"/>
    <col min="8965" max="8965" width="14.77734375" style="2" customWidth="1"/>
    <col min="8966" max="8966" width="3.21875" style="2" customWidth="1"/>
    <col min="8967" max="8967" width="14.5546875" style="2" customWidth="1"/>
    <col min="8968" max="8968" width="3.21875" style="2" customWidth="1"/>
    <col min="8969" max="9217" width="8.77734375" style="2"/>
    <col min="9218" max="9218" width="24" style="2" customWidth="1"/>
    <col min="9219" max="9219" width="13.5546875" style="2" customWidth="1"/>
    <col min="9220" max="9220" width="3.21875" style="2" customWidth="1"/>
    <col min="9221" max="9221" width="14.77734375" style="2" customWidth="1"/>
    <col min="9222" max="9222" width="3.21875" style="2" customWidth="1"/>
    <col min="9223" max="9223" width="14.5546875" style="2" customWidth="1"/>
    <col min="9224" max="9224" width="3.21875" style="2" customWidth="1"/>
    <col min="9225" max="9473" width="8.77734375" style="2"/>
    <col min="9474" max="9474" width="24" style="2" customWidth="1"/>
    <col min="9475" max="9475" width="13.5546875" style="2" customWidth="1"/>
    <col min="9476" max="9476" width="3.21875" style="2" customWidth="1"/>
    <col min="9477" max="9477" width="14.77734375" style="2" customWidth="1"/>
    <col min="9478" max="9478" width="3.21875" style="2" customWidth="1"/>
    <col min="9479" max="9479" width="14.5546875" style="2" customWidth="1"/>
    <col min="9480" max="9480" width="3.21875" style="2" customWidth="1"/>
    <col min="9481" max="9729" width="8.77734375" style="2"/>
    <col min="9730" max="9730" width="24" style="2" customWidth="1"/>
    <col min="9731" max="9731" width="13.5546875" style="2" customWidth="1"/>
    <col min="9732" max="9732" width="3.21875" style="2" customWidth="1"/>
    <col min="9733" max="9733" width="14.77734375" style="2" customWidth="1"/>
    <col min="9734" max="9734" width="3.21875" style="2" customWidth="1"/>
    <col min="9735" max="9735" width="14.5546875" style="2" customWidth="1"/>
    <col min="9736" max="9736" width="3.21875" style="2" customWidth="1"/>
    <col min="9737" max="9985" width="8.77734375" style="2"/>
    <col min="9986" max="9986" width="24" style="2" customWidth="1"/>
    <col min="9987" max="9987" width="13.5546875" style="2" customWidth="1"/>
    <col min="9988" max="9988" width="3.21875" style="2" customWidth="1"/>
    <col min="9989" max="9989" width="14.77734375" style="2" customWidth="1"/>
    <col min="9990" max="9990" width="3.21875" style="2" customWidth="1"/>
    <col min="9991" max="9991" width="14.5546875" style="2" customWidth="1"/>
    <col min="9992" max="9992" width="3.21875" style="2" customWidth="1"/>
    <col min="9993" max="10241" width="8.77734375" style="2"/>
    <col min="10242" max="10242" width="24" style="2" customWidth="1"/>
    <col min="10243" max="10243" width="13.5546875" style="2" customWidth="1"/>
    <col min="10244" max="10244" width="3.21875" style="2" customWidth="1"/>
    <col min="10245" max="10245" width="14.77734375" style="2" customWidth="1"/>
    <col min="10246" max="10246" width="3.21875" style="2" customWidth="1"/>
    <col min="10247" max="10247" width="14.5546875" style="2" customWidth="1"/>
    <col min="10248" max="10248" width="3.21875" style="2" customWidth="1"/>
    <col min="10249" max="10497" width="8.77734375" style="2"/>
    <col min="10498" max="10498" width="24" style="2" customWidth="1"/>
    <col min="10499" max="10499" width="13.5546875" style="2" customWidth="1"/>
    <col min="10500" max="10500" width="3.21875" style="2" customWidth="1"/>
    <col min="10501" max="10501" width="14.77734375" style="2" customWidth="1"/>
    <col min="10502" max="10502" width="3.21875" style="2" customWidth="1"/>
    <col min="10503" max="10503" width="14.5546875" style="2" customWidth="1"/>
    <col min="10504" max="10504" width="3.21875" style="2" customWidth="1"/>
    <col min="10505" max="10753" width="8.77734375" style="2"/>
    <col min="10754" max="10754" width="24" style="2" customWidth="1"/>
    <col min="10755" max="10755" width="13.5546875" style="2" customWidth="1"/>
    <col min="10756" max="10756" width="3.21875" style="2" customWidth="1"/>
    <col min="10757" max="10757" width="14.77734375" style="2" customWidth="1"/>
    <col min="10758" max="10758" width="3.21875" style="2" customWidth="1"/>
    <col min="10759" max="10759" width="14.5546875" style="2" customWidth="1"/>
    <col min="10760" max="10760" width="3.21875" style="2" customWidth="1"/>
    <col min="10761" max="11009" width="8.77734375" style="2"/>
    <col min="11010" max="11010" width="24" style="2" customWidth="1"/>
    <col min="11011" max="11011" width="13.5546875" style="2" customWidth="1"/>
    <col min="11012" max="11012" width="3.21875" style="2" customWidth="1"/>
    <col min="11013" max="11013" width="14.77734375" style="2" customWidth="1"/>
    <col min="11014" max="11014" width="3.21875" style="2" customWidth="1"/>
    <col min="11015" max="11015" width="14.5546875" style="2" customWidth="1"/>
    <col min="11016" max="11016" width="3.21875" style="2" customWidth="1"/>
    <col min="11017" max="11265" width="8.77734375" style="2"/>
    <col min="11266" max="11266" width="24" style="2" customWidth="1"/>
    <col min="11267" max="11267" width="13.5546875" style="2" customWidth="1"/>
    <col min="11268" max="11268" width="3.21875" style="2" customWidth="1"/>
    <col min="11269" max="11269" width="14.77734375" style="2" customWidth="1"/>
    <col min="11270" max="11270" width="3.21875" style="2" customWidth="1"/>
    <col min="11271" max="11271" width="14.5546875" style="2" customWidth="1"/>
    <col min="11272" max="11272" width="3.21875" style="2" customWidth="1"/>
    <col min="11273" max="11521" width="8.77734375" style="2"/>
    <col min="11522" max="11522" width="24" style="2" customWidth="1"/>
    <col min="11523" max="11523" width="13.5546875" style="2" customWidth="1"/>
    <col min="11524" max="11524" width="3.21875" style="2" customWidth="1"/>
    <col min="11525" max="11525" width="14.77734375" style="2" customWidth="1"/>
    <col min="11526" max="11526" width="3.21875" style="2" customWidth="1"/>
    <col min="11527" max="11527" width="14.5546875" style="2" customWidth="1"/>
    <col min="11528" max="11528" width="3.21875" style="2" customWidth="1"/>
    <col min="11529" max="11777" width="8.77734375" style="2"/>
    <col min="11778" max="11778" width="24" style="2" customWidth="1"/>
    <col min="11779" max="11779" width="13.5546875" style="2" customWidth="1"/>
    <col min="11780" max="11780" width="3.21875" style="2" customWidth="1"/>
    <col min="11781" max="11781" width="14.77734375" style="2" customWidth="1"/>
    <col min="11782" max="11782" width="3.21875" style="2" customWidth="1"/>
    <col min="11783" max="11783" width="14.5546875" style="2" customWidth="1"/>
    <col min="11784" max="11784" width="3.21875" style="2" customWidth="1"/>
    <col min="11785" max="12033" width="8.77734375" style="2"/>
    <col min="12034" max="12034" width="24" style="2" customWidth="1"/>
    <col min="12035" max="12035" width="13.5546875" style="2" customWidth="1"/>
    <col min="12036" max="12036" width="3.21875" style="2" customWidth="1"/>
    <col min="12037" max="12037" width="14.77734375" style="2" customWidth="1"/>
    <col min="12038" max="12038" width="3.21875" style="2" customWidth="1"/>
    <col min="12039" max="12039" width="14.5546875" style="2" customWidth="1"/>
    <col min="12040" max="12040" width="3.21875" style="2" customWidth="1"/>
    <col min="12041" max="12289" width="8.77734375" style="2"/>
    <col min="12290" max="12290" width="24" style="2" customWidth="1"/>
    <col min="12291" max="12291" width="13.5546875" style="2" customWidth="1"/>
    <col min="12292" max="12292" width="3.21875" style="2" customWidth="1"/>
    <col min="12293" max="12293" width="14.77734375" style="2" customWidth="1"/>
    <col min="12294" max="12294" width="3.21875" style="2" customWidth="1"/>
    <col min="12295" max="12295" width="14.5546875" style="2" customWidth="1"/>
    <col min="12296" max="12296" width="3.21875" style="2" customWidth="1"/>
    <col min="12297" max="12545" width="8.77734375" style="2"/>
    <col min="12546" max="12546" width="24" style="2" customWidth="1"/>
    <col min="12547" max="12547" width="13.5546875" style="2" customWidth="1"/>
    <col min="12548" max="12548" width="3.21875" style="2" customWidth="1"/>
    <col min="12549" max="12549" width="14.77734375" style="2" customWidth="1"/>
    <col min="12550" max="12550" width="3.21875" style="2" customWidth="1"/>
    <col min="12551" max="12551" width="14.5546875" style="2" customWidth="1"/>
    <col min="12552" max="12552" width="3.21875" style="2" customWidth="1"/>
    <col min="12553" max="12801" width="8.77734375" style="2"/>
    <col min="12802" max="12802" width="24" style="2" customWidth="1"/>
    <col min="12803" max="12803" width="13.5546875" style="2" customWidth="1"/>
    <col min="12804" max="12804" width="3.21875" style="2" customWidth="1"/>
    <col min="12805" max="12805" width="14.77734375" style="2" customWidth="1"/>
    <col min="12806" max="12806" width="3.21875" style="2" customWidth="1"/>
    <col min="12807" max="12807" width="14.5546875" style="2" customWidth="1"/>
    <col min="12808" max="12808" width="3.21875" style="2" customWidth="1"/>
    <col min="12809" max="13057" width="8.77734375" style="2"/>
    <col min="13058" max="13058" width="24" style="2" customWidth="1"/>
    <col min="13059" max="13059" width="13.5546875" style="2" customWidth="1"/>
    <col min="13060" max="13060" width="3.21875" style="2" customWidth="1"/>
    <col min="13061" max="13061" width="14.77734375" style="2" customWidth="1"/>
    <col min="13062" max="13062" width="3.21875" style="2" customWidth="1"/>
    <col min="13063" max="13063" width="14.5546875" style="2" customWidth="1"/>
    <col min="13064" max="13064" width="3.21875" style="2" customWidth="1"/>
    <col min="13065" max="13313" width="8.77734375" style="2"/>
    <col min="13314" max="13314" width="24" style="2" customWidth="1"/>
    <col min="13315" max="13315" width="13.5546875" style="2" customWidth="1"/>
    <col min="13316" max="13316" width="3.21875" style="2" customWidth="1"/>
    <col min="13317" max="13317" width="14.77734375" style="2" customWidth="1"/>
    <col min="13318" max="13318" width="3.21875" style="2" customWidth="1"/>
    <col min="13319" max="13319" width="14.5546875" style="2" customWidth="1"/>
    <col min="13320" max="13320" width="3.21875" style="2" customWidth="1"/>
    <col min="13321" max="13569" width="8.77734375" style="2"/>
    <col min="13570" max="13570" width="24" style="2" customWidth="1"/>
    <col min="13571" max="13571" width="13.5546875" style="2" customWidth="1"/>
    <col min="13572" max="13572" width="3.21875" style="2" customWidth="1"/>
    <col min="13573" max="13573" width="14.77734375" style="2" customWidth="1"/>
    <col min="13574" max="13574" width="3.21875" style="2" customWidth="1"/>
    <col min="13575" max="13575" width="14.5546875" style="2" customWidth="1"/>
    <col min="13576" max="13576" width="3.21875" style="2" customWidth="1"/>
    <col min="13577" max="13825" width="8.77734375" style="2"/>
    <col min="13826" max="13826" width="24" style="2" customWidth="1"/>
    <col min="13827" max="13827" width="13.5546875" style="2" customWidth="1"/>
    <col min="13828" max="13828" width="3.21875" style="2" customWidth="1"/>
    <col min="13829" max="13829" width="14.77734375" style="2" customWidth="1"/>
    <col min="13830" max="13830" width="3.21875" style="2" customWidth="1"/>
    <col min="13831" max="13831" width="14.5546875" style="2" customWidth="1"/>
    <col min="13832" max="13832" width="3.21875" style="2" customWidth="1"/>
    <col min="13833" max="14081" width="8.77734375" style="2"/>
    <col min="14082" max="14082" width="24" style="2" customWidth="1"/>
    <col min="14083" max="14083" width="13.5546875" style="2" customWidth="1"/>
    <col min="14084" max="14084" width="3.21875" style="2" customWidth="1"/>
    <col min="14085" max="14085" width="14.77734375" style="2" customWidth="1"/>
    <col min="14086" max="14086" width="3.21875" style="2" customWidth="1"/>
    <col min="14087" max="14087" width="14.5546875" style="2" customWidth="1"/>
    <col min="14088" max="14088" width="3.21875" style="2" customWidth="1"/>
    <col min="14089" max="14337" width="8.77734375" style="2"/>
    <col min="14338" max="14338" width="24" style="2" customWidth="1"/>
    <col min="14339" max="14339" width="13.5546875" style="2" customWidth="1"/>
    <col min="14340" max="14340" width="3.21875" style="2" customWidth="1"/>
    <col min="14341" max="14341" width="14.77734375" style="2" customWidth="1"/>
    <col min="14342" max="14342" width="3.21875" style="2" customWidth="1"/>
    <col min="14343" max="14343" width="14.5546875" style="2" customWidth="1"/>
    <col min="14344" max="14344" width="3.21875" style="2" customWidth="1"/>
    <col min="14345" max="14593" width="8.77734375" style="2"/>
    <col min="14594" max="14594" width="24" style="2" customWidth="1"/>
    <col min="14595" max="14595" width="13.5546875" style="2" customWidth="1"/>
    <col min="14596" max="14596" width="3.21875" style="2" customWidth="1"/>
    <col min="14597" max="14597" width="14.77734375" style="2" customWidth="1"/>
    <col min="14598" max="14598" width="3.21875" style="2" customWidth="1"/>
    <col min="14599" max="14599" width="14.5546875" style="2" customWidth="1"/>
    <col min="14600" max="14600" width="3.21875" style="2" customWidth="1"/>
    <col min="14601" max="14849" width="8.77734375" style="2"/>
    <col min="14850" max="14850" width="24" style="2" customWidth="1"/>
    <col min="14851" max="14851" width="13.5546875" style="2" customWidth="1"/>
    <col min="14852" max="14852" width="3.21875" style="2" customWidth="1"/>
    <col min="14853" max="14853" width="14.77734375" style="2" customWidth="1"/>
    <col min="14854" max="14854" width="3.21875" style="2" customWidth="1"/>
    <col min="14855" max="14855" width="14.5546875" style="2" customWidth="1"/>
    <col min="14856" max="14856" width="3.21875" style="2" customWidth="1"/>
    <col min="14857" max="15105" width="8.77734375" style="2"/>
    <col min="15106" max="15106" width="24" style="2" customWidth="1"/>
    <col min="15107" max="15107" width="13.5546875" style="2" customWidth="1"/>
    <col min="15108" max="15108" width="3.21875" style="2" customWidth="1"/>
    <col min="15109" max="15109" width="14.77734375" style="2" customWidth="1"/>
    <col min="15110" max="15110" width="3.21875" style="2" customWidth="1"/>
    <col min="15111" max="15111" width="14.5546875" style="2" customWidth="1"/>
    <col min="15112" max="15112" width="3.21875" style="2" customWidth="1"/>
    <col min="15113" max="15361" width="8.77734375" style="2"/>
    <col min="15362" max="15362" width="24" style="2" customWidth="1"/>
    <col min="15363" max="15363" width="13.5546875" style="2" customWidth="1"/>
    <col min="15364" max="15364" width="3.21875" style="2" customWidth="1"/>
    <col min="15365" max="15365" width="14.77734375" style="2" customWidth="1"/>
    <col min="15366" max="15366" width="3.21875" style="2" customWidth="1"/>
    <col min="15367" max="15367" width="14.5546875" style="2" customWidth="1"/>
    <col min="15368" max="15368" width="3.21875" style="2" customWidth="1"/>
    <col min="15369" max="15617" width="8.77734375" style="2"/>
    <col min="15618" max="15618" width="24" style="2" customWidth="1"/>
    <col min="15619" max="15619" width="13.5546875" style="2" customWidth="1"/>
    <col min="15620" max="15620" width="3.21875" style="2" customWidth="1"/>
    <col min="15621" max="15621" width="14.77734375" style="2" customWidth="1"/>
    <col min="15622" max="15622" width="3.21875" style="2" customWidth="1"/>
    <col min="15623" max="15623" width="14.5546875" style="2" customWidth="1"/>
    <col min="15624" max="15624" width="3.21875" style="2" customWidth="1"/>
    <col min="15625" max="15873" width="8.77734375" style="2"/>
    <col min="15874" max="15874" width="24" style="2" customWidth="1"/>
    <col min="15875" max="15875" width="13.5546875" style="2" customWidth="1"/>
    <col min="15876" max="15876" width="3.21875" style="2" customWidth="1"/>
    <col min="15877" max="15877" width="14.77734375" style="2" customWidth="1"/>
    <col min="15878" max="15878" width="3.21875" style="2" customWidth="1"/>
    <col min="15879" max="15879" width="14.5546875" style="2" customWidth="1"/>
    <col min="15880" max="15880" width="3.21875" style="2" customWidth="1"/>
    <col min="15881" max="16129" width="8.77734375" style="2"/>
    <col min="16130" max="16130" width="24" style="2" customWidth="1"/>
    <col min="16131" max="16131" width="13.5546875" style="2" customWidth="1"/>
    <col min="16132" max="16132" width="3.21875" style="2" customWidth="1"/>
    <col min="16133" max="16133" width="14.77734375" style="2" customWidth="1"/>
    <col min="16134" max="16134" width="3.21875" style="2" customWidth="1"/>
    <col min="16135" max="16135" width="14.5546875" style="2" customWidth="1"/>
    <col min="16136" max="16136" width="3.21875" style="2" customWidth="1"/>
    <col min="16137" max="16384" width="8.77734375" style="2"/>
  </cols>
  <sheetData>
    <row r="1" spans="1:8" ht="20.399999999999999">
      <c r="A1" s="1" t="s">
        <v>1</v>
      </c>
      <c r="E1" s="3"/>
      <c r="G1" s="3"/>
    </row>
    <row r="2" spans="1:8" ht="15.75" customHeight="1">
      <c r="A2" s="1216" t="s">
        <v>2</v>
      </c>
      <c r="B2" s="1216"/>
      <c r="C2" s="1217" t="s">
        <v>3</v>
      </c>
      <c r="D2" s="4"/>
      <c r="E2" s="1217" t="s">
        <v>4</v>
      </c>
      <c r="F2" s="4"/>
      <c r="G2" s="1217" t="s">
        <v>5</v>
      </c>
      <c r="H2" s="4"/>
    </row>
    <row r="3" spans="1:8" ht="22.5" customHeight="1">
      <c r="A3" s="4"/>
      <c r="B3" s="4"/>
      <c r="C3" s="1217"/>
      <c r="D3" s="4"/>
      <c r="E3" s="1217"/>
      <c r="F3" s="4"/>
      <c r="G3" s="1217"/>
      <c r="H3" s="4"/>
    </row>
    <row r="4" spans="1:8" ht="13.8" thickBot="1">
      <c r="A4" s="5" t="s">
        <v>6</v>
      </c>
      <c r="C4" s="6">
        <f>+'Master Budget Sheet'!AW64</f>
        <v>20</v>
      </c>
      <c r="D4" s="4"/>
      <c r="E4" s="7">
        <f>+C4*'Master Budget Sheet'!$AW$8</f>
        <v>19</v>
      </c>
      <c r="F4" s="4"/>
      <c r="G4" s="8">
        <f>+E4</f>
        <v>19</v>
      </c>
      <c r="H4" s="4"/>
    </row>
    <row r="5" spans="1:8">
      <c r="A5" s="4"/>
      <c r="B5" s="4"/>
      <c r="C5" s="4"/>
      <c r="D5" s="4"/>
      <c r="E5" s="9"/>
      <c r="F5" s="4"/>
      <c r="G5" s="10"/>
      <c r="H5" s="4"/>
    </row>
    <row r="6" spans="1:8">
      <c r="A6" s="5" t="s">
        <v>7</v>
      </c>
      <c r="C6" s="11"/>
      <c r="D6" s="4"/>
      <c r="E6" s="9"/>
      <c r="F6" s="4"/>
      <c r="G6" s="10"/>
      <c r="H6" s="4"/>
    </row>
    <row r="7" spans="1:8" ht="14.4" thickBot="1">
      <c r="B7" s="12" t="s">
        <v>8</v>
      </c>
      <c r="C7" s="6">
        <f>SUM('Master Budget Sheet'!AW65:AW67)</f>
        <v>60</v>
      </c>
      <c r="D7" s="4"/>
      <c r="E7" s="7">
        <f>+C7*'Master Budget Sheet'!$AW$8</f>
        <v>57</v>
      </c>
      <c r="F7" s="4"/>
      <c r="G7" s="8">
        <f>+E7</f>
        <v>57</v>
      </c>
      <c r="H7" s="4"/>
    </row>
    <row r="8" spans="1:8" ht="14.4" thickBot="1">
      <c r="B8" s="12" t="s">
        <v>9</v>
      </c>
      <c r="C8" s="13">
        <f>SUM('Master Budget Sheet'!AW68:AW70)</f>
        <v>47</v>
      </c>
      <c r="D8" s="4"/>
      <c r="E8" s="7">
        <f>+C8*'Master Budget Sheet'!$AW$8</f>
        <v>44.65</v>
      </c>
      <c r="F8" s="4"/>
      <c r="G8" s="60">
        <f>+E8</f>
        <v>44.65</v>
      </c>
      <c r="H8" s="4"/>
    </row>
    <row r="9" spans="1:8">
      <c r="A9" s="4"/>
      <c r="B9" s="4"/>
      <c r="C9" s="4"/>
      <c r="D9" s="4"/>
      <c r="E9" s="14">
        <f>IF(E8+E7=0,0,E8+E7)</f>
        <v>101.65</v>
      </c>
      <c r="F9" s="4"/>
      <c r="G9" s="14">
        <f>IF(G8+G7=0,0,G8+G7)</f>
        <v>101.65</v>
      </c>
      <c r="H9" s="4"/>
    </row>
    <row r="10" spans="1:8" ht="13.8" thickBot="1">
      <c r="A10" s="5" t="s">
        <v>10</v>
      </c>
      <c r="C10" s="6">
        <f>SUM('Master Budget Sheet'!AW71:AW76)</f>
        <v>133</v>
      </c>
      <c r="D10" s="4"/>
      <c r="E10" s="7">
        <f>+C10*'Master Budget Sheet'!$AW$8</f>
        <v>126.35</v>
      </c>
      <c r="F10" s="4"/>
      <c r="G10" s="8">
        <f>+E10</f>
        <v>126.35</v>
      </c>
      <c r="H10" s="4"/>
    </row>
    <row r="11" spans="1:8">
      <c r="A11" s="15"/>
      <c r="B11" s="4"/>
      <c r="C11" s="16"/>
      <c r="D11" s="4"/>
      <c r="E11" s="17"/>
      <c r="F11" s="4"/>
      <c r="G11" s="18"/>
      <c r="H11" s="4"/>
    </row>
    <row r="12" spans="1:8">
      <c r="A12" s="4"/>
      <c r="B12" s="1218" t="s">
        <v>11</v>
      </c>
      <c r="C12" s="1218"/>
      <c r="D12" s="1218"/>
      <c r="E12" s="1218"/>
      <c r="F12" s="1218"/>
      <c r="G12" s="1218"/>
      <c r="H12" s="4"/>
    </row>
    <row r="13" spans="1:8">
      <c r="A13" s="4"/>
      <c r="B13" s="4"/>
      <c r="C13" s="1215"/>
      <c r="D13" s="1215"/>
      <c r="E13" s="19"/>
      <c r="F13" s="20"/>
      <c r="G13" s="19"/>
      <c r="H13" s="20"/>
    </row>
    <row r="14" spans="1:8" ht="13.8" thickBot="1">
      <c r="A14" s="21" t="s">
        <v>12</v>
      </c>
      <c r="C14" s="11"/>
      <c r="D14" s="4"/>
      <c r="E14" s="7"/>
      <c r="F14" s="4"/>
      <c r="G14" s="8"/>
      <c r="H14" s="4"/>
    </row>
    <row r="15" spans="1:8">
      <c r="A15" s="21" t="s">
        <v>13</v>
      </c>
      <c r="C15" s="11"/>
      <c r="D15" s="4"/>
      <c r="E15" s="22"/>
      <c r="F15" s="4"/>
      <c r="G15" s="10"/>
      <c r="H15" s="4"/>
    </row>
    <row r="16" spans="1:8">
      <c r="A16" s="23"/>
      <c r="B16" s="4"/>
      <c r="C16" s="11"/>
      <c r="D16" s="4"/>
      <c r="E16" s="17"/>
      <c r="F16" s="4"/>
      <c r="G16" s="10"/>
      <c r="H16" s="4"/>
    </row>
    <row r="17" spans="1:8">
      <c r="A17" s="21" t="s">
        <v>14</v>
      </c>
      <c r="C17" s="11"/>
      <c r="D17" s="4"/>
      <c r="E17" s="11"/>
      <c r="F17" s="4"/>
      <c r="G17" s="10"/>
      <c r="H17" s="4"/>
    </row>
    <row r="18" spans="1:8" ht="27" thickBot="1">
      <c r="A18" s="21"/>
      <c r="B18" s="24" t="s">
        <v>15</v>
      </c>
      <c r="C18" s="11"/>
      <c r="D18" s="4"/>
      <c r="E18" s="25"/>
      <c r="F18" s="4"/>
      <c r="G18" s="10"/>
      <c r="H18" s="4"/>
    </row>
    <row r="19" spans="1:8" ht="40.200000000000003" thickBot="1">
      <c r="A19" s="21"/>
      <c r="B19" s="24" t="s">
        <v>16</v>
      </c>
      <c r="C19" s="11"/>
      <c r="D19" s="4"/>
      <c r="E19" s="26"/>
      <c r="F19" s="4"/>
      <c r="G19" s="10"/>
      <c r="H19" s="4"/>
    </row>
    <row r="20" spans="1:8">
      <c r="A20" s="4"/>
      <c r="B20" s="4"/>
      <c r="C20" s="11"/>
      <c r="D20" s="4"/>
      <c r="E20" s="11"/>
      <c r="F20" s="4"/>
      <c r="G20" s="10"/>
      <c r="H20" s="4"/>
    </row>
    <row r="21" spans="1:8">
      <c r="A21" s="27" t="s">
        <v>17</v>
      </c>
      <c r="E21" s="4"/>
      <c r="F21" s="11"/>
      <c r="G21" s="11"/>
      <c r="H21" s="11"/>
    </row>
    <row r="22" spans="1:8" ht="13.8" thickBot="1">
      <c r="A22" s="28"/>
      <c r="B22" s="2" t="s">
        <v>18</v>
      </c>
      <c r="C22" s="29"/>
      <c r="D22" s="11"/>
      <c r="E22" s="11"/>
      <c r="F22" s="11"/>
      <c r="G22" s="11"/>
      <c r="H22" s="11"/>
    </row>
    <row r="23" spans="1:8" ht="13.8" thickBot="1">
      <c r="B23" s="2" t="s">
        <v>19</v>
      </c>
      <c r="C23" s="29"/>
      <c r="D23" s="11"/>
      <c r="E23" s="11"/>
      <c r="F23" s="11"/>
      <c r="G23" s="11"/>
      <c r="H23" s="11"/>
    </row>
    <row r="24" spans="1:8">
      <c r="A24" s="11"/>
      <c r="B24" s="11"/>
      <c r="C24" s="11"/>
      <c r="D24" s="11"/>
      <c r="E24" s="11"/>
      <c r="F24" s="11"/>
      <c r="G24" s="11"/>
      <c r="H24" s="11"/>
    </row>
  </sheetData>
  <sheetProtection password="CC16" sheet="1"/>
  <mergeCells count="6">
    <mergeCell ref="C13:D13"/>
    <mergeCell ref="A2:B2"/>
    <mergeCell ref="C2:C3"/>
    <mergeCell ref="E2:E3"/>
    <mergeCell ref="G2:G3"/>
    <mergeCell ref="B12:G12"/>
  </mergeCells>
  <conditionalFormatting sqref="F13 H13">
    <cfRule type="expression" dxfId="13" priority="1" stopIfTrue="1">
      <formula>E10=0</formula>
    </cfRule>
    <cfRule type="expression" dxfId="12" priority="2" stopIfTrue="1">
      <formula>E13="Grade 7 thru"</formula>
    </cfRule>
    <cfRule type="expression" dxfId="11" priority="3" stopIfTrue="1">
      <formula>E10&gt;99.99</formula>
    </cfRule>
  </conditionalFormatting>
  <pageMargins left="0.75" right="0.75" top="1" bottom="1" header="0.5" footer="0.5"/>
  <pageSetup orientation="portrait" r:id="rId1"/>
  <headerFooter alignWithMargins="0">
    <oddFooter>&amp;L&amp;F</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9"/>
  <dimension ref="A1:Q37"/>
  <sheetViews>
    <sheetView showGridLines="0" topLeftCell="A7" zoomScale="90" zoomScaleNormal="100" workbookViewId="0">
      <selection activeCell="C4" sqref="C4"/>
    </sheetView>
  </sheetViews>
  <sheetFormatPr defaultRowHeight="13.2"/>
  <cols>
    <col min="1" max="1" width="4.21875" style="30" customWidth="1"/>
    <col min="2" max="2" width="2.5546875" style="2" customWidth="1"/>
    <col min="3" max="4" width="8.77734375" style="2"/>
    <col min="5" max="5" width="5.77734375" style="2" customWidth="1"/>
    <col min="6" max="6" width="8.77734375" style="2" customWidth="1"/>
    <col min="7" max="7" width="3.21875" style="2" customWidth="1"/>
    <col min="8" max="8" width="10.21875" style="2" customWidth="1"/>
    <col min="9" max="9" width="3.77734375" style="2" customWidth="1"/>
    <col min="10" max="10" width="8.21875" style="2" customWidth="1"/>
    <col min="11" max="11" width="6.21875" style="2" customWidth="1"/>
    <col min="12" max="12" width="5.5546875" style="2" customWidth="1"/>
    <col min="13" max="13" width="10.77734375" style="2" customWidth="1"/>
    <col min="14" max="14" width="8.21875" style="2" customWidth="1"/>
    <col min="15" max="15" width="12.21875" style="2" customWidth="1"/>
    <col min="16" max="16" width="10.21875" style="2" customWidth="1"/>
    <col min="17" max="17" width="9.21875" style="32" customWidth="1"/>
    <col min="18" max="256" width="8.77734375" style="2"/>
    <col min="257" max="257" width="4.21875" style="2" customWidth="1"/>
    <col min="258" max="258" width="2.5546875" style="2" customWidth="1"/>
    <col min="259" max="260" width="8.77734375" style="2"/>
    <col min="261" max="261" width="5.77734375" style="2" customWidth="1"/>
    <col min="262" max="262" width="8.77734375" style="2" customWidth="1"/>
    <col min="263" max="263" width="3.21875" style="2" customWidth="1"/>
    <col min="264" max="264" width="10.21875" style="2" customWidth="1"/>
    <col min="265" max="265" width="3.77734375" style="2" customWidth="1"/>
    <col min="266" max="266" width="8.21875" style="2" customWidth="1"/>
    <col min="267" max="267" width="6.21875" style="2" customWidth="1"/>
    <col min="268" max="268" width="5.5546875" style="2" customWidth="1"/>
    <col min="269" max="269" width="10.77734375" style="2" customWidth="1"/>
    <col min="270" max="270" width="8.21875" style="2" customWidth="1"/>
    <col min="271" max="271" width="12.21875" style="2" customWidth="1"/>
    <col min="272" max="272" width="10.21875" style="2" customWidth="1"/>
    <col min="273" max="273" width="9.21875" style="2" customWidth="1"/>
    <col min="274" max="512" width="8.77734375" style="2"/>
    <col min="513" max="513" width="4.21875" style="2" customWidth="1"/>
    <col min="514" max="514" width="2.5546875" style="2" customWidth="1"/>
    <col min="515" max="516" width="8.77734375" style="2"/>
    <col min="517" max="517" width="5.77734375" style="2" customWidth="1"/>
    <col min="518" max="518" width="8.77734375" style="2" customWidth="1"/>
    <col min="519" max="519" width="3.21875" style="2" customWidth="1"/>
    <col min="520" max="520" width="10.21875" style="2" customWidth="1"/>
    <col min="521" max="521" width="3.77734375" style="2" customWidth="1"/>
    <col min="522" max="522" width="8.21875" style="2" customWidth="1"/>
    <col min="523" max="523" width="6.21875" style="2" customWidth="1"/>
    <col min="524" max="524" width="5.5546875" style="2" customWidth="1"/>
    <col min="525" max="525" width="10.77734375" style="2" customWidth="1"/>
    <col min="526" max="526" width="8.21875" style="2" customWidth="1"/>
    <col min="527" max="527" width="12.21875" style="2" customWidth="1"/>
    <col min="528" max="528" width="10.21875" style="2" customWidth="1"/>
    <col min="529" max="529" width="9.21875" style="2" customWidth="1"/>
    <col min="530" max="768" width="8.77734375" style="2"/>
    <col min="769" max="769" width="4.21875" style="2" customWidth="1"/>
    <col min="770" max="770" width="2.5546875" style="2" customWidth="1"/>
    <col min="771" max="772" width="8.77734375" style="2"/>
    <col min="773" max="773" width="5.77734375" style="2" customWidth="1"/>
    <col min="774" max="774" width="8.77734375" style="2" customWidth="1"/>
    <col min="775" max="775" width="3.21875" style="2" customWidth="1"/>
    <col min="776" max="776" width="10.21875" style="2" customWidth="1"/>
    <col min="777" max="777" width="3.77734375" style="2" customWidth="1"/>
    <col min="778" max="778" width="8.21875" style="2" customWidth="1"/>
    <col min="779" max="779" width="6.21875" style="2" customWidth="1"/>
    <col min="780" max="780" width="5.5546875" style="2" customWidth="1"/>
    <col min="781" max="781" width="10.77734375" style="2" customWidth="1"/>
    <col min="782" max="782" width="8.21875" style="2" customWidth="1"/>
    <col min="783" max="783" width="12.21875" style="2" customWidth="1"/>
    <col min="784" max="784" width="10.21875" style="2" customWidth="1"/>
    <col min="785" max="785" width="9.21875" style="2" customWidth="1"/>
    <col min="786" max="1024" width="8.77734375" style="2"/>
    <col min="1025" max="1025" width="4.21875" style="2" customWidth="1"/>
    <col min="1026" max="1026" width="2.5546875" style="2" customWidth="1"/>
    <col min="1027" max="1028" width="8.77734375" style="2"/>
    <col min="1029" max="1029" width="5.77734375" style="2" customWidth="1"/>
    <col min="1030" max="1030" width="8.77734375" style="2" customWidth="1"/>
    <col min="1031" max="1031" width="3.21875" style="2" customWidth="1"/>
    <col min="1032" max="1032" width="10.21875" style="2" customWidth="1"/>
    <col min="1033" max="1033" width="3.77734375" style="2" customWidth="1"/>
    <col min="1034" max="1034" width="8.21875" style="2" customWidth="1"/>
    <col min="1035" max="1035" width="6.21875" style="2" customWidth="1"/>
    <col min="1036" max="1036" width="5.5546875" style="2" customWidth="1"/>
    <col min="1037" max="1037" width="10.77734375" style="2" customWidth="1"/>
    <col min="1038" max="1038" width="8.21875" style="2" customWidth="1"/>
    <col min="1039" max="1039" width="12.21875" style="2" customWidth="1"/>
    <col min="1040" max="1040" width="10.21875" style="2" customWidth="1"/>
    <col min="1041" max="1041" width="9.21875" style="2" customWidth="1"/>
    <col min="1042" max="1280" width="8.77734375" style="2"/>
    <col min="1281" max="1281" width="4.21875" style="2" customWidth="1"/>
    <col min="1282" max="1282" width="2.5546875" style="2" customWidth="1"/>
    <col min="1283" max="1284" width="8.77734375" style="2"/>
    <col min="1285" max="1285" width="5.77734375" style="2" customWidth="1"/>
    <col min="1286" max="1286" width="8.77734375" style="2" customWidth="1"/>
    <col min="1287" max="1287" width="3.21875" style="2" customWidth="1"/>
    <col min="1288" max="1288" width="10.21875" style="2" customWidth="1"/>
    <col min="1289" max="1289" width="3.77734375" style="2" customWidth="1"/>
    <col min="1290" max="1290" width="8.21875" style="2" customWidth="1"/>
    <col min="1291" max="1291" width="6.21875" style="2" customWidth="1"/>
    <col min="1292" max="1292" width="5.5546875" style="2" customWidth="1"/>
    <col min="1293" max="1293" width="10.77734375" style="2" customWidth="1"/>
    <col min="1294" max="1294" width="8.21875" style="2" customWidth="1"/>
    <col min="1295" max="1295" width="12.21875" style="2" customWidth="1"/>
    <col min="1296" max="1296" width="10.21875" style="2" customWidth="1"/>
    <col min="1297" max="1297" width="9.21875" style="2" customWidth="1"/>
    <col min="1298" max="1536" width="8.77734375" style="2"/>
    <col min="1537" max="1537" width="4.21875" style="2" customWidth="1"/>
    <col min="1538" max="1538" width="2.5546875" style="2" customWidth="1"/>
    <col min="1539" max="1540" width="8.77734375" style="2"/>
    <col min="1541" max="1541" width="5.77734375" style="2" customWidth="1"/>
    <col min="1542" max="1542" width="8.77734375" style="2" customWidth="1"/>
    <col min="1543" max="1543" width="3.21875" style="2" customWidth="1"/>
    <col min="1544" max="1544" width="10.21875" style="2" customWidth="1"/>
    <col min="1545" max="1545" width="3.77734375" style="2" customWidth="1"/>
    <col min="1546" max="1546" width="8.21875" style="2" customWidth="1"/>
    <col min="1547" max="1547" width="6.21875" style="2" customWidth="1"/>
    <col min="1548" max="1548" width="5.5546875" style="2" customWidth="1"/>
    <col min="1549" max="1549" width="10.77734375" style="2" customWidth="1"/>
    <col min="1550" max="1550" width="8.21875" style="2" customWidth="1"/>
    <col min="1551" max="1551" width="12.21875" style="2" customWidth="1"/>
    <col min="1552" max="1552" width="10.21875" style="2" customWidth="1"/>
    <col min="1553" max="1553" width="9.21875" style="2" customWidth="1"/>
    <col min="1554" max="1792" width="8.77734375" style="2"/>
    <col min="1793" max="1793" width="4.21875" style="2" customWidth="1"/>
    <col min="1794" max="1794" width="2.5546875" style="2" customWidth="1"/>
    <col min="1795" max="1796" width="8.77734375" style="2"/>
    <col min="1797" max="1797" width="5.77734375" style="2" customWidth="1"/>
    <col min="1798" max="1798" width="8.77734375" style="2" customWidth="1"/>
    <col min="1799" max="1799" width="3.21875" style="2" customWidth="1"/>
    <col min="1800" max="1800" width="10.21875" style="2" customWidth="1"/>
    <col min="1801" max="1801" width="3.77734375" style="2" customWidth="1"/>
    <col min="1802" max="1802" width="8.21875" style="2" customWidth="1"/>
    <col min="1803" max="1803" width="6.21875" style="2" customWidth="1"/>
    <col min="1804" max="1804" width="5.5546875" style="2" customWidth="1"/>
    <col min="1805" max="1805" width="10.77734375" style="2" customWidth="1"/>
    <col min="1806" max="1806" width="8.21875" style="2" customWidth="1"/>
    <col min="1807" max="1807" width="12.21875" style="2" customWidth="1"/>
    <col min="1808" max="1808" width="10.21875" style="2" customWidth="1"/>
    <col min="1809" max="1809" width="9.21875" style="2" customWidth="1"/>
    <col min="1810" max="2048" width="8.77734375" style="2"/>
    <col min="2049" max="2049" width="4.21875" style="2" customWidth="1"/>
    <col min="2050" max="2050" width="2.5546875" style="2" customWidth="1"/>
    <col min="2051" max="2052" width="8.77734375" style="2"/>
    <col min="2053" max="2053" width="5.77734375" style="2" customWidth="1"/>
    <col min="2054" max="2054" width="8.77734375" style="2" customWidth="1"/>
    <col min="2055" max="2055" width="3.21875" style="2" customWidth="1"/>
    <col min="2056" max="2056" width="10.21875" style="2" customWidth="1"/>
    <col min="2057" max="2057" width="3.77734375" style="2" customWidth="1"/>
    <col min="2058" max="2058" width="8.21875" style="2" customWidth="1"/>
    <col min="2059" max="2059" width="6.21875" style="2" customWidth="1"/>
    <col min="2060" max="2060" width="5.5546875" style="2" customWidth="1"/>
    <col min="2061" max="2061" width="10.77734375" style="2" customWidth="1"/>
    <col min="2062" max="2062" width="8.21875" style="2" customWidth="1"/>
    <col min="2063" max="2063" width="12.21875" style="2" customWidth="1"/>
    <col min="2064" max="2064" width="10.21875" style="2" customWidth="1"/>
    <col min="2065" max="2065" width="9.21875" style="2" customWidth="1"/>
    <col min="2066" max="2304" width="8.77734375" style="2"/>
    <col min="2305" max="2305" width="4.21875" style="2" customWidth="1"/>
    <col min="2306" max="2306" width="2.5546875" style="2" customWidth="1"/>
    <col min="2307" max="2308" width="8.77734375" style="2"/>
    <col min="2309" max="2309" width="5.77734375" style="2" customWidth="1"/>
    <col min="2310" max="2310" width="8.77734375" style="2" customWidth="1"/>
    <col min="2311" max="2311" width="3.21875" style="2" customWidth="1"/>
    <col min="2312" max="2312" width="10.21875" style="2" customWidth="1"/>
    <col min="2313" max="2313" width="3.77734375" style="2" customWidth="1"/>
    <col min="2314" max="2314" width="8.21875" style="2" customWidth="1"/>
    <col min="2315" max="2315" width="6.21875" style="2" customWidth="1"/>
    <col min="2316" max="2316" width="5.5546875" style="2" customWidth="1"/>
    <col min="2317" max="2317" width="10.77734375" style="2" customWidth="1"/>
    <col min="2318" max="2318" width="8.21875" style="2" customWidth="1"/>
    <col min="2319" max="2319" width="12.21875" style="2" customWidth="1"/>
    <col min="2320" max="2320" width="10.21875" style="2" customWidth="1"/>
    <col min="2321" max="2321" width="9.21875" style="2" customWidth="1"/>
    <col min="2322" max="2560" width="8.77734375" style="2"/>
    <col min="2561" max="2561" width="4.21875" style="2" customWidth="1"/>
    <col min="2562" max="2562" width="2.5546875" style="2" customWidth="1"/>
    <col min="2563" max="2564" width="8.77734375" style="2"/>
    <col min="2565" max="2565" width="5.77734375" style="2" customWidth="1"/>
    <col min="2566" max="2566" width="8.77734375" style="2" customWidth="1"/>
    <col min="2567" max="2567" width="3.21875" style="2" customWidth="1"/>
    <col min="2568" max="2568" width="10.21875" style="2" customWidth="1"/>
    <col min="2569" max="2569" width="3.77734375" style="2" customWidth="1"/>
    <col min="2570" max="2570" width="8.21875" style="2" customWidth="1"/>
    <col min="2571" max="2571" width="6.21875" style="2" customWidth="1"/>
    <col min="2572" max="2572" width="5.5546875" style="2" customWidth="1"/>
    <col min="2573" max="2573" width="10.77734375" style="2" customWidth="1"/>
    <col min="2574" max="2574" width="8.21875" style="2" customWidth="1"/>
    <col min="2575" max="2575" width="12.21875" style="2" customWidth="1"/>
    <col min="2576" max="2576" width="10.21875" style="2" customWidth="1"/>
    <col min="2577" max="2577" width="9.21875" style="2" customWidth="1"/>
    <col min="2578" max="2816" width="8.77734375" style="2"/>
    <col min="2817" max="2817" width="4.21875" style="2" customWidth="1"/>
    <col min="2818" max="2818" width="2.5546875" style="2" customWidth="1"/>
    <col min="2819" max="2820" width="8.77734375" style="2"/>
    <col min="2821" max="2821" width="5.77734375" style="2" customWidth="1"/>
    <col min="2822" max="2822" width="8.77734375" style="2" customWidth="1"/>
    <col min="2823" max="2823" width="3.21875" style="2" customWidth="1"/>
    <col min="2824" max="2824" width="10.21875" style="2" customWidth="1"/>
    <col min="2825" max="2825" width="3.77734375" style="2" customWidth="1"/>
    <col min="2826" max="2826" width="8.21875" style="2" customWidth="1"/>
    <col min="2827" max="2827" width="6.21875" style="2" customWidth="1"/>
    <col min="2828" max="2828" width="5.5546875" style="2" customWidth="1"/>
    <col min="2829" max="2829" width="10.77734375" style="2" customWidth="1"/>
    <col min="2830" max="2830" width="8.21875" style="2" customWidth="1"/>
    <col min="2831" max="2831" width="12.21875" style="2" customWidth="1"/>
    <col min="2832" max="2832" width="10.21875" style="2" customWidth="1"/>
    <col min="2833" max="2833" width="9.21875" style="2" customWidth="1"/>
    <col min="2834" max="3072" width="8.77734375" style="2"/>
    <col min="3073" max="3073" width="4.21875" style="2" customWidth="1"/>
    <col min="3074" max="3074" width="2.5546875" style="2" customWidth="1"/>
    <col min="3075" max="3076" width="8.77734375" style="2"/>
    <col min="3077" max="3077" width="5.77734375" style="2" customWidth="1"/>
    <col min="3078" max="3078" width="8.77734375" style="2" customWidth="1"/>
    <col min="3079" max="3079" width="3.21875" style="2" customWidth="1"/>
    <col min="3080" max="3080" width="10.21875" style="2" customWidth="1"/>
    <col min="3081" max="3081" width="3.77734375" style="2" customWidth="1"/>
    <col min="3082" max="3082" width="8.21875" style="2" customWidth="1"/>
    <col min="3083" max="3083" width="6.21875" style="2" customWidth="1"/>
    <col min="3084" max="3084" width="5.5546875" style="2" customWidth="1"/>
    <col min="3085" max="3085" width="10.77734375" style="2" customWidth="1"/>
    <col min="3086" max="3086" width="8.21875" style="2" customWidth="1"/>
    <col min="3087" max="3087" width="12.21875" style="2" customWidth="1"/>
    <col min="3088" max="3088" width="10.21875" style="2" customWidth="1"/>
    <col min="3089" max="3089" width="9.21875" style="2" customWidth="1"/>
    <col min="3090" max="3328" width="8.77734375" style="2"/>
    <col min="3329" max="3329" width="4.21875" style="2" customWidth="1"/>
    <col min="3330" max="3330" width="2.5546875" style="2" customWidth="1"/>
    <col min="3331" max="3332" width="8.77734375" style="2"/>
    <col min="3333" max="3333" width="5.77734375" style="2" customWidth="1"/>
    <col min="3334" max="3334" width="8.77734375" style="2" customWidth="1"/>
    <col min="3335" max="3335" width="3.21875" style="2" customWidth="1"/>
    <col min="3336" max="3336" width="10.21875" style="2" customWidth="1"/>
    <col min="3337" max="3337" width="3.77734375" style="2" customWidth="1"/>
    <col min="3338" max="3338" width="8.21875" style="2" customWidth="1"/>
    <col min="3339" max="3339" width="6.21875" style="2" customWidth="1"/>
    <col min="3340" max="3340" width="5.5546875" style="2" customWidth="1"/>
    <col min="3341" max="3341" width="10.77734375" style="2" customWidth="1"/>
    <col min="3342" max="3342" width="8.21875" style="2" customWidth="1"/>
    <col min="3343" max="3343" width="12.21875" style="2" customWidth="1"/>
    <col min="3344" max="3344" width="10.21875" style="2" customWidth="1"/>
    <col min="3345" max="3345" width="9.21875" style="2" customWidth="1"/>
    <col min="3346" max="3584" width="8.77734375" style="2"/>
    <col min="3585" max="3585" width="4.21875" style="2" customWidth="1"/>
    <col min="3586" max="3586" width="2.5546875" style="2" customWidth="1"/>
    <col min="3587" max="3588" width="8.77734375" style="2"/>
    <col min="3589" max="3589" width="5.77734375" style="2" customWidth="1"/>
    <col min="3590" max="3590" width="8.77734375" style="2" customWidth="1"/>
    <col min="3591" max="3591" width="3.21875" style="2" customWidth="1"/>
    <col min="3592" max="3592" width="10.21875" style="2" customWidth="1"/>
    <col min="3593" max="3593" width="3.77734375" style="2" customWidth="1"/>
    <col min="3594" max="3594" width="8.21875" style="2" customWidth="1"/>
    <col min="3595" max="3595" width="6.21875" style="2" customWidth="1"/>
    <col min="3596" max="3596" width="5.5546875" style="2" customWidth="1"/>
    <col min="3597" max="3597" width="10.77734375" style="2" customWidth="1"/>
    <col min="3598" max="3598" width="8.21875" style="2" customWidth="1"/>
    <col min="3599" max="3599" width="12.21875" style="2" customWidth="1"/>
    <col min="3600" max="3600" width="10.21875" style="2" customWidth="1"/>
    <col min="3601" max="3601" width="9.21875" style="2" customWidth="1"/>
    <col min="3602" max="3840" width="8.77734375" style="2"/>
    <col min="3841" max="3841" width="4.21875" style="2" customWidth="1"/>
    <col min="3842" max="3842" width="2.5546875" style="2" customWidth="1"/>
    <col min="3843" max="3844" width="8.77734375" style="2"/>
    <col min="3845" max="3845" width="5.77734375" style="2" customWidth="1"/>
    <col min="3846" max="3846" width="8.77734375" style="2" customWidth="1"/>
    <col min="3847" max="3847" width="3.21875" style="2" customWidth="1"/>
    <col min="3848" max="3848" width="10.21875" style="2" customWidth="1"/>
    <col min="3849" max="3849" width="3.77734375" style="2" customWidth="1"/>
    <col min="3850" max="3850" width="8.21875" style="2" customWidth="1"/>
    <col min="3851" max="3851" width="6.21875" style="2" customWidth="1"/>
    <col min="3852" max="3852" width="5.5546875" style="2" customWidth="1"/>
    <col min="3853" max="3853" width="10.77734375" style="2" customWidth="1"/>
    <col min="3854" max="3854" width="8.21875" style="2" customWidth="1"/>
    <col min="3855" max="3855" width="12.21875" style="2" customWidth="1"/>
    <col min="3856" max="3856" width="10.21875" style="2" customWidth="1"/>
    <col min="3857" max="3857" width="9.21875" style="2" customWidth="1"/>
    <col min="3858" max="4096" width="8.77734375" style="2"/>
    <col min="4097" max="4097" width="4.21875" style="2" customWidth="1"/>
    <col min="4098" max="4098" width="2.5546875" style="2" customWidth="1"/>
    <col min="4099" max="4100" width="8.77734375" style="2"/>
    <col min="4101" max="4101" width="5.77734375" style="2" customWidth="1"/>
    <col min="4102" max="4102" width="8.77734375" style="2" customWidth="1"/>
    <col min="4103" max="4103" width="3.21875" style="2" customWidth="1"/>
    <col min="4104" max="4104" width="10.21875" style="2" customWidth="1"/>
    <col min="4105" max="4105" width="3.77734375" style="2" customWidth="1"/>
    <col min="4106" max="4106" width="8.21875" style="2" customWidth="1"/>
    <col min="4107" max="4107" width="6.21875" style="2" customWidth="1"/>
    <col min="4108" max="4108" width="5.5546875" style="2" customWidth="1"/>
    <col min="4109" max="4109" width="10.77734375" style="2" customWidth="1"/>
    <col min="4110" max="4110" width="8.21875" style="2" customWidth="1"/>
    <col min="4111" max="4111" width="12.21875" style="2" customWidth="1"/>
    <col min="4112" max="4112" width="10.21875" style="2" customWidth="1"/>
    <col min="4113" max="4113" width="9.21875" style="2" customWidth="1"/>
    <col min="4114" max="4352" width="8.77734375" style="2"/>
    <col min="4353" max="4353" width="4.21875" style="2" customWidth="1"/>
    <col min="4354" max="4354" width="2.5546875" style="2" customWidth="1"/>
    <col min="4355" max="4356" width="8.77734375" style="2"/>
    <col min="4357" max="4357" width="5.77734375" style="2" customWidth="1"/>
    <col min="4358" max="4358" width="8.77734375" style="2" customWidth="1"/>
    <col min="4359" max="4359" width="3.21875" style="2" customWidth="1"/>
    <col min="4360" max="4360" width="10.21875" style="2" customWidth="1"/>
    <col min="4361" max="4361" width="3.77734375" style="2" customWidth="1"/>
    <col min="4362" max="4362" width="8.21875" style="2" customWidth="1"/>
    <col min="4363" max="4363" width="6.21875" style="2" customWidth="1"/>
    <col min="4364" max="4364" width="5.5546875" style="2" customWidth="1"/>
    <col min="4365" max="4365" width="10.77734375" style="2" customWidth="1"/>
    <col min="4366" max="4366" width="8.21875" style="2" customWidth="1"/>
    <col min="4367" max="4367" width="12.21875" style="2" customWidth="1"/>
    <col min="4368" max="4368" width="10.21875" style="2" customWidth="1"/>
    <col min="4369" max="4369" width="9.21875" style="2" customWidth="1"/>
    <col min="4370" max="4608" width="8.77734375" style="2"/>
    <col min="4609" max="4609" width="4.21875" style="2" customWidth="1"/>
    <col min="4610" max="4610" width="2.5546875" style="2" customWidth="1"/>
    <col min="4611" max="4612" width="8.77734375" style="2"/>
    <col min="4613" max="4613" width="5.77734375" style="2" customWidth="1"/>
    <col min="4614" max="4614" width="8.77734375" style="2" customWidth="1"/>
    <col min="4615" max="4615" width="3.21875" style="2" customWidth="1"/>
    <col min="4616" max="4616" width="10.21875" style="2" customWidth="1"/>
    <col min="4617" max="4617" width="3.77734375" style="2" customWidth="1"/>
    <col min="4618" max="4618" width="8.21875" style="2" customWidth="1"/>
    <col min="4619" max="4619" width="6.21875" style="2" customWidth="1"/>
    <col min="4620" max="4620" width="5.5546875" style="2" customWidth="1"/>
    <col min="4621" max="4621" width="10.77734375" style="2" customWidth="1"/>
    <col min="4622" max="4622" width="8.21875" style="2" customWidth="1"/>
    <col min="4623" max="4623" width="12.21875" style="2" customWidth="1"/>
    <col min="4624" max="4624" width="10.21875" style="2" customWidth="1"/>
    <col min="4625" max="4625" width="9.21875" style="2" customWidth="1"/>
    <col min="4626" max="4864" width="8.77734375" style="2"/>
    <col min="4865" max="4865" width="4.21875" style="2" customWidth="1"/>
    <col min="4866" max="4866" width="2.5546875" style="2" customWidth="1"/>
    <col min="4867" max="4868" width="8.77734375" style="2"/>
    <col min="4869" max="4869" width="5.77734375" style="2" customWidth="1"/>
    <col min="4870" max="4870" width="8.77734375" style="2" customWidth="1"/>
    <col min="4871" max="4871" width="3.21875" style="2" customWidth="1"/>
    <col min="4872" max="4872" width="10.21875" style="2" customWidth="1"/>
    <col min="4873" max="4873" width="3.77734375" style="2" customWidth="1"/>
    <col min="4874" max="4874" width="8.21875" style="2" customWidth="1"/>
    <col min="4875" max="4875" width="6.21875" style="2" customWidth="1"/>
    <col min="4876" max="4876" width="5.5546875" style="2" customWidth="1"/>
    <col min="4877" max="4877" width="10.77734375" style="2" customWidth="1"/>
    <col min="4878" max="4878" width="8.21875" style="2" customWidth="1"/>
    <col min="4879" max="4879" width="12.21875" style="2" customWidth="1"/>
    <col min="4880" max="4880" width="10.21875" style="2" customWidth="1"/>
    <col min="4881" max="4881" width="9.21875" style="2" customWidth="1"/>
    <col min="4882" max="5120" width="8.77734375" style="2"/>
    <col min="5121" max="5121" width="4.21875" style="2" customWidth="1"/>
    <col min="5122" max="5122" width="2.5546875" style="2" customWidth="1"/>
    <col min="5123" max="5124" width="8.77734375" style="2"/>
    <col min="5125" max="5125" width="5.77734375" style="2" customWidth="1"/>
    <col min="5126" max="5126" width="8.77734375" style="2" customWidth="1"/>
    <col min="5127" max="5127" width="3.21875" style="2" customWidth="1"/>
    <col min="5128" max="5128" width="10.21875" style="2" customWidth="1"/>
    <col min="5129" max="5129" width="3.77734375" style="2" customWidth="1"/>
    <col min="5130" max="5130" width="8.21875" style="2" customWidth="1"/>
    <col min="5131" max="5131" width="6.21875" style="2" customWidth="1"/>
    <col min="5132" max="5132" width="5.5546875" style="2" customWidth="1"/>
    <col min="5133" max="5133" width="10.77734375" style="2" customWidth="1"/>
    <col min="5134" max="5134" width="8.21875" style="2" customWidth="1"/>
    <col min="5135" max="5135" width="12.21875" style="2" customWidth="1"/>
    <col min="5136" max="5136" width="10.21875" style="2" customWidth="1"/>
    <col min="5137" max="5137" width="9.21875" style="2" customWidth="1"/>
    <col min="5138" max="5376" width="8.77734375" style="2"/>
    <col min="5377" max="5377" width="4.21875" style="2" customWidth="1"/>
    <col min="5378" max="5378" width="2.5546875" style="2" customWidth="1"/>
    <col min="5379" max="5380" width="8.77734375" style="2"/>
    <col min="5381" max="5381" width="5.77734375" style="2" customWidth="1"/>
    <col min="5382" max="5382" width="8.77734375" style="2" customWidth="1"/>
    <col min="5383" max="5383" width="3.21875" style="2" customWidth="1"/>
    <col min="5384" max="5384" width="10.21875" style="2" customWidth="1"/>
    <col min="5385" max="5385" width="3.77734375" style="2" customWidth="1"/>
    <col min="5386" max="5386" width="8.21875" style="2" customWidth="1"/>
    <col min="5387" max="5387" width="6.21875" style="2" customWidth="1"/>
    <col min="5388" max="5388" width="5.5546875" style="2" customWidth="1"/>
    <col min="5389" max="5389" width="10.77734375" style="2" customWidth="1"/>
    <col min="5390" max="5390" width="8.21875" style="2" customWidth="1"/>
    <col min="5391" max="5391" width="12.21875" style="2" customWidth="1"/>
    <col min="5392" max="5392" width="10.21875" style="2" customWidth="1"/>
    <col min="5393" max="5393" width="9.21875" style="2" customWidth="1"/>
    <col min="5394" max="5632" width="8.77734375" style="2"/>
    <col min="5633" max="5633" width="4.21875" style="2" customWidth="1"/>
    <col min="5634" max="5634" width="2.5546875" style="2" customWidth="1"/>
    <col min="5635" max="5636" width="8.77734375" style="2"/>
    <col min="5637" max="5637" width="5.77734375" style="2" customWidth="1"/>
    <col min="5638" max="5638" width="8.77734375" style="2" customWidth="1"/>
    <col min="5639" max="5639" width="3.21875" style="2" customWidth="1"/>
    <col min="5640" max="5640" width="10.21875" style="2" customWidth="1"/>
    <col min="5641" max="5641" width="3.77734375" style="2" customWidth="1"/>
    <col min="5642" max="5642" width="8.21875" style="2" customWidth="1"/>
    <col min="5643" max="5643" width="6.21875" style="2" customWidth="1"/>
    <col min="5644" max="5644" width="5.5546875" style="2" customWidth="1"/>
    <col min="5645" max="5645" width="10.77734375" style="2" customWidth="1"/>
    <col min="5646" max="5646" width="8.21875" style="2" customWidth="1"/>
    <col min="5647" max="5647" width="12.21875" style="2" customWidth="1"/>
    <col min="5648" max="5648" width="10.21875" style="2" customWidth="1"/>
    <col min="5649" max="5649" width="9.21875" style="2" customWidth="1"/>
    <col min="5650" max="5888" width="8.77734375" style="2"/>
    <col min="5889" max="5889" width="4.21875" style="2" customWidth="1"/>
    <col min="5890" max="5890" width="2.5546875" style="2" customWidth="1"/>
    <col min="5891" max="5892" width="8.77734375" style="2"/>
    <col min="5893" max="5893" width="5.77734375" style="2" customWidth="1"/>
    <col min="5894" max="5894" width="8.77734375" style="2" customWidth="1"/>
    <col min="5895" max="5895" width="3.21875" style="2" customWidth="1"/>
    <col min="5896" max="5896" width="10.21875" style="2" customWidth="1"/>
    <col min="5897" max="5897" width="3.77734375" style="2" customWidth="1"/>
    <col min="5898" max="5898" width="8.21875" style="2" customWidth="1"/>
    <col min="5899" max="5899" width="6.21875" style="2" customWidth="1"/>
    <col min="5900" max="5900" width="5.5546875" style="2" customWidth="1"/>
    <col min="5901" max="5901" width="10.77734375" style="2" customWidth="1"/>
    <col min="5902" max="5902" width="8.21875" style="2" customWidth="1"/>
    <col min="5903" max="5903" width="12.21875" style="2" customWidth="1"/>
    <col min="5904" max="5904" width="10.21875" style="2" customWidth="1"/>
    <col min="5905" max="5905" width="9.21875" style="2" customWidth="1"/>
    <col min="5906" max="6144" width="8.77734375" style="2"/>
    <col min="6145" max="6145" width="4.21875" style="2" customWidth="1"/>
    <col min="6146" max="6146" width="2.5546875" style="2" customWidth="1"/>
    <col min="6147" max="6148" width="8.77734375" style="2"/>
    <col min="6149" max="6149" width="5.77734375" style="2" customWidth="1"/>
    <col min="6150" max="6150" width="8.77734375" style="2" customWidth="1"/>
    <col min="6151" max="6151" width="3.21875" style="2" customWidth="1"/>
    <col min="6152" max="6152" width="10.21875" style="2" customWidth="1"/>
    <col min="6153" max="6153" width="3.77734375" style="2" customWidth="1"/>
    <col min="6154" max="6154" width="8.21875" style="2" customWidth="1"/>
    <col min="6155" max="6155" width="6.21875" style="2" customWidth="1"/>
    <col min="6156" max="6156" width="5.5546875" style="2" customWidth="1"/>
    <col min="6157" max="6157" width="10.77734375" style="2" customWidth="1"/>
    <col min="6158" max="6158" width="8.21875" style="2" customWidth="1"/>
    <col min="6159" max="6159" width="12.21875" style="2" customWidth="1"/>
    <col min="6160" max="6160" width="10.21875" style="2" customWidth="1"/>
    <col min="6161" max="6161" width="9.21875" style="2" customWidth="1"/>
    <col min="6162" max="6400" width="8.77734375" style="2"/>
    <col min="6401" max="6401" width="4.21875" style="2" customWidth="1"/>
    <col min="6402" max="6402" width="2.5546875" style="2" customWidth="1"/>
    <col min="6403" max="6404" width="8.77734375" style="2"/>
    <col min="6405" max="6405" width="5.77734375" style="2" customWidth="1"/>
    <col min="6406" max="6406" width="8.77734375" style="2" customWidth="1"/>
    <col min="6407" max="6407" width="3.21875" style="2" customWidth="1"/>
    <col min="6408" max="6408" width="10.21875" style="2" customWidth="1"/>
    <col min="6409" max="6409" width="3.77734375" style="2" customWidth="1"/>
    <col min="6410" max="6410" width="8.21875" style="2" customWidth="1"/>
    <col min="6411" max="6411" width="6.21875" style="2" customWidth="1"/>
    <col min="6412" max="6412" width="5.5546875" style="2" customWidth="1"/>
    <col min="6413" max="6413" width="10.77734375" style="2" customWidth="1"/>
    <col min="6414" max="6414" width="8.21875" style="2" customWidth="1"/>
    <col min="6415" max="6415" width="12.21875" style="2" customWidth="1"/>
    <col min="6416" max="6416" width="10.21875" style="2" customWidth="1"/>
    <col min="6417" max="6417" width="9.21875" style="2" customWidth="1"/>
    <col min="6418" max="6656" width="8.77734375" style="2"/>
    <col min="6657" max="6657" width="4.21875" style="2" customWidth="1"/>
    <col min="6658" max="6658" width="2.5546875" style="2" customWidth="1"/>
    <col min="6659" max="6660" width="8.77734375" style="2"/>
    <col min="6661" max="6661" width="5.77734375" style="2" customWidth="1"/>
    <col min="6662" max="6662" width="8.77734375" style="2" customWidth="1"/>
    <col min="6663" max="6663" width="3.21875" style="2" customWidth="1"/>
    <col min="6664" max="6664" width="10.21875" style="2" customWidth="1"/>
    <col min="6665" max="6665" width="3.77734375" style="2" customWidth="1"/>
    <col min="6666" max="6666" width="8.21875" style="2" customWidth="1"/>
    <col min="6667" max="6667" width="6.21875" style="2" customWidth="1"/>
    <col min="6668" max="6668" width="5.5546875" style="2" customWidth="1"/>
    <col min="6669" max="6669" width="10.77734375" style="2" customWidth="1"/>
    <col min="6670" max="6670" width="8.21875" style="2" customWidth="1"/>
    <col min="6671" max="6671" width="12.21875" style="2" customWidth="1"/>
    <col min="6672" max="6672" width="10.21875" style="2" customWidth="1"/>
    <col min="6673" max="6673" width="9.21875" style="2" customWidth="1"/>
    <col min="6674" max="6912" width="8.77734375" style="2"/>
    <col min="6913" max="6913" width="4.21875" style="2" customWidth="1"/>
    <col min="6914" max="6914" width="2.5546875" style="2" customWidth="1"/>
    <col min="6915" max="6916" width="8.77734375" style="2"/>
    <col min="6917" max="6917" width="5.77734375" style="2" customWidth="1"/>
    <col min="6918" max="6918" width="8.77734375" style="2" customWidth="1"/>
    <col min="6919" max="6919" width="3.21875" style="2" customWidth="1"/>
    <col min="6920" max="6920" width="10.21875" style="2" customWidth="1"/>
    <col min="6921" max="6921" width="3.77734375" style="2" customWidth="1"/>
    <col min="6922" max="6922" width="8.21875" style="2" customWidth="1"/>
    <col min="6923" max="6923" width="6.21875" style="2" customWidth="1"/>
    <col min="6924" max="6924" width="5.5546875" style="2" customWidth="1"/>
    <col min="6925" max="6925" width="10.77734375" style="2" customWidth="1"/>
    <col min="6926" max="6926" width="8.21875" style="2" customWidth="1"/>
    <col min="6927" max="6927" width="12.21875" style="2" customWidth="1"/>
    <col min="6928" max="6928" width="10.21875" style="2" customWidth="1"/>
    <col min="6929" max="6929" width="9.21875" style="2" customWidth="1"/>
    <col min="6930" max="7168" width="8.77734375" style="2"/>
    <col min="7169" max="7169" width="4.21875" style="2" customWidth="1"/>
    <col min="7170" max="7170" width="2.5546875" style="2" customWidth="1"/>
    <col min="7171" max="7172" width="8.77734375" style="2"/>
    <col min="7173" max="7173" width="5.77734375" style="2" customWidth="1"/>
    <col min="7174" max="7174" width="8.77734375" style="2" customWidth="1"/>
    <col min="7175" max="7175" width="3.21875" style="2" customWidth="1"/>
    <col min="7176" max="7176" width="10.21875" style="2" customWidth="1"/>
    <col min="7177" max="7177" width="3.77734375" style="2" customWidth="1"/>
    <col min="7178" max="7178" width="8.21875" style="2" customWidth="1"/>
    <col min="7179" max="7179" width="6.21875" style="2" customWidth="1"/>
    <col min="7180" max="7180" width="5.5546875" style="2" customWidth="1"/>
    <col min="7181" max="7181" width="10.77734375" style="2" customWidth="1"/>
    <col min="7182" max="7182" width="8.21875" style="2" customWidth="1"/>
    <col min="7183" max="7183" width="12.21875" style="2" customWidth="1"/>
    <col min="7184" max="7184" width="10.21875" style="2" customWidth="1"/>
    <col min="7185" max="7185" width="9.21875" style="2" customWidth="1"/>
    <col min="7186" max="7424" width="8.77734375" style="2"/>
    <col min="7425" max="7425" width="4.21875" style="2" customWidth="1"/>
    <col min="7426" max="7426" width="2.5546875" style="2" customWidth="1"/>
    <col min="7427" max="7428" width="8.77734375" style="2"/>
    <col min="7429" max="7429" width="5.77734375" style="2" customWidth="1"/>
    <col min="7430" max="7430" width="8.77734375" style="2" customWidth="1"/>
    <col min="7431" max="7431" width="3.21875" style="2" customWidth="1"/>
    <col min="7432" max="7432" width="10.21875" style="2" customWidth="1"/>
    <col min="7433" max="7433" width="3.77734375" style="2" customWidth="1"/>
    <col min="7434" max="7434" width="8.21875" style="2" customWidth="1"/>
    <col min="7435" max="7435" width="6.21875" style="2" customWidth="1"/>
    <col min="7436" max="7436" width="5.5546875" style="2" customWidth="1"/>
    <col min="7437" max="7437" width="10.77734375" style="2" customWidth="1"/>
    <col min="7438" max="7438" width="8.21875" style="2" customWidth="1"/>
    <col min="7439" max="7439" width="12.21875" style="2" customWidth="1"/>
    <col min="7440" max="7440" width="10.21875" style="2" customWidth="1"/>
    <col min="7441" max="7441" width="9.21875" style="2" customWidth="1"/>
    <col min="7442" max="7680" width="8.77734375" style="2"/>
    <col min="7681" max="7681" width="4.21875" style="2" customWidth="1"/>
    <col min="7682" max="7682" width="2.5546875" style="2" customWidth="1"/>
    <col min="7683" max="7684" width="8.77734375" style="2"/>
    <col min="7685" max="7685" width="5.77734375" style="2" customWidth="1"/>
    <col min="7686" max="7686" width="8.77734375" style="2" customWidth="1"/>
    <col min="7687" max="7687" width="3.21875" style="2" customWidth="1"/>
    <col min="7688" max="7688" width="10.21875" style="2" customWidth="1"/>
    <col min="7689" max="7689" width="3.77734375" style="2" customWidth="1"/>
    <col min="7690" max="7690" width="8.21875" style="2" customWidth="1"/>
    <col min="7691" max="7691" width="6.21875" style="2" customWidth="1"/>
    <col min="7692" max="7692" width="5.5546875" style="2" customWidth="1"/>
    <col min="7693" max="7693" width="10.77734375" style="2" customWidth="1"/>
    <col min="7694" max="7694" width="8.21875" style="2" customWidth="1"/>
    <col min="7695" max="7695" width="12.21875" style="2" customWidth="1"/>
    <col min="7696" max="7696" width="10.21875" style="2" customWidth="1"/>
    <col min="7697" max="7697" width="9.21875" style="2" customWidth="1"/>
    <col min="7698" max="7936" width="8.77734375" style="2"/>
    <col min="7937" max="7937" width="4.21875" style="2" customWidth="1"/>
    <col min="7938" max="7938" width="2.5546875" style="2" customWidth="1"/>
    <col min="7939" max="7940" width="8.77734375" style="2"/>
    <col min="7941" max="7941" width="5.77734375" style="2" customWidth="1"/>
    <col min="7942" max="7942" width="8.77734375" style="2" customWidth="1"/>
    <col min="7943" max="7943" width="3.21875" style="2" customWidth="1"/>
    <col min="7944" max="7944" width="10.21875" style="2" customWidth="1"/>
    <col min="7945" max="7945" width="3.77734375" style="2" customWidth="1"/>
    <col min="7946" max="7946" width="8.21875" style="2" customWidth="1"/>
    <col min="7947" max="7947" width="6.21875" style="2" customWidth="1"/>
    <col min="7948" max="7948" width="5.5546875" style="2" customWidth="1"/>
    <col min="7949" max="7949" width="10.77734375" style="2" customWidth="1"/>
    <col min="7950" max="7950" width="8.21875" style="2" customWidth="1"/>
    <col min="7951" max="7951" width="12.21875" style="2" customWidth="1"/>
    <col min="7952" max="7952" width="10.21875" style="2" customWidth="1"/>
    <col min="7953" max="7953" width="9.21875" style="2" customWidth="1"/>
    <col min="7954" max="8192" width="8.77734375" style="2"/>
    <col min="8193" max="8193" width="4.21875" style="2" customWidth="1"/>
    <col min="8194" max="8194" width="2.5546875" style="2" customWidth="1"/>
    <col min="8195" max="8196" width="8.77734375" style="2"/>
    <col min="8197" max="8197" width="5.77734375" style="2" customWidth="1"/>
    <col min="8198" max="8198" width="8.77734375" style="2" customWidth="1"/>
    <col min="8199" max="8199" width="3.21875" style="2" customWidth="1"/>
    <col min="8200" max="8200" width="10.21875" style="2" customWidth="1"/>
    <col min="8201" max="8201" width="3.77734375" style="2" customWidth="1"/>
    <col min="8202" max="8202" width="8.21875" style="2" customWidth="1"/>
    <col min="8203" max="8203" width="6.21875" style="2" customWidth="1"/>
    <col min="8204" max="8204" width="5.5546875" style="2" customWidth="1"/>
    <col min="8205" max="8205" width="10.77734375" style="2" customWidth="1"/>
    <col min="8206" max="8206" width="8.21875" style="2" customWidth="1"/>
    <col min="8207" max="8207" width="12.21875" style="2" customWidth="1"/>
    <col min="8208" max="8208" width="10.21875" style="2" customWidth="1"/>
    <col min="8209" max="8209" width="9.21875" style="2" customWidth="1"/>
    <col min="8210" max="8448" width="8.77734375" style="2"/>
    <col min="8449" max="8449" width="4.21875" style="2" customWidth="1"/>
    <col min="8450" max="8450" width="2.5546875" style="2" customWidth="1"/>
    <col min="8451" max="8452" width="8.77734375" style="2"/>
    <col min="8453" max="8453" width="5.77734375" style="2" customWidth="1"/>
    <col min="8454" max="8454" width="8.77734375" style="2" customWidth="1"/>
    <col min="8455" max="8455" width="3.21875" style="2" customWidth="1"/>
    <col min="8456" max="8456" width="10.21875" style="2" customWidth="1"/>
    <col min="8457" max="8457" width="3.77734375" style="2" customWidth="1"/>
    <col min="8458" max="8458" width="8.21875" style="2" customWidth="1"/>
    <col min="8459" max="8459" width="6.21875" style="2" customWidth="1"/>
    <col min="8460" max="8460" width="5.5546875" style="2" customWidth="1"/>
    <col min="8461" max="8461" width="10.77734375" style="2" customWidth="1"/>
    <col min="8462" max="8462" width="8.21875" style="2" customWidth="1"/>
    <col min="8463" max="8463" width="12.21875" style="2" customWidth="1"/>
    <col min="8464" max="8464" width="10.21875" style="2" customWidth="1"/>
    <col min="8465" max="8465" width="9.21875" style="2" customWidth="1"/>
    <col min="8466" max="8704" width="8.77734375" style="2"/>
    <col min="8705" max="8705" width="4.21875" style="2" customWidth="1"/>
    <col min="8706" max="8706" width="2.5546875" style="2" customWidth="1"/>
    <col min="8707" max="8708" width="8.77734375" style="2"/>
    <col min="8709" max="8709" width="5.77734375" style="2" customWidth="1"/>
    <col min="8710" max="8710" width="8.77734375" style="2" customWidth="1"/>
    <col min="8711" max="8711" width="3.21875" style="2" customWidth="1"/>
    <col min="8712" max="8712" width="10.21875" style="2" customWidth="1"/>
    <col min="8713" max="8713" width="3.77734375" style="2" customWidth="1"/>
    <col min="8714" max="8714" width="8.21875" style="2" customWidth="1"/>
    <col min="8715" max="8715" width="6.21875" style="2" customWidth="1"/>
    <col min="8716" max="8716" width="5.5546875" style="2" customWidth="1"/>
    <col min="8717" max="8717" width="10.77734375" style="2" customWidth="1"/>
    <col min="8718" max="8718" width="8.21875" style="2" customWidth="1"/>
    <col min="8719" max="8719" width="12.21875" style="2" customWidth="1"/>
    <col min="8720" max="8720" width="10.21875" style="2" customWidth="1"/>
    <col min="8721" max="8721" width="9.21875" style="2" customWidth="1"/>
    <col min="8722" max="8960" width="8.77734375" style="2"/>
    <col min="8961" max="8961" width="4.21875" style="2" customWidth="1"/>
    <col min="8962" max="8962" width="2.5546875" style="2" customWidth="1"/>
    <col min="8963" max="8964" width="8.77734375" style="2"/>
    <col min="8965" max="8965" width="5.77734375" style="2" customWidth="1"/>
    <col min="8966" max="8966" width="8.77734375" style="2" customWidth="1"/>
    <col min="8967" max="8967" width="3.21875" style="2" customWidth="1"/>
    <col min="8968" max="8968" width="10.21875" style="2" customWidth="1"/>
    <col min="8969" max="8969" width="3.77734375" style="2" customWidth="1"/>
    <col min="8970" max="8970" width="8.21875" style="2" customWidth="1"/>
    <col min="8971" max="8971" width="6.21875" style="2" customWidth="1"/>
    <col min="8972" max="8972" width="5.5546875" style="2" customWidth="1"/>
    <col min="8973" max="8973" width="10.77734375" style="2" customWidth="1"/>
    <col min="8974" max="8974" width="8.21875" style="2" customWidth="1"/>
    <col min="8975" max="8975" width="12.21875" style="2" customWidth="1"/>
    <col min="8976" max="8976" width="10.21875" style="2" customWidth="1"/>
    <col min="8977" max="8977" width="9.21875" style="2" customWidth="1"/>
    <col min="8978" max="9216" width="8.77734375" style="2"/>
    <col min="9217" max="9217" width="4.21875" style="2" customWidth="1"/>
    <col min="9218" max="9218" width="2.5546875" style="2" customWidth="1"/>
    <col min="9219" max="9220" width="8.77734375" style="2"/>
    <col min="9221" max="9221" width="5.77734375" style="2" customWidth="1"/>
    <col min="9222" max="9222" width="8.77734375" style="2" customWidth="1"/>
    <col min="9223" max="9223" width="3.21875" style="2" customWidth="1"/>
    <col min="9224" max="9224" width="10.21875" style="2" customWidth="1"/>
    <col min="9225" max="9225" width="3.77734375" style="2" customWidth="1"/>
    <col min="9226" max="9226" width="8.21875" style="2" customWidth="1"/>
    <col min="9227" max="9227" width="6.21875" style="2" customWidth="1"/>
    <col min="9228" max="9228" width="5.5546875" style="2" customWidth="1"/>
    <col min="9229" max="9229" width="10.77734375" style="2" customWidth="1"/>
    <col min="9230" max="9230" width="8.21875" style="2" customWidth="1"/>
    <col min="9231" max="9231" width="12.21875" style="2" customWidth="1"/>
    <col min="9232" max="9232" width="10.21875" style="2" customWidth="1"/>
    <col min="9233" max="9233" width="9.21875" style="2" customWidth="1"/>
    <col min="9234" max="9472" width="8.77734375" style="2"/>
    <col min="9473" max="9473" width="4.21875" style="2" customWidth="1"/>
    <col min="9474" max="9474" width="2.5546875" style="2" customWidth="1"/>
    <col min="9475" max="9476" width="8.77734375" style="2"/>
    <col min="9477" max="9477" width="5.77734375" style="2" customWidth="1"/>
    <col min="9478" max="9478" width="8.77734375" style="2" customWidth="1"/>
    <col min="9479" max="9479" width="3.21875" style="2" customWidth="1"/>
    <col min="9480" max="9480" width="10.21875" style="2" customWidth="1"/>
    <col min="9481" max="9481" width="3.77734375" style="2" customWidth="1"/>
    <col min="9482" max="9482" width="8.21875" style="2" customWidth="1"/>
    <col min="9483" max="9483" width="6.21875" style="2" customWidth="1"/>
    <col min="9484" max="9484" width="5.5546875" style="2" customWidth="1"/>
    <col min="9485" max="9485" width="10.77734375" style="2" customWidth="1"/>
    <col min="9486" max="9486" width="8.21875" style="2" customWidth="1"/>
    <col min="9487" max="9487" width="12.21875" style="2" customWidth="1"/>
    <col min="9488" max="9488" width="10.21875" style="2" customWidth="1"/>
    <col min="9489" max="9489" width="9.21875" style="2" customWidth="1"/>
    <col min="9490" max="9728" width="8.77734375" style="2"/>
    <col min="9729" max="9729" width="4.21875" style="2" customWidth="1"/>
    <col min="9730" max="9730" width="2.5546875" style="2" customWidth="1"/>
    <col min="9731" max="9732" width="8.77734375" style="2"/>
    <col min="9733" max="9733" width="5.77734375" style="2" customWidth="1"/>
    <col min="9734" max="9734" width="8.77734375" style="2" customWidth="1"/>
    <col min="9735" max="9735" width="3.21875" style="2" customWidth="1"/>
    <col min="9736" max="9736" width="10.21875" style="2" customWidth="1"/>
    <col min="9737" max="9737" width="3.77734375" style="2" customWidth="1"/>
    <col min="9738" max="9738" width="8.21875" style="2" customWidth="1"/>
    <col min="9739" max="9739" width="6.21875" style="2" customWidth="1"/>
    <col min="9740" max="9740" width="5.5546875" style="2" customWidth="1"/>
    <col min="9741" max="9741" width="10.77734375" style="2" customWidth="1"/>
    <col min="9742" max="9742" width="8.21875" style="2" customWidth="1"/>
    <col min="9743" max="9743" width="12.21875" style="2" customWidth="1"/>
    <col min="9744" max="9744" width="10.21875" style="2" customWidth="1"/>
    <col min="9745" max="9745" width="9.21875" style="2" customWidth="1"/>
    <col min="9746" max="9984" width="8.77734375" style="2"/>
    <col min="9985" max="9985" width="4.21875" style="2" customWidth="1"/>
    <col min="9986" max="9986" width="2.5546875" style="2" customWidth="1"/>
    <col min="9987" max="9988" width="8.77734375" style="2"/>
    <col min="9989" max="9989" width="5.77734375" style="2" customWidth="1"/>
    <col min="9990" max="9990" width="8.77734375" style="2" customWidth="1"/>
    <col min="9991" max="9991" width="3.21875" style="2" customWidth="1"/>
    <col min="9992" max="9992" width="10.21875" style="2" customWidth="1"/>
    <col min="9993" max="9993" width="3.77734375" style="2" customWidth="1"/>
    <col min="9994" max="9994" width="8.21875" style="2" customWidth="1"/>
    <col min="9995" max="9995" width="6.21875" style="2" customWidth="1"/>
    <col min="9996" max="9996" width="5.5546875" style="2" customWidth="1"/>
    <col min="9997" max="9997" width="10.77734375" style="2" customWidth="1"/>
    <col min="9998" max="9998" width="8.21875" style="2" customWidth="1"/>
    <col min="9999" max="9999" width="12.21875" style="2" customWidth="1"/>
    <col min="10000" max="10000" width="10.21875" style="2" customWidth="1"/>
    <col min="10001" max="10001" width="9.21875" style="2" customWidth="1"/>
    <col min="10002" max="10240" width="8.77734375" style="2"/>
    <col min="10241" max="10241" width="4.21875" style="2" customWidth="1"/>
    <col min="10242" max="10242" width="2.5546875" style="2" customWidth="1"/>
    <col min="10243" max="10244" width="8.77734375" style="2"/>
    <col min="10245" max="10245" width="5.77734375" style="2" customWidth="1"/>
    <col min="10246" max="10246" width="8.77734375" style="2" customWidth="1"/>
    <col min="10247" max="10247" width="3.21875" style="2" customWidth="1"/>
    <col min="10248" max="10248" width="10.21875" style="2" customWidth="1"/>
    <col min="10249" max="10249" width="3.77734375" style="2" customWidth="1"/>
    <col min="10250" max="10250" width="8.21875" style="2" customWidth="1"/>
    <col min="10251" max="10251" width="6.21875" style="2" customWidth="1"/>
    <col min="10252" max="10252" width="5.5546875" style="2" customWidth="1"/>
    <col min="10253" max="10253" width="10.77734375" style="2" customWidth="1"/>
    <col min="10254" max="10254" width="8.21875" style="2" customWidth="1"/>
    <col min="10255" max="10255" width="12.21875" style="2" customWidth="1"/>
    <col min="10256" max="10256" width="10.21875" style="2" customWidth="1"/>
    <col min="10257" max="10257" width="9.21875" style="2" customWidth="1"/>
    <col min="10258" max="10496" width="8.77734375" style="2"/>
    <col min="10497" max="10497" width="4.21875" style="2" customWidth="1"/>
    <col min="10498" max="10498" width="2.5546875" style="2" customWidth="1"/>
    <col min="10499" max="10500" width="8.77734375" style="2"/>
    <col min="10501" max="10501" width="5.77734375" style="2" customWidth="1"/>
    <col min="10502" max="10502" width="8.77734375" style="2" customWidth="1"/>
    <col min="10503" max="10503" width="3.21875" style="2" customWidth="1"/>
    <col min="10504" max="10504" width="10.21875" style="2" customWidth="1"/>
    <col min="10505" max="10505" width="3.77734375" style="2" customWidth="1"/>
    <col min="10506" max="10506" width="8.21875" style="2" customWidth="1"/>
    <col min="10507" max="10507" width="6.21875" style="2" customWidth="1"/>
    <col min="10508" max="10508" width="5.5546875" style="2" customWidth="1"/>
    <col min="10509" max="10509" width="10.77734375" style="2" customWidth="1"/>
    <col min="10510" max="10510" width="8.21875" style="2" customWidth="1"/>
    <col min="10511" max="10511" width="12.21875" style="2" customWidth="1"/>
    <col min="10512" max="10512" width="10.21875" style="2" customWidth="1"/>
    <col min="10513" max="10513" width="9.21875" style="2" customWidth="1"/>
    <col min="10514" max="10752" width="8.77734375" style="2"/>
    <col min="10753" max="10753" width="4.21875" style="2" customWidth="1"/>
    <col min="10754" max="10754" width="2.5546875" style="2" customWidth="1"/>
    <col min="10755" max="10756" width="8.77734375" style="2"/>
    <col min="10757" max="10757" width="5.77734375" style="2" customWidth="1"/>
    <col min="10758" max="10758" width="8.77734375" style="2" customWidth="1"/>
    <col min="10759" max="10759" width="3.21875" style="2" customWidth="1"/>
    <col min="10760" max="10760" width="10.21875" style="2" customWidth="1"/>
    <col min="10761" max="10761" width="3.77734375" style="2" customWidth="1"/>
    <col min="10762" max="10762" width="8.21875" style="2" customWidth="1"/>
    <col min="10763" max="10763" width="6.21875" style="2" customWidth="1"/>
    <col min="10764" max="10764" width="5.5546875" style="2" customWidth="1"/>
    <col min="10765" max="10765" width="10.77734375" style="2" customWidth="1"/>
    <col min="10766" max="10766" width="8.21875" style="2" customWidth="1"/>
    <col min="10767" max="10767" width="12.21875" style="2" customWidth="1"/>
    <col min="10768" max="10768" width="10.21875" style="2" customWidth="1"/>
    <col min="10769" max="10769" width="9.21875" style="2" customWidth="1"/>
    <col min="10770" max="11008" width="8.77734375" style="2"/>
    <col min="11009" max="11009" width="4.21875" style="2" customWidth="1"/>
    <col min="11010" max="11010" width="2.5546875" style="2" customWidth="1"/>
    <col min="11011" max="11012" width="8.77734375" style="2"/>
    <col min="11013" max="11013" width="5.77734375" style="2" customWidth="1"/>
    <col min="11014" max="11014" width="8.77734375" style="2" customWidth="1"/>
    <col min="11015" max="11015" width="3.21875" style="2" customWidth="1"/>
    <col min="11016" max="11016" width="10.21875" style="2" customWidth="1"/>
    <col min="11017" max="11017" width="3.77734375" style="2" customWidth="1"/>
    <col min="11018" max="11018" width="8.21875" style="2" customWidth="1"/>
    <col min="11019" max="11019" width="6.21875" style="2" customWidth="1"/>
    <col min="11020" max="11020" width="5.5546875" style="2" customWidth="1"/>
    <col min="11021" max="11021" width="10.77734375" style="2" customWidth="1"/>
    <col min="11022" max="11022" width="8.21875" style="2" customWidth="1"/>
    <col min="11023" max="11023" width="12.21875" style="2" customWidth="1"/>
    <col min="11024" max="11024" width="10.21875" style="2" customWidth="1"/>
    <col min="11025" max="11025" width="9.21875" style="2" customWidth="1"/>
    <col min="11026" max="11264" width="8.77734375" style="2"/>
    <col min="11265" max="11265" width="4.21875" style="2" customWidth="1"/>
    <col min="11266" max="11266" width="2.5546875" style="2" customWidth="1"/>
    <col min="11267" max="11268" width="8.77734375" style="2"/>
    <col min="11269" max="11269" width="5.77734375" style="2" customWidth="1"/>
    <col min="11270" max="11270" width="8.77734375" style="2" customWidth="1"/>
    <col min="11271" max="11271" width="3.21875" style="2" customWidth="1"/>
    <col min="11272" max="11272" width="10.21875" style="2" customWidth="1"/>
    <col min="11273" max="11273" width="3.77734375" style="2" customWidth="1"/>
    <col min="11274" max="11274" width="8.21875" style="2" customWidth="1"/>
    <col min="11275" max="11275" width="6.21875" style="2" customWidth="1"/>
    <col min="11276" max="11276" width="5.5546875" style="2" customWidth="1"/>
    <col min="11277" max="11277" width="10.77734375" style="2" customWidth="1"/>
    <col min="11278" max="11278" width="8.21875" style="2" customWidth="1"/>
    <col min="11279" max="11279" width="12.21875" style="2" customWidth="1"/>
    <col min="11280" max="11280" width="10.21875" style="2" customWidth="1"/>
    <col min="11281" max="11281" width="9.21875" style="2" customWidth="1"/>
    <col min="11282" max="11520" width="8.77734375" style="2"/>
    <col min="11521" max="11521" width="4.21875" style="2" customWidth="1"/>
    <col min="11522" max="11522" width="2.5546875" style="2" customWidth="1"/>
    <col min="11523" max="11524" width="8.77734375" style="2"/>
    <col min="11525" max="11525" width="5.77734375" style="2" customWidth="1"/>
    <col min="11526" max="11526" width="8.77734375" style="2" customWidth="1"/>
    <col min="11527" max="11527" width="3.21875" style="2" customWidth="1"/>
    <col min="11528" max="11528" width="10.21875" style="2" customWidth="1"/>
    <col min="11529" max="11529" width="3.77734375" style="2" customWidth="1"/>
    <col min="11530" max="11530" width="8.21875" style="2" customWidth="1"/>
    <col min="11531" max="11531" width="6.21875" style="2" customWidth="1"/>
    <col min="11532" max="11532" width="5.5546875" style="2" customWidth="1"/>
    <col min="11533" max="11533" width="10.77734375" style="2" customWidth="1"/>
    <col min="11534" max="11534" width="8.21875" style="2" customWidth="1"/>
    <col min="11535" max="11535" width="12.21875" style="2" customWidth="1"/>
    <col min="11536" max="11536" width="10.21875" style="2" customWidth="1"/>
    <col min="11537" max="11537" width="9.21875" style="2" customWidth="1"/>
    <col min="11538" max="11776" width="8.77734375" style="2"/>
    <col min="11777" max="11777" width="4.21875" style="2" customWidth="1"/>
    <col min="11778" max="11778" width="2.5546875" style="2" customWidth="1"/>
    <col min="11779" max="11780" width="8.77734375" style="2"/>
    <col min="11781" max="11781" width="5.77734375" style="2" customWidth="1"/>
    <col min="11782" max="11782" width="8.77734375" style="2" customWidth="1"/>
    <col min="11783" max="11783" width="3.21875" style="2" customWidth="1"/>
    <col min="11784" max="11784" width="10.21875" style="2" customWidth="1"/>
    <col min="11785" max="11785" width="3.77734375" style="2" customWidth="1"/>
    <col min="11786" max="11786" width="8.21875" style="2" customWidth="1"/>
    <col min="11787" max="11787" width="6.21875" style="2" customWidth="1"/>
    <col min="11788" max="11788" width="5.5546875" style="2" customWidth="1"/>
    <col min="11789" max="11789" width="10.77734375" style="2" customWidth="1"/>
    <col min="11790" max="11790" width="8.21875" style="2" customWidth="1"/>
    <col min="11791" max="11791" width="12.21875" style="2" customWidth="1"/>
    <col min="11792" max="11792" width="10.21875" style="2" customWidth="1"/>
    <col min="11793" max="11793" width="9.21875" style="2" customWidth="1"/>
    <col min="11794" max="12032" width="8.77734375" style="2"/>
    <col min="12033" max="12033" width="4.21875" style="2" customWidth="1"/>
    <col min="12034" max="12034" width="2.5546875" style="2" customWidth="1"/>
    <col min="12035" max="12036" width="8.77734375" style="2"/>
    <col min="12037" max="12037" width="5.77734375" style="2" customWidth="1"/>
    <col min="12038" max="12038" width="8.77734375" style="2" customWidth="1"/>
    <col min="12039" max="12039" width="3.21875" style="2" customWidth="1"/>
    <col min="12040" max="12040" width="10.21875" style="2" customWidth="1"/>
    <col min="12041" max="12041" width="3.77734375" style="2" customWidth="1"/>
    <col min="12042" max="12042" width="8.21875" style="2" customWidth="1"/>
    <col min="12043" max="12043" width="6.21875" style="2" customWidth="1"/>
    <col min="12044" max="12044" width="5.5546875" style="2" customWidth="1"/>
    <col min="12045" max="12045" width="10.77734375" style="2" customWidth="1"/>
    <col min="12046" max="12046" width="8.21875" style="2" customWidth="1"/>
    <col min="12047" max="12047" width="12.21875" style="2" customWidth="1"/>
    <col min="12048" max="12048" width="10.21875" style="2" customWidth="1"/>
    <col min="12049" max="12049" width="9.21875" style="2" customWidth="1"/>
    <col min="12050" max="12288" width="8.77734375" style="2"/>
    <col min="12289" max="12289" width="4.21875" style="2" customWidth="1"/>
    <col min="12290" max="12290" width="2.5546875" style="2" customWidth="1"/>
    <col min="12291" max="12292" width="8.77734375" style="2"/>
    <col min="12293" max="12293" width="5.77734375" style="2" customWidth="1"/>
    <col min="12294" max="12294" width="8.77734375" style="2" customWidth="1"/>
    <col min="12295" max="12295" width="3.21875" style="2" customWidth="1"/>
    <col min="12296" max="12296" width="10.21875" style="2" customWidth="1"/>
    <col min="12297" max="12297" width="3.77734375" style="2" customWidth="1"/>
    <col min="12298" max="12298" width="8.21875" style="2" customWidth="1"/>
    <col min="12299" max="12299" width="6.21875" style="2" customWidth="1"/>
    <col min="12300" max="12300" width="5.5546875" style="2" customWidth="1"/>
    <col min="12301" max="12301" width="10.77734375" style="2" customWidth="1"/>
    <col min="12302" max="12302" width="8.21875" style="2" customWidth="1"/>
    <col min="12303" max="12303" width="12.21875" style="2" customWidth="1"/>
    <col min="12304" max="12304" width="10.21875" style="2" customWidth="1"/>
    <col min="12305" max="12305" width="9.21875" style="2" customWidth="1"/>
    <col min="12306" max="12544" width="8.77734375" style="2"/>
    <col min="12545" max="12545" width="4.21875" style="2" customWidth="1"/>
    <col min="12546" max="12546" width="2.5546875" style="2" customWidth="1"/>
    <col min="12547" max="12548" width="8.77734375" style="2"/>
    <col min="12549" max="12549" width="5.77734375" style="2" customWidth="1"/>
    <col min="12550" max="12550" width="8.77734375" style="2" customWidth="1"/>
    <col min="12551" max="12551" width="3.21875" style="2" customWidth="1"/>
    <col min="12552" max="12552" width="10.21875" style="2" customWidth="1"/>
    <col min="12553" max="12553" width="3.77734375" style="2" customWidth="1"/>
    <col min="12554" max="12554" width="8.21875" style="2" customWidth="1"/>
    <col min="12555" max="12555" width="6.21875" style="2" customWidth="1"/>
    <col min="12556" max="12556" width="5.5546875" style="2" customWidth="1"/>
    <col min="12557" max="12557" width="10.77734375" style="2" customWidth="1"/>
    <col min="12558" max="12558" width="8.21875" style="2" customWidth="1"/>
    <col min="12559" max="12559" width="12.21875" style="2" customWidth="1"/>
    <col min="12560" max="12560" width="10.21875" style="2" customWidth="1"/>
    <col min="12561" max="12561" width="9.21875" style="2" customWidth="1"/>
    <col min="12562" max="12800" width="8.77734375" style="2"/>
    <col min="12801" max="12801" width="4.21875" style="2" customWidth="1"/>
    <col min="12802" max="12802" width="2.5546875" style="2" customWidth="1"/>
    <col min="12803" max="12804" width="8.77734375" style="2"/>
    <col min="12805" max="12805" width="5.77734375" style="2" customWidth="1"/>
    <col min="12806" max="12806" width="8.77734375" style="2" customWidth="1"/>
    <col min="12807" max="12807" width="3.21875" style="2" customWidth="1"/>
    <col min="12808" max="12808" width="10.21875" style="2" customWidth="1"/>
    <col min="12809" max="12809" width="3.77734375" style="2" customWidth="1"/>
    <col min="12810" max="12810" width="8.21875" style="2" customWidth="1"/>
    <col min="12811" max="12811" width="6.21875" style="2" customWidth="1"/>
    <col min="12812" max="12812" width="5.5546875" style="2" customWidth="1"/>
    <col min="12813" max="12813" width="10.77734375" style="2" customWidth="1"/>
    <col min="12814" max="12814" width="8.21875" style="2" customWidth="1"/>
    <col min="12815" max="12815" width="12.21875" style="2" customWidth="1"/>
    <col min="12816" max="12816" width="10.21875" style="2" customWidth="1"/>
    <col min="12817" max="12817" width="9.21875" style="2" customWidth="1"/>
    <col min="12818" max="13056" width="8.77734375" style="2"/>
    <col min="13057" max="13057" width="4.21875" style="2" customWidth="1"/>
    <col min="13058" max="13058" width="2.5546875" style="2" customWidth="1"/>
    <col min="13059" max="13060" width="8.77734375" style="2"/>
    <col min="13061" max="13061" width="5.77734375" style="2" customWidth="1"/>
    <col min="13062" max="13062" width="8.77734375" style="2" customWidth="1"/>
    <col min="13063" max="13063" width="3.21875" style="2" customWidth="1"/>
    <col min="13064" max="13064" width="10.21875" style="2" customWidth="1"/>
    <col min="13065" max="13065" width="3.77734375" style="2" customWidth="1"/>
    <col min="13066" max="13066" width="8.21875" style="2" customWidth="1"/>
    <col min="13067" max="13067" width="6.21875" style="2" customWidth="1"/>
    <col min="13068" max="13068" width="5.5546875" style="2" customWidth="1"/>
    <col min="13069" max="13069" width="10.77734375" style="2" customWidth="1"/>
    <col min="13070" max="13070" width="8.21875" style="2" customWidth="1"/>
    <col min="13071" max="13071" width="12.21875" style="2" customWidth="1"/>
    <col min="13072" max="13072" width="10.21875" style="2" customWidth="1"/>
    <col min="13073" max="13073" width="9.21875" style="2" customWidth="1"/>
    <col min="13074" max="13312" width="8.77734375" style="2"/>
    <col min="13313" max="13313" width="4.21875" style="2" customWidth="1"/>
    <col min="13314" max="13314" width="2.5546875" style="2" customWidth="1"/>
    <col min="13315" max="13316" width="8.77734375" style="2"/>
    <col min="13317" max="13317" width="5.77734375" style="2" customWidth="1"/>
    <col min="13318" max="13318" width="8.77734375" style="2" customWidth="1"/>
    <col min="13319" max="13319" width="3.21875" style="2" customWidth="1"/>
    <col min="13320" max="13320" width="10.21875" style="2" customWidth="1"/>
    <col min="13321" max="13321" width="3.77734375" style="2" customWidth="1"/>
    <col min="13322" max="13322" width="8.21875" style="2" customWidth="1"/>
    <col min="13323" max="13323" width="6.21875" style="2" customWidth="1"/>
    <col min="13324" max="13324" width="5.5546875" style="2" customWidth="1"/>
    <col min="13325" max="13325" width="10.77734375" style="2" customWidth="1"/>
    <col min="13326" max="13326" width="8.21875" style="2" customWidth="1"/>
    <col min="13327" max="13327" width="12.21875" style="2" customWidth="1"/>
    <col min="13328" max="13328" width="10.21875" style="2" customWidth="1"/>
    <col min="13329" max="13329" width="9.21875" style="2" customWidth="1"/>
    <col min="13330" max="13568" width="8.77734375" style="2"/>
    <col min="13569" max="13569" width="4.21875" style="2" customWidth="1"/>
    <col min="13570" max="13570" width="2.5546875" style="2" customWidth="1"/>
    <col min="13571" max="13572" width="8.77734375" style="2"/>
    <col min="13573" max="13573" width="5.77734375" style="2" customWidth="1"/>
    <col min="13574" max="13574" width="8.77734375" style="2" customWidth="1"/>
    <col min="13575" max="13575" width="3.21875" style="2" customWidth="1"/>
    <col min="13576" max="13576" width="10.21875" style="2" customWidth="1"/>
    <col min="13577" max="13577" width="3.77734375" style="2" customWidth="1"/>
    <col min="13578" max="13578" width="8.21875" style="2" customWidth="1"/>
    <col min="13579" max="13579" width="6.21875" style="2" customWidth="1"/>
    <col min="13580" max="13580" width="5.5546875" style="2" customWidth="1"/>
    <col min="13581" max="13581" width="10.77734375" style="2" customWidth="1"/>
    <col min="13582" max="13582" width="8.21875" style="2" customWidth="1"/>
    <col min="13583" max="13583" width="12.21875" style="2" customWidth="1"/>
    <col min="13584" max="13584" width="10.21875" style="2" customWidth="1"/>
    <col min="13585" max="13585" width="9.21875" style="2" customWidth="1"/>
    <col min="13586" max="13824" width="8.77734375" style="2"/>
    <col min="13825" max="13825" width="4.21875" style="2" customWidth="1"/>
    <col min="13826" max="13826" width="2.5546875" style="2" customWidth="1"/>
    <col min="13827" max="13828" width="8.77734375" style="2"/>
    <col min="13829" max="13829" width="5.77734375" style="2" customWidth="1"/>
    <col min="13830" max="13830" width="8.77734375" style="2" customWidth="1"/>
    <col min="13831" max="13831" width="3.21875" style="2" customWidth="1"/>
    <col min="13832" max="13832" width="10.21875" style="2" customWidth="1"/>
    <col min="13833" max="13833" width="3.77734375" style="2" customWidth="1"/>
    <col min="13834" max="13834" width="8.21875" style="2" customWidth="1"/>
    <col min="13835" max="13835" width="6.21875" style="2" customWidth="1"/>
    <col min="13836" max="13836" width="5.5546875" style="2" customWidth="1"/>
    <col min="13837" max="13837" width="10.77734375" style="2" customWidth="1"/>
    <col min="13838" max="13838" width="8.21875" style="2" customWidth="1"/>
    <col min="13839" max="13839" width="12.21875" style="2" customWidth="1"/>
    <col min="13840" max="13840" width="10.21875" style="2" customWidth="1"/>
    <col min="13841" max="13841" width="9.21875" style="2" customWidth="1"/>
    <col min="13842" max="14080" width="8.77734375" style="2"/>
    <col min="14081" max="14081" width="4.21875" style="2" customWidth="1"/>
    <col min="14082" max="14082" width="2.5546875" style="2" customWidth="1"/>
    <col min="14083" max="14084" width="8.77734375" style="2"/>
    <col min="14085" max="14085" width="5.77734375" style="2" customWidth="1"/>
    <col min="14086" max="14086" width="8.77734375" style="2" customWidth="1"/>
    <col min="14087" max="14087" width="3.21875" style="2" customWidth="1"/>
    <col min="14088" max="14088" width="10.21875" style="2" customWidth="1"/>
    <col min="14089" max="14089" width="3.77734375" style="2" customWidth="1"/>
    <col min="14090" max="14090" width="8.21875" style="2" customWidth="1"/>
    <col min="14091" max="14091" width="6.21875" style="2" customWidth="1"/>
    <col min="14092" max="14092" width="5.5546875" style="2" customWidth="1"/>
    <col min="14093" max="14093" width="10.77734375" style="2" customWidth="1"/>
    <col min="14094" max="14094" width="8.21875" style="2" customWidth="1"/>
    <col min="14095" max="14095" width="12.21875" style="2" customWidth="1"/>
    <col min="14096" max="14096" width="10.21875" style="2" customWidth="1"/>
    <col min="14097" max="14097" width="9.21875" style="2" customWidth="1"/>
    <col min="14098" max="14336" width="8.77734375" style="2"/>
    <col min="14337" max="14337" width="4.21875" style="2" customWidth="1"/>
    <col min="14338" max="14338" width="2.5546875" style="2" customWidth="1"/>
    <col min="14339" max="14340" width="8.77734375" style="2"/>
    <col min="14341" max="14341" width="5.77734375" style="2" customWidth="1"/>
    <col min="14342" max="14342" width="8.77734375" style="2" customWidth="1"/>
    <col min="14343" max="14343" width="3.21875" style="2" customWidth="1"/>
    <col min="14344" max="14344" width="10.21875" style="2" customWidth="1"/>
    <col min="14345" max="14345" width="3.77734375" style="2" customWidth="1"/>
    <col min="14346" max="14346" width="8.21875" style="2" customWidth="1"/>
    <col min="14347" max="14347" width="6.21875" style="2" customWidth="1"/>
    <col min="14348" max="14348" width="5.5546875" style="2" customWidth="1"/>
    <col min="14349" max="14349" width="10.77734375" style="2" customWidth="1"/>
    <col min="14350" max="14350" width="8.21875" style="2" customWidth="1"/>
    <col min="14351" max="14351" width="12.21875" style="2" customWidth="1"/>
    <col min="14352" max="14352" width="10.21875" style="2" customWidth="1"/>
    <col min="14353" max="14353" width="9.21875" style="2" customWidth="1"/>
    <col min="14354" max="14592" width="8.77734375" style="2"/>
    <col min="14593" max="14593" width="4.21875" style="2" customWidth="1"/>
    <col min="14594" max="14594" width="2.5546875" style="2" customWidth="1"/>
    <col min="14595" max="14596" width="8.77734375" style="2"/>
    <col min="14597" max="14597" width="5.77734375" style="2" customWidth="1"/>
    <col min="14598" max="14598" width="8.77734375" style="2" customWidth="1"/>
    <col min="14599" max="14599" width="3.21875" style="2" customWidth="1"/>
    <col min="14600" max="14600" width="10.21875" style="2" customWidth="1"/>
    <col min="14601" max="14601" width="3.77734375" style="2" customWidth="1"/>
    <col min="14602" max="14602" width="8.21875" style="2" customWidth="1"/>
    <col min="14603" max="14603" width="6.21875" style="2" customWidth="1"/>
    <col min="14604" max="14604" width="5.5546875" style="2" customWidth="1"/>
    <col min="14605" max="14605" width="10.77734375" style="2" customWidth="1"/>
    <col min="14606" max="14606" width="8.21875" style="2" customWidth="1"/>
    <col min="14607" max="14607" width="12.21875" style="2" customWidth="1"/>
    <col min="14608" max="14608" width="10.21875" style="2" customWidth="1"/>
    <col min="14609" max="14609" width="9.21875" style="2" customWidth="1"/>
    <col min="14610" max="14848" width="8.77734375" style="2"/>
    <col min="14849" max="14849" width="4.21875" style="2" customWidth="1"/>
    <col min="14850" max="14850" width="2.5546875" style="2" customWidth="1"/>
    <col min="14851" max="14852" width="8.77734375" style="2"/>
    <col min="14853" max="14853" width="5.77734375" style="2" customWidth="1"/>
    <col min="14854" max="14854" width="8.77734375" style="2" customWidth="1"/>
    <col min="14855" max="14855" width="3.21875" style="2" customWidth="1"/>
    <col min="14856" max="14856" width="10.21875" style="2" customWidth="1"/>
    <col min="14857" max="14857" width="3.77734375" style="2" customWidth="1"/>
    <col min="14858" max="14858" width="8.21875" style="2" customWidth="1"/>
    <col min="14859" max="14859" width="6.21875" style="2" customWidth="1"/>
    <col min="14860" max="14860" width="5.5546875" style="2" customWidth="1"/>
    <col min="14861" max="14861" width="10.77734375" style="2" customWidth="1"/>
    <col min="14862" max="14862" width="8.21875" style="2" customWidth="1"/>
    <col min="14863" max="14863" width="12.21875" style="2" customWidth="1"/>
    <col min="14864" max="14864" width="10.21875" style="2" customWidth="1"/>
    <col min="14865" max="14865" width="9.21875" style="2" customWidth="1"/>
    <col min="14866" max="15104" width="8.77734375" style="2"/>
    <col min="15105" max="15105" width="4.21875" style="2" customWidth="1"/>
    <col min="15106" max="15106" width="2.5546875" style="2" customWidth="1"/>
    <col min="15107" max="15108" width="8.77734375" style="2"/>
    <col min="15109" max="15109" width="5.77734375" style="2" customWidth="1"/>
    <col min="15110" max="15110" width="8.77734375" style="2" customWidth="1"/>
    <col min="15111" max="15111" width="3.21875" style="2" customWidth="1"/>
    <col min="15112" max="15112" width="10.21875" style="2" customWidth="1"/>
    <col min="15113" max="15113" width="3.77734375" style="2" customWidth="1"/>
    <col min="15114" max="15114" width="8.21875" style="2" customWidth="1"/>
    <col min="15115" max="15115" width="6.21875" style="2" customWidth="1"/>
    <col min="15116" max="15116" width="5.5546875" style="2" customWidth="1"/>
    <col min="15117" max="15117" width="10.77734375" style="2" customWidth="1"/>
    <col min="15118" max="15118" width="8.21875" style="2" customWidth="1"/>
    <col min="15119" max="15119" width="12.21875" style="2" customWidth="1"/>
    <col min="15120" max="15120" width="10.21875" style="2" customWidth="1"/>
    <col min="15121" max="15121" width="9.21875" style="2" customWidth="1"/>
    <col min="15122" max="15360" width="8.77734375" style="2"/>
    <col min="15361" max="15361" width="4.21875" style="2" customWidth="1"/>
    <col min="15362" max="15362" width="2.5546875" style="2" customWidth="1"/>
    <col min="15363" max="15364" width="8.77734375" style="2"/>
    <col min="15365" max="15365" width="5.77734375" style="2" customWidth="1"/>
    <col min="15366" max="15366" width="8.77734375" style="2" customWidth="1"/>
    <col min="15367" max="15367" width="3.21875" style="2" customWidth="1"/>
    <col min="15368" max="15368" width="10.21875" style="2" customWidth="1"/>
    <col min="15369" max="15369" width="3.77734375" style="2" customWidth="1"/>
    <col min="15370" max="15370" width="8.21875" style="2" customWidth="1"/>
    <col min="15371" max="15371" width="6.21875" style="2" customWidth="1"/>
    <col min="15372" max="15372" width="5.5546875" style="2" customWidth="1"/>
    <col min="15373" max="15373" width="10.77734375" style="2" customWidth="1"/>
    <col min="15374" max="15374" width="8.21875" style="2" customWidth="1"/>
    <col min="15375" max="15375" width="12.21875" style="2" customWidth="1"/>
    <col min="15376" max="15376" width="10.21875" style="2" customWidth="1"/>
    <col min="15377" max="15377" width="9.21875" style="2" customWidth="1"/>
    <col min="15378" max="15616" width="8.77734375" style="2"/>
    <col min="15617" max="15617" width="4.21875" style="2" customWidth="1"/>
    <col min="15618" max="15618" width="2.5546875" style="2" customWidth="1"/>
    <col min="15619" max="15620" width="8.77734375" style="2"/>
    <col min="15621" max="15621" width="5.77734375" style="2" customWidth="1"/>
    <col min="15622" max="15622" width="8.77734375" style="2" customWidth="1"/>
    <col min="15623" max="15623" width="3.21875" style="2" customWidth="1"/>
    <col min="15624" max="15624" width="10.21875" style="2" customWidth="1"/>
    <col min="15625" max="15625" width="3.77734375" style="2" customWidth="1"/>
    <col min="15626" max="15626" width="8.21875" style="2" customWidth="1"/>
    <col min="15627" max="15627" width="6.21875" style="2" customWidth="1"/>
    <col min="15628" max="15628" width="5.5546875" style="2" customWidth="1"/>
    <col min="15629" max="15629" width="10.77734375" style="2" customWidth="1"/>
    <col min="15630" max="15630" width="8.21875" style="2" customWidth="1"/>
    <col min="15631" max="15631" width="12.21875" style="2" customWidth="1"/>
    <col min="15632" max="15632" width="10.21875" style="2" customWidth="1"/>
    <col min="15633" max="15633" width="9.21875" style="2" customWidth="1"/>
    <col min="15634" max="15872" width="8.77734375" style="2"/>
    <col min="15873" max="15873" width="4.21875" style="2" customWidth="1"/>
    <col min="15874" max="15874" width="2.5546875" style="2" customWidth="1"/>
    <col min="15875" max="15876" width="8.77734375" style="2"/>
    <col min="15877" max="15877" width="5.77734375" style="2" customWidth="1"/>
    <col min="15878" max="15878" width="8.77734375" style="2" customWidth="1"/>
    <col min="15879" max="15879" width="3.21875" style="2" customWidth="1"/>
    <col min="15880" max="15880" width="10.21875" style="2" customWidth="1"/>
    <col min="15881" max="15881" width="3.77734375" style="2" customWidth="1"/>
    <col min="15882" max="15882" width="8.21875" style="2" customWidth="1"/>
    <col min="15883" max="15883" width="6.21875" style="2" customWidth="1"/>
    <col min="15884" max="15884" width="5.5546875" style="2" customWidth="1"/>
    <col min="15885" max="15885" width="10.77734375" style="2" customWidth="1"/>
    <col min="15886" max="15886" width="8.21875" style="2" customWidth="1"/>
    <col min="15887" max="15887" width="12.21875" style="2" customWidth="1"/>
    <col min="15888" max="15888" width="10.21875" style="2" customWidth="1"/>
    <col min="15889" max="15889" width="9.21875" style="2" customWidth="1"/>
    <col min="15890" max="16128" width="8.77734375" style="2"/>
    <col min="16129" max="16129" width="4.21875" style="2" customWidth="1"/>
    <col min="16130" max="16130" width="2.5546875" style="2" customWidth="1"/>
    <col min="16131" max="16132" width="8.77734375" style="2"/>
    <col min="16133" max="16133" width="5.77734375" style="2" customWidth="1"/>
    <col min="16134" max="16134" width="8.77734375" style="2" customWidth="1"/>
    <col min="16135" max="16135" width="3.21875" style="2" customWidth="1"/>
    <col min="16136" max="16136" width="10.21875" style="2" customWidth="1"/>
    <col min="16137" max="16137" width="3.77734375" style="2" customWidth="1"/>
    <col min="16138" max="16138" width="8.21875" style="2" customWidth="1"/>
    <col min="16139" max="16139" width="6.21875" style="2" customWidth="1"/>
    <col min="16140" max="16140" width="5.5546875" style="2" customWidth="1"/>
    <col min="16141" max="16141" width="10.77734375" style="2" customWidth="1"/>
    <col min="16142" max="16142" width="8.21875" style="2" customWidth="1"/>
    <col min="16143" max="16143" width="12.21875" style="2" customWidth="1"/>
    <col min="16144" max="16144" width="10.21875" style="2" customWidth="1"/>
    <col min="16145" max="16145" width="9.21875" style="2" customWidth="1"/>
    <col min="16146" max="16384" width="8.77734375" style="2"/>
  </cols>
  <sheetData>
    <row r="1" spans="1:17" ht="14.25" customHeight="1">
      <c r="P1" s="31"/>
    </row>
    <row r="2" spans="1:17" ht="15.6">
      <c r="A2" s="1220" t="s">
        <v>20</v>
      </c>
      <c r="B2" s="1220"/>
      <c r="C2" s="1220"/>
      <c r="D2" s="1220"/>
      <c r="E2" s="1220"/>
      <c r="F2" s="1220"/>
      <c r="G2" s="1220"/>
      <c r="H2" s="1220"/>
      <c r="I2" s="1220"/>
      <c r="J2" s="1220"/>
      <c r="K2" s="1220"/>
      <c r="L2" s="1220"/>
      <c r="M2" s="1220"/>
      <c r="N2" s="1220"/>
      <c r="O2" s="1220"/>
    </row>
    <row r="3" spans="1:17" ht="15.6">
      <c r="A3" s="1220" t="s">
        <v>21</v>
      </c>
      <c r="B3" s="1220"/>
      <c r="C3" s="1220"/>
      <c r="D3" s="1220"/>
      <c r="E3" s="1220"/>
      <c r="F3" s="1220"/>
      <c r="G3" s="1220"/>
      <c r="H3" s="1220"/>
      <c r="I3" s="1220"/>
      <c r="J3" s="1220"/>
      <c r="K3" s="1220"/>
      <c r="L3" s="1220"/>
      <c r="M3" s="1220"/>
      <c r="N3" s="1220"/>
      <c r="O3" s="1220"/>
    </row>
    <row r="4" spans="1:17" ht="7.5" customHeight="1"/>
    <row r="5" spans="1:17" ht="31.5" customHeight="1">
      <c r="A5" s="33" t="s">
        <v>22</v>
      </c>
      <c r="F5" s="34" t="s">
        <v>23</v>
      </c>
      <c r="H5" s="35" t="s">
        <v>24</v>
      </c>
      <c r="I5" s="36"/>
      <c r="J5" s="1221" t="s">
        <v>25</v>
      </c>
      <c r="K5" s="1217"/>
      <c r="M5" s="3" t="s">
        <v>26</v>
      </c>
      <c r="O5" s="37" t="s">
        <v>27</v>
      </c>
    </row>
    <row r="6" spans="1:17" ht="6.75" customHeight="1"/>
    <row r="7" spans="1:17" ht="15">
      <c r="B7" s="5" t="s">
        <v>6</v>
      </c>
      <c r="F7" s="38">
        <f>IF('Input (7)'!$E$4=0,"0",'Input (7)'!$E$4)</f>
        <v>19</v>
      </c>
      <c r="G7" s="39"/>
      <c r="J7" s="1222">
        <f>IF('Input (7)'!$E$4=0,"0",'Input (7)'!$E$4)</f>
        <v>19</v>
      </c>
      <c r="K7" s="1222"/>
      <c r="L7" s="40" t="s">
        <v>28</v>
      </c>
      <c r="M7" s="41">
        <f>IF('Input (7)'!E4=0,0,LOOKUP(J7,'criteria (7)'!$A$3:$A$10,'criteria (7)'!$B$3:$B$10))</f>
        <v>40</v>
      </c>
      <c r="N7" s="42" t="s">
        <v>29</v>
      </c>
      <c r="O7" s="38">
        <f>IF(Q7=0,0,IF(Q7&lt;LOOKUP(J7,'criteria (7)'!$A$3:$A$10,'criteria (7)'!$C$3:$C$10),LOOKUP(J7,'criteria (7)'!$A$3:$A$10,'criteria (7)'!$C$3:$C$10),IF(LOOKUP(J7,'criteria (7)'!$A$3:$A$10,'criteria (7)'!$C$3:$C$10)=0,0,Q7)))</f>
        <v>0.6</v>
      </c>
      <c r="P7" s="28" t="str">
        <f>IF('Input (7)'!E4=0," ",IF(O7=0,"ADD to 1-6",IF(O7=Q7," ","Minimum")))</f>
        <v>Minimum</v>
      </c>
      <c r="Q7" s="32">
        <f>ROUND(IF('Input (7)'!E4=0,0,IF(M7=0,0,(J7/M7))),2)</f>
        <v>0.48</v>
      </c>
    </row>
    <row r="8" spans="1:17" ht="6.75" customHeight="1">
      <c r="J8" s="43"/>
      <c r="K8" s="43"/>
      <c r="O8" s="43"/>
    </row>
    <row r="9" spans="1:17">
      <c r="B9" s="5" t="s">
        <v>7</v>
      </c>
      <c r="J9" s="43"/>
      <c r="K9" s="43"/>
      <c r="O9" s="43"/>
    </row>
    <row r="10" spans="1:17">
      <c r="B10" s="28" t="s">
        <v>30</v>
      </c>
      <c r="J10" s="43"/>
      <c r="K10" s="43"/>
      <c r="O10" s="43"/>
    </row>
    <row r="11" spans="1:17" ht="16.5" customHeight="1">
      <c r="C11" s="12" t="s">
        <v>8</v>
      </c>
      <c r="F11" s="41" t="str">
        <f>IF(J11=0," ",IF($J$16&gt;300," ",'Input (7)'!E7))</f>
        <v xml:space="preserve"> </v>
      </c>
      <c r="G11" s="44" t="s">
        <v>31</v>
      </c>
      <c r="H11" s="38" t="str">
        <f>IF(J11=0," ",'C (7)'!H25)</f>
        <v xml:space="preserve"> </v>
      </c>
      <c r="I11" s="42" t="s">
        <v>29</v>
      </c>
      <c r="J11" s="1222">
        <f>IF('Input (7)'!E7=0,0,IF(SUM('Input (7)'!E7-'C (7)'!H25)+SUM('Input (7)'!E8-'C (7)'!H26)&gt;299.99,SUM('Input (7)'!E7-'C (7)'!H25),0))</f>
        <v>0</v>
      </c>
      <c r="K11" s="1222"/>
      <c r="L11" s="40" t="s">
        <v>28</v>
      </c>
      <c r="M11" s="41">
        <f>IF(SUM('Input (7)'!$E$7-'C (7)'!$H$25)+SUM('Input (7)'!$E$8-'C (7)'!$H$26)&gt;299.99,20,0)</f>
        <v>0</v>
      </c>
      <c r="N11" s="42" t="s">
        <v>29</v>
      </c>
      <c r="O11" s="38">
        <f>ROUND(IF(SUM('Input (7)'!$E$7-'C (7)'!$H$25)+SUM('Input (7)'!$E$8-'C (7)'!$H$26)&lt;299.99,0,IF(Q11+Q13&lt;15,0,(J11/M11))),2)</f>
        <v>0</v>
      </c>
      <c r="P11" s="2" t="str">
        <f>IF(O11=0," ",IF(O11=Q11," ","Minimum"))</f>
        <v xml:space="preserve"> </v>
      </c>
      <c r="Q11" s="32">
        <f>ROUND(IF(SUM('Input (7)'!$E$7-'C (7)'!$H$25)+SUM('Input (7)'!$E$8-'C (7)'!$H$26)&lt;299.99,0,(J11/M11)),2)</f>
        <v>0</v>
      </c>
    </row>
    <row r="12" spans="1:17" ht="9" customHeight="1">
      <c r="B12" s="12"/>
      <c r="J12" s="43"/>
      <c r="K12" s="43"/>
      <c r="O12" s="43"/>
    </row>
    <row r="13" spans="1:17" ht="15">
      <c r="C13" s="12" t="s">
        <v>9</v>
      </c>
      <c r="F13" s="41" t="str">
        <f>IF(J13=0," ",IF($J$16&gt;300," ",'Input (7)'!E8))</f>
        <v xml:space="preserve"> </v>
      </c>
      <c r="G13" s="44" t="s">
        <v>31</v>
      </c>
      <c r="H13" s="38" t="str">
        <f>IF(J13=0," ",'C (7)'!H26)</f>
        <v xml:space="preserve"> </v>
      </c>
      <c r="I13" s="42" t="s">
        <v>29</v>
      </c>
      <c r="J13" s="1222">
        <f>IF('Input (7)'!E8=0,0,IF(SUM('Input (7)'!E7-'C (7)'!H25)+SUM('Input (7)'!E8-'C (7)'!H26)&gt;299.99,SUM('Input (7)'!E8-'C (7)'!H26),0))</f>
        <v>0</v>
      </c>
      <c r="K13" s="1222"/>
      <c r="L13" s="40" t="s">
        <v>28</v>
      </c>
      <c r="M13" s="41">
        <f>IF(SUM('Input (7)'!$E$7-'C (7)'!$H$25)+SUM('Input (7)'!$E$8-'C (7)'!$H$26)&gt;299.99,23,0)</f>
        <v>0</v>
      </c>
      <c r="N13" s="42" t="s">
        <v>29</v>
      </c>
      <c r="O13" s="38">
        <f>ROUND(IF(SUM('Input (7)'!$E$7-'C (7)'!$H$25)+SUM('Input (7)'!$E$8-'C (7)'!$H$26)&lt;299.99,0,IF(Q11+Q13&lt;15,0,($J$13/$M$13))),2)</f>
        <v>0</v>
      </c>
      <c r="P13" s="2" t="str">
        <f>IF(O13=0," ",IF(O13=Q13," ","Minimum"))</f>
        <v xml:space="preserve"> </v>
      </c>
      <c r="Q13" s="32">
        <f>ROUND(IF(SUM('Input (7)'!$E$7-'C (7)'!$H$25)+SUM('Input (7)'!$E$8-'C (7)'!$H$26)&lt;299.99,0,($J$13/$M$13)),2)</f>
        <v>0</v>
      </c>
    </row>
    <row r="14" spans="1:17" ht="17.25" customHeight="1">
      <c r="B14" s="5" t="s">
        <v>7</v>
      </c>
      <c r="F14" s="36"/>
      <c r="G14" s="44"/>
      <c r="H14" s="39"/>
      <c r="I14" s="42"/>
      <c r="J14" s="39"/>
      <c r="K14" s="39"/>
      <c r="M14" s="36"/>
      <c r="N14" s="42"/>
      <c r="O14" s="39"/>
    </row>
    <row r="15" spans="1:17">
      <c r="B15" s="28" t="s">
        <v>32</v>
      </c>
      <c r="O15" s="39" t="str">
        <f>IF(P15="Minimum",15," ")</f>
        <v xml:space="preserve"> </v>
      </c>
      <c r="P15" s="2" t="str">
        <f>IF(Q11+Q13=0," ",IF(Q11+Q13&lt;15,"Minimum"," "))</f>
        <v xml:space="preserve"> </v>
      </c>
    </row>
    <row r="16" spans="1:17" ht="15">
      <c r="C16" s="12" t="s">
        <v>33</v>
      </c>
      <c r="F16" s="41">
        <f>IF(J16=0," ",IF(J16&lt;300,SUM('Input (7)'!E7+'Input (7)'!E8)," "))</f>
        <v>101.65</v>
      </c>
      <c r="G16" s="44" t="s">
        <v>31</v>
      </c>
      <c r="H16" s="38">
        <f>IF(J16=0," ",'C (7)'!H22)</f>
        <v>7.62</v>
      </c>
      <c r="I16" s="42" t="s">
        <v>29</v>
      </c>
      <c r="J16" s="1222">
        <f>IF('Input (7)'!E9=0,0,IF(SUM('Input (7)'!E7-'C (7)'!H25)+SUM('Input (7)'!E8-'C (7)'!H26)&lt;300,IF(P7="ADD to 1-6",SUM('Input (7)'!E7-'C (7)'!H25)+SUM('Input (7)'!E8-'C (7)'!H26)+'Input (7)'!E4,SUM('Input (7)'!E7-'C (7)'!H25)+SUM('Input (7)'!E8-'C (7)'!H26)),0))</f>
        <v>94.03</v>
      </c>
      <c r="K16" s="1222"/>
      <c r="L16" s="40" t="s">
        <v>28</v>
      </c>
      <c r="M16" s="41">
        <f>IF(J16=0,0,LOOKUP(J16,'criteria (7)'!$M$3:$M$11,'criteria (7)'!$N$3:$N$11))</f>
        <v>16</v>
      </c>
      <c r="N16" s="42" t="s">
        <v>29</v>
      </c>
      <c r="O16" s="38">
        <f>IF(Q16=0,0,IF(Q16&lt;LOOKUP(J16,'criteria (7)'!$M$3:$M$10,'criteria (7)'!$O$3:$O$10),LOOKUP(J16,'criteria (7)'!$M$3:$M$10,'criteria (7)'!$O$3:$O$10),Q16))</f>
        <v>5.88</v>
      </c>
      <c r="P16" s="2" t="str">
        <f>IF(O16=0," ",IF(O16=Q16," ","Minimum"))</f>
        <v xml:space="preserve"> </v>
      </c>
      <c r="Q16" s="32">
        <f>ROUND(IF('Input (7)'!E9=0,0,IF(SUM('Input (7)'!$E$7-'C (7)'!$H$25)+SUM('Input (7)'!$E$8-'C (7)'!$H$26)&gt;299.99,0,(J16/M16))),2)</f>
        <v>5.88</v>
      </c>
    </row>
    <row r="17" spans="1:17" ht="6" customHeight="1">
      <c r="J17" s="43"/>
      <c r="K17" s="43"/>
      <c r="O17" s="43"/>
    </row>
    <row r="18" spans="1:17" ht="15">
      <c r="B18" s="5" t="s">
        <v>10</v>
      </c>
      <c r="F18" s="41">
        <f>IF(J18=0," ",'Input (7)'!E10)</f>
        <v>126.35</v>
      </c>
      <c r="G18" s="44" t="s">
        <v>31</v>
      </c>
      <c r="H18" s="38">
        <f>IF('C (7)'!$H$43=0," ",'C (7)'!$H$43)</f>
        <v>7.32</v>
      </c>
      <c r="I18" s="42" t="s">
        <v>29</v>
      </c>
      <c r="J18" s="1222">
        <f>IF('Input (7)'!E10=0,0,SUM('Input (7)'!E10-'C (7)'!H43))</f>
        <v>119.03</v>
      </c>
      <c r="K18" s="1222"/>
      <c r="L18" s="40" t="s">
        <v>28</v>
      </c>
      <c r="M18" s="41">
        <f>IF('Input (7)'!C10=0,0,IF(J18&gt;99.99,LOOKUP(J18,'criteria (7)'!Q3:Q10,'criteria (7)'!R3:R10),12))</f>
        <v>12</v>
      </c>
      <c r="N18" s="42" t="s">
        <v>29</v>
      </c>
      <c r="O18" s="38">
        <f>ROUND(IF(J18=0,0,IF(J18&lt;99.99,IF(M18=0,8,(J18/M18)),IF(Q18&lt;LOOKUP(J18,'criteria (7)'!$Q$3:$Q$10,'criteria (7)'!$S$3:$S$10),LOOKUP(J18,'criteria (7)'!$Q$3:$Q$10,'criteria (7)'!$S$3:$S$10),Q18))),2)</f>
        <v>9.92</v>
      </c>
      <c r="P18" s="2" t="str">
        <f>IF(O18=0," ",IF(O18=Q18," ","Minimum"))</f>
        <v xml:space="preserve"> </v>
      </c>
      <c r="Q18" s="32">
        <f>ROUND(IF(M18=0,0,(J18/M18)),2)</f>
        <v>9.92</v>
      </c>
    </row>
    <row r="19" spans="1:17" ht="9" customHeight="1">
      <c r="B19" s="5"/>
      <c r="F19" s="36"/>
      <c r="G19" s="44"/>
      <c r="H19" s="39"/>
      <c r="I19" s="42"/>
      <c r="J19" s="39"/>
      <c r="K19" s="39"/>
      <c r="M19" s="36"/>
      <c r="N19" s="42"/>
      <c r="O19" s="36"/>
    </row>
    <row r="20" spans="1:17" ht="15">
      <c r="A20" s="45" t="s">
        <v>34</v>
      </c>
      <c r="J20" s="43"/>
      <c r="K20" s="43"/>
    </row>
    <row r="21" spans="1:17" ht="3.75" customHeight="1">
      <c r="J21" s="43"/>
      <c r="K21" s="43"/>
    </row>
    <row r="22" spans="1:17">
      <c r="B22" s="2" t="s">
        <v>35</v>
      </c>
      <c r="J22" s="1222" t="str">
        <f>IF('C (7)'!H55=0," ",'C (7)'!H55)</f>
        <v xml:space="preserve"> </v>
      </c>
      <c r="K22" s="1222"/>
    </row>
    <row r="23" spans="1:17" ht="9" customHeight="1">
      <c r="J23" s="43"/>
      <c r="K23" s="43"/>
    </row>
    <row r="24" spans="1:17">
      <c r="B24" s="2" t="s">
        <v>36</v>
      </c>
      <c r="J24" s="1222">
        <f>IF('C (7)'!H22=0," ",'C (7)'!H22)</f>
        <v>7.62</v>
      </c>
      <c r="K24" s="1222"/>
    </row>
    <row r="25" spans="1:17" ht="9" customHeight="1">
      <c r="J25" s="43"/>
      <c r="K25" s="43"/>
    </row>
    <row r="26" spans="1:17">
      <c r="B26" s="2" t="s">
        <v>37</v>
      </c>
      <c r="J26" s="1222">
        <f>IF('C (7)'!$H$43=0," ",'C (7)'!$H$43)</f>
        <v>7.32</v>
      </c>
      <c r="K26" s="1222"/>
    </row>
    <row r="27" spans="1:17" ht="8.25" customHeight="1">
      <c r="J27" s="43"/>
      <c r="K27" s="43"/>
    </row>
    <row r="28" spans="1:17" ht="6" customHeight="1">
      <c r="J28" s="39"/>
      <c r="K28" s="39"/>
    </row>
    <row r="29" spans="1:17" ht="15.6" thickBot="1">
      <c r="B29" s="46" t="s">
        <v>38</v>
      </c>
      <c r="J29" s="1219">
        <f>SUM(J22:K27)</f>
        <v>14.940000000000001</v>
      </c>
      <c r="K29" s="1219"/>
      <c r="L29" s="40" t="s">
        <v>28</v>
      </c>
      <c r="M29" s="41">
        <f>IF(SUM('Input (7)'!C4:C10)=0,0,IF(J29&gt;=14,LOOKUP(J29,'criteria (7)'!$U$3:$U$10,'criteria (7)'!$V$3:$V$10),0))</f>
        <v>14.5</v>
      </c>
      <c r="N29" s="42" t="s">
        <v>29</v>
      </c>
      <c r="O29" s="38">
        <f>IF(J29=0,0,IF(Q29&lt;LOOKUP(J29,'criteria (7)'!$U$3:$U$10,'criteria (7)'!$W$3:$W$10),LOOKUP(J29,'criteria (7)'!$U$3:$U$10,'criteria (7)'!$W$3:$W$10),Q29))</f>
        <v>1.03</v>
      </c>
      <c r="P29" s="2" t="str">
        <f>IF(O29=0," ",IF(O29=Q29," ","Minimum"))</f>
        <v xml:space="preserve"> </v>
      </c>
      <c r="Q29" s="32">
        <f>ROUND(IF(SUM('Input (7)'!C4:C10)=0,0,IF(M29=0,0,(J29/M29))),2)</f>
        <v>1.03</v>
      </c>
    </row>
    <row r="30" spans="1:17" ht="21" customHeight="1" thickTop="1">
      <c r="B30" s="47"/>
      <c r="C30" s="47"/>
      <c r="D30" s="47"/>
      <c r="E30" s="47"/>
      <c r="F30" s="47"/>
      <c r="G30" s="47"/>
      <c r="H30" s="47"/>
      <c r="J30" s="12"/>
      <c r="N30" s="42"/>
      <c r="O30" s="36"/>
      <c r="P30" s="46"/>
    </row>
    <row r="31" spans="1:17" ht="19.5" customHeight="1">
      <c r="A31" s="48" t="s">
        <v>39</v>
      </c>
    </row>
    <row r="32" spans="1:17" ht="15">
      <c r="B32" s="1223" t="str">
        <f>IF('Input (7)'!E14=0," ","Alternative Secondary High School")</f>
        <v xml:space="preserve"> </v>
      </c>
      <c r="C32" s="1223"/>
      <c r="D32" s="1223"/>
      <c r="E32" s="1223"/>
      <c r="F32" s="1223"/>
      <c r="G32" s="1223"/>
      <c r="J32" s="1222">
        <f>'Input (7)'!E14</f>
        <v>0</v>
      </c>
      <c r="K32" s="1222"/>
      <c r="L32" s="40" t="s">
        <v>28</v>
      </c>
      <c r="M32" s="41">
        <f>IF(J32=0,0,IF(Q32&lt;1,M18,12))</f>
        <v>0</v>
      </c>
      <c r="N32" s="42" t="s">
        <v>29</v>
      </c>
      <c r="O32" s="38">
        <f>ROUND(IF(J32=0,0,J32/M32),2)</f>
        <v>0</v>
      </c>
      <c r="P32" s="45"/>
      <c r="Q32" s="32">
        <f>ROUND(IF(J32=0,0,J32/12),2)</f>
        <v>0</v>
      </c>
    </row>
    <row r="33" spans="1:17" ht="11.25" customHeight="1">
      <c r="J33" s="43"/>
      <c r="K33" s="43"/>
      <c r="O33" s="43"/>
    </row>
    <row r="34" spans="1:17" ht="11.25" customHeight="1">
      <c r="B34" s="1223" t="str">
        <f>IF('Input (7)'!E15=0," ","Summer Alternative Secondary High School")</f>
        <v xml:space="preserve"> </v>
      </c>
      <c r="C34" s="1223"/>
      <c r="D34" s="1223"/>
      <c r="E34" s="1223"/>
      <c r="F34" s="1223"/>
      <c r="G34" s="1223"/>
      <c r="J34" s="1222">
        <f>'Input (7)'!E15</f>
        <v>0</v>
      </c>
      <c r="K34" s="1222"/>
      <c r="L34" s="40" t="s">
        <v>28</v>
      </c>
      <c r="M34" s="41">
        <f>IF(J34=0,0,40)</f>
        <v>0</v>
      </c>
      <c r="N34" s="42" t="s">
        <v>29</v>
      </c>
      <c r="O34" s="38">
        <f>ROUND(IF(J34=0,0,J34/M34),2)</f>
        <v>0</v>
      </c>
      <c r="P34" s="45"/>
      <c r="Q34" s="32">
        <f>ROUND(IF(J34=0,0,J34/12),2)</f>
        <v>0</v>
      </c>
    </row>
    <row r="35" spans="1:17" ht="13.5" customHeight="1">
      <c r="J35" s="36"/>
      <c r="K35" s="36"/>
      <c r="L35" s="40"/>
      <c r="M35" s="36"/>
      <c r="N35" s="42"/>
      <c r="O35" s="36"/>
      <c r="P35" s="46"/>
    </row>
    <row r="36" spans="1:17" ht="18.75" customHeight="1" thickBot="1">
      <c r="A36" s="45"/>
      <c r="B36" s="12" t="s">
        <v>40</v>
      </c>
      <c r="C36" s="46"/>
      <c r="D36" s="46"/>
      <c r="E36" s="46"/>
      <c r="F36" s="46"/>
      <c r="G36" s="46"/>
      <c r="H36" s="46"/>
      <c r="I36" s="46"/>
      <c r="J36" s="46"/>
      <c r="K36" s="46"/>
      <c r="M36" s="36" t="s">
        <v>29</v>
      </c>
      <c r="N36" s="1224">
        <f>ROUND(IF(SUM(O7:O34)=0,0,SUM(O7:O34)),2)</f>
        <v>17.43</v>
      </c>
      <c r="O36" s="1224"/>
    </row>
    <row r="37" spans="1:17" ht="13.8" thickTop="1"/>
  </sheetData>
  <sheetProtection password="CC16" sheet="1" objects="1" scenarios="1"/>
  <mergeCells count="17">
    <mergeCell ref="B32:G32"/>
    <mergeCell ref="J32:K32"/>
    <mergeCell ref="B34:G34"/>
    <mergeCell ref="J34:K34"/>
    <mergeCell ref="N36:O36"/>
    <mergeCell ref="J29:K29"/>
    <mergeCell ref="A2:O2"/>
    <mergeCell ref="A3:O3"/>
    <mergeCell ref="J5:K5"/>
    <mergeCell ref="J7:K7"/>
    <mergeCell ref="J11:K11"/>
    <mergeCell ref="J13:K13"/>
    <mergeCell ref="J16:K16"/>
    <mergeCell ref="J18:K18"/>
    <mergeCell ref="J22:K22"/>
    <mergeCell ref="J24:K24"/>
    <mergeCell ref="J26:K26"/>
  </mergeCells>
  <pageMargins left="0.5" right="0.5" top="0.5" bottom="0.5" header="0.25" footer="0.25"/>
  <pageSetup scale="81" orientation="portrait" r:id="rId1"/>
  <headerFooter alignWithMargins="0">
    <oddFooter>&amp;L&amp;F</oddFooter>
  </headerFooter>
  <colBreaks count="1" manualBreakCount="1">
    <brk id="16"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0"/>
  <dimension ref="A1:R37"/>
  <sheetViews>
    <sheetView showGridLines="0" zoomScale="90" zoomScaleNormal="100" workbookViewId="0">
      <selection activeCell="C4" sqref="C4"/>
    </sheetView>
  </sheetViews>
  <sheetFormatPr defaultRowHeight="13.2"/>
  <cols>
    <col min="1" max="1" width="4.21875" style="30" customWidth="1"/>
    <col min="2" max="2" width="2.5546875" style="2" customWidth="1"/>
    <col min="3" max="6" width="8.77734375" style="2"/>
    <col min="7" max="7" width="4.5546875" style="2" customWidth="1"/>
    <col min="8" max="8" width="10.21875" style="2" customWidth="1"/>
    <col min="9" max="9" width="3.21875" style="2" customWidth="1"/>
    <col min="10" max="10" width="8.77734375" style="2"/>
    <col min="11" max="11" width="6.21875" style="2" customWidth="1"/>
    <col min="12" max="12" width="3.77734375" style="2" customWidth="1"/>
    <col min="13" max="13" width="10.77734375" style="2" customWidth="1"/>
    <col min="14" max="14" width="4.21875" style="2" customWidth="1"/>
    <col min="15" max="15" width="12.21875" style="2" customWidth="1"/>
    <col min="16" max="16" width="10.21875" style="2" customWidth="1"/>
    <col min="17" max="17" width="9.21875" style="32" customWidth="1"/>
    <col min="18" max="256" width="8.77734375" style="2"/>
    <col min="257" max="257" width="4.21875" style="2" customWidth="1"/>
    <col min="258" max="258" width="2.5546875" style="2" customWidth="1"/>
    <col min="259" max="262" width="8.77734375" style="2"/>
    <col min="263" max="263" width="4.5546875" style="2" customWidth="1"/>
    <col min="264" max="264" width="10.21875" style="2" customWidth="1"/>
    <col min="265" max="265" width="3.21875" style="2" customWidth="1"/>
    <col min="266" max="266" width="8.77734375" style="2"/>
    <col min="267" max="267" width="6.21875" style="2" customWidth="1"/>
    <col min="268" max="268" width="3.77734375" style="2" customWidth="1"/>
    <col min="269" max="269" width="10.77734375" style="2" customWidth="1"/>
    <col min="270" max="270" width="4.21875" style="2" customWidth="1"/>
    <col min="271" max="271" width="12.21875" style="2" customWidth="1"/>
    <col min="272" max="272" width="10.21875" style="2" customWidth="1"/>
    <col min="273" max="273" width="9.21875" style="2" customWidth="1"/>
    <col min="274" max="512" width="8.77734375" style="2"/>
    <col min="513" max="513" width="4.21875" style="2" customWidth="1"/>
    <col min="514" max="514" width="2.5546875" style="2" customWidth="1"/>
    <col min="515" max="518" width="8.77734375" style="2"/>
    <col min="519" max="519" width="4.5546875" style="2" customWidth="1"/>
    <col min="520" max="520" width="10.21875" style="2" customWidth="1"/>
    <col min="521" max="521" width="3.21875" style="2" customWidth="1"/>
    <col min="522" max="522" width="8.77734375" style="2"/>
    <col min="523" max="523" width="6.21875" style="2" customWidth="1"/>
    <col min="524" max="524" width="3.77734375" style="2" customWidth="1"/>
    <col min="525" max="525" width="10.77734375" style="2" customWidth="1"/>
    <col min="526" max="526" width="4.21875" style="2" customWidth="1"/>
    <col min="527" max="527" width="12.21875" style="2" customWidth="1"/>
    <col min="528" max="528" width="10.21875" style="2" customWidth="1"/>
    <col min="529" max="529" width="9.21875" style="2" customWidth="1"/>
    <col min="530" max="768" width="8.77734375" style="2"/>
    <col min="769" max="769" width="4.21875" style="2" customWidth="1"/>
    <col min="770" max="770" width="2.5546875" style="2" customWidth="1"/>
    <col min="771" max="774" width="8.77734375" style="2"/>
    <col min="775" max="775" width="4.5546875" style="2" customWidth="1"/>
    <col min="776" max="776" width="10.21875" style="2" customWidth="1"/>
    <col min="777" max="777" width="3.21875" style="2" customWidth="1"/>
    <col min="778" max="778" width="8.77734375" style="2"/>
    <col min="779" max="779" width="6.21875" style="2" customWidth="1"/>
    <col min="780" max="780" width="3.77734375" style="2" customWidth="1"/>
    <col min="781" max="781" width="10.77734375" style="2" customWidth="1"/>
    <col min="782" max="782" width="4.21875" style="2" customWidth="1"/>
    <col min="783" max="783" width="12.21875" style="2" customWidth="1"/>
    <col min="784" max="784" width="10.21875" style="2" customWidth="1"/>
    <col min="785" max="785" width="9.21875" style="2" customWidth="1"/>
    <col min="786" max="1024" width="8.77734375" style="2"/>
    <col min="1025" max="1025" width="4.21875" style="2" customWidth="1"/>
    <col min="1026" max="1026" width="2.5546875" style="2" customWidth="1"/>
    <col min="1027" max="1030" width="8.77734375" style="2"/>
    <col min="1031" max="1031" width="4.5546875" style="2" customWidth="1"/>
    <col min="1032" max="1032" width="10.21875" style="2" customWidth="1"/>
    <col min="1033" max="1033" width="3.21875" style="2" customWidth="1"/>
    <col min="1034" max="1034" width="8.77734375" style="2"/>
    <col min="1035" max="1035" width="6.21875" style="2" customWidth="1"/>
    <col min="1036" max="1036" width="3.77734375" style="2" customWidth="1"/>
    <col min="1037" max="1037" width="10.77734375" style="2" customWidth="1"/>
    <col min="1038" max="1038" width="4.21875" style="2" customWidth="1"/>
    <col min="1039" max="1039" width="12.21875" style="2" customWidth="1"/>
    <col min="1040" max="1040" width="10.21875" style="2" customWidth="1"/>
    <col min="1041" max="1041" width="9.21875" style="2" customWidth="1"/>
    <col min="1042" max="1280" width="8.77734375" style="2"/>
    <col min="1281" max="1281" width="4.21875" style="2" customWidth="1"/>
    <col min="1282" max="1282" width="2.5546875" style="2" customWidth="1"/>
    <col min="1283" max="1286" width="8.77734375" style="2"/>
    <col min="1287" max="1287" width="4.5546875" style="2" customWidth="1"/>
    <col min="1288" max="1288" width="10.21875" style="2" customWidth="1"/>
    <col min="1289" max="1289" width="3.21875" style="2" customWidth="1"/>
    <col min="1290" max="1290" width="8.77734375" style="2"/>
    <col min="1291" max="1291" width="6.21875" style="2" customWidth="1"/>
    <col min="1292" max="1292" width="3.77734375" style="2" customWidth="1"/>
    <col min="1293" max="1293" width="10.77734375" style="2" customWidth="1"/>
    <col min="1294" max="1294" width="4.21875" style="2" customWidth="1"/>
    <col min="1295" max="1295" width="12.21875" style="2" customWidth="1"/>
    <col min="1296" max="1296" width="10.21875" style="2" customWidth="1"/>
    <col min="1297" max="1297" width="9.21875" style="2" customWidth="1"/>
    <col min="1298" max="1536" width="8.77734375" style="2"/>
    <col min="1537" max="1537" width="4.21875" style="2" customWidth="1"/>
    <col min="1538" max="1538" width="2.5546875" style="2" customWidth="1"/>
    <col min="1539" max="1542" width="8.77734375" style="2"/>
    <col min="1543" max="1543" width="4.5546875" style="2" customWidth="1"/>
    <col min="1544" max="1544" width="10.21875" style="2" customWidth="1"/>
    <col min="1545" max="1545" width="3.21875" style="2" customWidth="1"/>
    <col min="1546" max="1546" width="8.77734375" style="2"/>
    <col min="1547" max="1547" width="6.21875" style="2" customWidth="1"/>
    <col min="1548" max="1548" width="3.77734375" style="2" customWidth="1"/>
    <col min="1549" max="1549" width="10.77734375" style="2" customWidth="1"/>
    <col min="1550" max="1550" width="4.21875" style="2" customWidth="1"/>
    <col min="1551" max="1551" width="12.21875" style="2" customWidth="1"/>
    <col min="1552" max="1552" width="10.21875" style="2" customWidth="1"/>
    <col min="1553" max="1553" width="9.21875" style="2" customWidth="1"/>
    <col min="1554" max="1792" width="8.77734375" style="2"/>
    <col min="1793" max="1793" width="4.21875" style="2" customWidth="1"/>
    <col min="1794" max="1794" width="2.5546875" style="2" customWidth="1"/>
    <col min="1795" max="1798" width="8.77734375" style="2"/>
    <col min="1799" max="1799" width="4.5546875" style="2" customWidth="1"/>
    <col min="1800" max="1800" width="10.21875" style="2" customWidth="1"/>
    <col min="1801" max="1801" width="3.21875" style="2" customWidth="1"/>
    <col min="1802" max="1802" width="8.77734375" style="2"/>
    <col min="1803" max="1803" width="6.21875" style="2" customWidth="1"/>
    <col min="1804" max="1804" width="3.77734375" style="2" customWidth="1"/>
    <col min="1805" max="1805" width="10.77734375" style="2" customWidth="1"/>
    <col min="1806" max="1806" width="4.21875" style="2" customWidth="1"/>
    <col min="1807" max="1807" width="12.21875" style="2" customWidth="1"/>
    <col min="1808" max="1808" width="10.21875" style="2" customWidth="1"/>
    <col min="1809" max="1809" width="9.21875" style="2" customWidth="1"/>
    <col min="1810" max="2048" width="8.77734375" style="2"/>
    <col min="2049" max="2049" width="4.21875" style="2" customWidth="1"/>
    <col min="2050" max="2050" width="2.5546875" style="2" customWidth="1"/>
    <col min="2051" max="2054" width="8.77734375" style="2"/>
    <col min="2055" max="2055" width="4.5546875" style="2" customWidth="1"/>
    <col min="2056" max="2056" width="10.21875" style="2" customWidth="1"/>
    <col min="2057" max="2057" width="3.21875" style="2" customWidth="1"/>
    <col min="2058" max="2058" width="8.77734375" style="2"/>
    <col min="2059" max="2059" width="6.21875" style="2" customWidth="1"/>
    <col min="2060" max="2060" width="3.77734375" style="2" customWidth="1"/>
    <col min="2061" max="2061" width="10.77734375" style="2" customWidth="1"/>
    <col min="2062" max="2062" width="4.21875" style="2" customWidth="1"/>
    <col min="2063" max="2063" width="12.21875" style="2" customWidth="1"/>
    <col min="2064" max="2064" width="10.21875" style="2" customWidth="1"/>
    <col min="2065" max="2065" width="9.21875" style="2" customWidth="1"/>
    <col min="2066" max="2304" width="8.77734375" style="2"/>
    <col min="2305" max="2305" width="4.21875" style="2" customWidth="1"/>
    <col min="2306" max="2306" width="2.5546875" style="2" customWidth="1"/>
    <col min="2307" max="2310" width="8.77734375" style="2"/>
    <col min="2311" max="2311" width="4.5546875" style="2" customWidth="1"/>
    <col min="2312" max="2312" width="10.21875" style="2" customWidth="1"/>
    <col min="2313" max="2313" width="3.21875" style="2" customWidth="1"/>
    <col min="2314" max="2314" width="8.77734375" style="2"/>
    <col min="2315" max="2315" width="6.21875" style="2" customWidth="1"/>
    <col min="2316" max="2316" width="3.77734375" style="2" customWidth="1"/>
    <col min="2317" max="2317" width="10.77734375" style="2" customWidth="1"/>
    <col min="2318" max="2318" width="4.21875" style="2" customWidth="1"/>
    <col min="2319" max="2319" width="12.21875" style="2" customWidth="1"/>
    <col min="2320" max="2320" width="10.21875" style="2" customWidth="1"/>
    <col min="2321" max="2321" width="9.21875" style="2" customWidth="1"/>
    <col min="2322" max="2560" width="8.77734375" style="2"/>
    <col min="2561" max="2561" width="4.21875" style="2" customWidth="1"/>
    <col min="2562" max="2562" width="2.5546875" style="2" customWidth="1"/>
    <col min="2563" max="2566" width="8.77734375" style="2"/>
    <col min="2567" max="2567" width="4.5546875" style="2" customWidth="1"/>
    <col min="2568" max="2568" width="10.21875" style="2" customWidth="1"/>
    <col min="2569" max="2569" width="3.21875" style="2" customWidth="1"/>
    <col min="2570" max="2570" width="8.77734375" style="2"/>
    <col min="2571" max="2571" width="6.21875" style="2" customWidth="1"/>
    <col min="2572" max="2572" width="3.77734375" style="2" customWidth="1"/>
    <col min="2573" max="2573" width="10.77734375" style="2" customWidth="1"/>
    <col min="2574" max="2574" width="4.21875" style="2" customWidth="1"/>
    <col min="2575" max="2575" width="12.21875" style="2" customWidth="1"/>
    <col min="2576" max="2576" width="10.21875" style="2" customWidth="1"/>
    <col min="2577" max="2577" width="9.21875" style="2" customWidth="1"/>
    <col min="2578" max="2816" width="8.77734375" style="2"/>
    <col min="2817" max="2817" width="4.21875" style="2" customWidth="1"/>
    <col min="2818" max="2818" width="2.5546875" style="2" customWidth="1"/>
    <col min="2819" max="2822" width="8.77734375" style="2"/>
    <col min="2823" max="2823" width="4.5546875" style="2" customWidth="1"/>
    <col min="2824" max="2824" width="10.21875" style="2" customWidth="1"/>
    <col min="2825" max="2825" width="3.21875" style="2" customWidth="1"/>
    <col min="2826" max="2826" width="8.77734375" style="2"/>
    <col min="2827" max="2827" width="6.21875" style="2" customWidth="1"/>
    <col min="2828" max="2828" width="3.77734375" style="2" customWidth="1"/>
    <col min="2829" max="2829" width="10.77734375" style="2" customWidth="1"/>
    <col min="2830" max="2830" width="4.21875" style="2" customWidth="1"/>
    <col min="2831" max="2831" width="12.21875" style="2" customWidth="1"/>
    <col min="2832" max="2832" width="10.21875" style="2" customWidth="1"/>
    <col min="2833" max="2833" width="9.21875" style="2" customWidth="1"/>
    <col min="2834" max="3072" width="8.77734375" style="2"/>
    <col min="3073" max="3073" width="4.21875" style="2" customWidth="1"/>
    <col min="3074" max="3074" width="2.5546875" style="2" customWidth="1"/>
    <col min="3075" max="3078" width="8.77734375" style="2"/>
    <col min="3079" max="3079" width="4.5546875" style="2" customWidth="1"/>
    <col min="3080" max="3080" width="10.21875" style="2" customWidth="1"/>
    <col min="3081" max="3081" width="3.21875" style="2" customWidth="1"/>
    <col min="3082" max="3082" width="8.77734375" style="2"/>
    <col min="3083" max="3083" width="6.21875" style="2" customWidth="1"/>
    <col min="3084" max="3084" width="3.77734375" style="2" customWidth="1"/>
    <col min="3085" max="3085" width="10.77734375" style="2" customWidth="1"/>
    <col min="3086" max="3086" width="4.21875" style="2" customWidth="1"/>
    <col min="3087" max="3087" width="12.21875" style="2" customWidth="1"/>
    <col min="3088" max="3088" width="10.21875" style="2" customWidth="1"/>
    <col min="3089" max="3089" width="9.21875" style="2" customWidth="1"/>
    <col min="3090" max="3328" width="8.77734375" style="2"/>
    <col min="3329" max="3329" width="4.21875" style="2" customWidth="1"/>
    <col min="3330" max="3330" width="2.5546875" style="2" customWidth="1"/>
    <col min="3331" max="3334" width="8.77734375" style="2"/>
    <col min="3335" max="3335" width="4.5546875" style="2" customWidth="1"/>
    <col min="3336" max="3336" width="10.21875" style="2" customWidth="1"/>
    <col min="3337" max="3337" width="3.21875" style="2" customWidth="1"/>
    <col min="3338" max="3338" width="8.77734375" style="2"/>
    <col min="3339" max="3339" width="6.21875" style="2" customWidth="1"/>
    <col min="3340" max="3340" width="3.77734375" style="2" customWidth="1"/>
    <col min="3341" max="3341" width="10.77734375" style="2" customWidth="1"/>
    <col min="3342" max="3342" width="4.21875" style="2" customWidth="1"/>
    <col min="3343" max="3343" width="12.21875" style="2" customWidth="1"/>
    <col min="3344" max="3344" width="10.21875" style="2" customWidth="1"/>
    <col min="3345" max="3345" width="9.21875" style="2" customWidth="1"/>
    <col min="3346" max="3584" width="8.77734375" style="2"/>
    <col min="3585" max="3585" width="4.21875" style="2" customWidth="1"/>
    <col min="3586" max="3586" width="2.5546875" style="2" customWidth="1"/>
    <col min="3587" max="3590" width="8.77734375" style="2"/>
    <col min="3591" max="3591" width="4.5546875" style="2" customWidth="1"/>
    <col min="3592" max="3592" width="10.21875" style="2" customWidth="1"/>
    <col min="3593" max="3593" width="3.21875" style="2" customWidth="1"/>
    <col min="3594" max="3594" width="8.77734375" style="2"/>
    <col min="3595" max="3595" width="6.21875" style="2" customWidth="1"/>
    <col min="3596" max="3596" width="3.77734375" style="2" customWidth="1"/>
    <col min="3597" max="3597" width="10.77734375" style="2" customWidth="1"/>
    <col min="3598" max="3598" width="4.21875" style="2" customWidth="1"/>
    <col min="3599" max="3599" width="12.21875" style="2" customWidth="1"/>
    <col min="3600" max="3600" width="10.21875" style="2" customWidth="1"/>
    <col min="3601" max="3601" width="9.21875" style="2" customWidth="1"/>
    <col min="3602" max="3840" width="8.77734375" style="2"/>
    <col min="3841" max="3841" width="4.21875" style="2" customWidth="1"/>
    <col min="3842" max="3842" width="2.5546875" style="2" customWidth="1"/>
    <col min="3843" max="3846" width="8.77734375" style="2"/>
    <col min="3847" max="3847" width="4.5546875" style="2" customWidth="1"/>
    <col min="3848" max="3848" width="10.21875" style="2" customWidth="1"/>
    <col min="3849" max="3849" width="3.21875" style="2" customWidth="1"/>
    <col min="3850" max="3850" width="8.77734375" style="2"/>
    <col min="3851" max="3851" width="6.21875" style="2" customWidth="1"/>
    <col min="3852" max="3852" width="3.77734375" style="2" customWidth="1"/>
    <col min="3853" max="3853" width="10.77734375" style="2" customWidth="1"/>
    <col min="3854" max="3854" width="4.21875" style="2" customWidth="1"/>
    <col min="3855" max="3855" width="12.21875" style="2" customWidth="1"/>
    <col min="3856" max="3856" width="10.21875" style="2" customWidth="1"/>
    <col min="3857" max="3857" width="9.21875" style="2" customWidth="1"/>
    <col min="3858" max="4096" width="8.77734375" style="2"/>
    <col min="4097" max="4097" width="4.21875" style="2" customWidth="1"/>
    <col min="4098" max="4098" width="2.5546875" style="2" customWidth="1"/>
    <col min="4099" max="4102" width="8.77734375" style="2"/>
    <col min="4103" max="4103" width="4.5546875" style="2" customWidth="1"/>
    <col min="4104" max="4104" width="10.21875" style="2" customWidth="1"/>
    <col min="4105" max="4105" width="3.21875" style="2" customWidth="1"/>
    <col min="4106" max="4106" width="8.77734375" style="2"/>
    <col min="4107" max="4107" width="6.21875" style="2" customWidth="1"/>
    <col min="4108" max="4108" width="3.77734375" style="2" customWidth="1"/>
    <col min="4109" max="4109" width="10.77734375" style="2" customWidth="1"/>
    <col min="4110" max="4110" width="4.21875" style="2" customWidth="1"/>
    <col min="4111" max="4111" width="12.21875" style="2" customWidth="1"/>
    <col min="4112" max="4112" width="10.21875" style="2" customWidth="1"/>
    <col min="4113" max="4113" width="9.21875" style="2" customWidth="1"/>
    <col min="4114" max="4352" width="8.77734375" style="2"/>
    <col min="4353" max="4353" width="4.21875" style="2" customWidth="1"/>
    <col min="4354" max="4354" width="2.5546875" style="2" customWidth="1"/>
    <col min="4355" max="4358" width="8.77734375" style="2"/>
    <col min="4359" max="4359" width="4.5546875" style="2" customWidth="1"/>
    <col min="4360" max="4360" width="10.21875" style="2" customWidth="1"/>
    <col min="4361" max="4361" width="3.21875" style="2" customWidth="1"/>
    <col min="4362" max="4362" width="8.77734375" style="2"/>
    <col min="4363" max="4363" width="6.21875" style="2" customWidth="1"/>
    <col min="4364" max="4364" width="3.77734375" style="2" customWidth="1"/>
    <col min="4365" max="4365" width="10.77734375" style="2" customWidth="1"/>
    <col min="4366" max="4366" width="4.21875" style="2" customWidth="1"/>
    <col min="4367" max="4367" width="12.21875" style="2" customWidth="1"/>
    <col min="4368" max="4368" width="10.21875" style="2" customWidth="1"/>
    <col min="4369" max="4369" width="9.21875" style="2" customWidth="1"/>
    <col min="4370" max="4608" width="8.77734375" style="2"/>
    <col min="4609" max="4609" width="4.21875" style="2" customWidth="1"/>
    <col min="4610" max="4610" width="2.5546875" style="2" customWidth="1"/>
    <col min="4611" max="4614" width="8.77734375" style="2"/>
    <col min="4615" max="4615" width="4.5546875" style="2" customWidth="1"/>
    <col min="4616" max="4616" width="10.21875" style="2" customWidth="1"/>
    <col min="4617" max="4617" width="3.21875" style="2" customWidth="1"/>
    <col min="4618" max="4618" width="8.77734375" style="2"/>
    <col min="4619" max="4619" width="6.21875" style="2" customWidth="1"/>
    <col min="4620" max="4620" width="3.77734375" style="2" customWidth="1"/>
    <col min="4621" max="4621" width="10.77734375" style="2" customWidth="1"/>
    <col min="4622" max="4622" width="4.21875" style="2" customWidth="1"/>
    <col min="4623" max="4623" width="12.21875" style="2" customWidth="1"/>
    <col min="4624" max="4624" width="10.21875" style="2" customWidth="1"/>
    <col min="4625" max="4625" width="9.21875" style="2" customWidth="1"/>
    <col min="4626" max="4864" width="8.77734375" style="2"/>
    <col min="4865" max="4865" width="4.21875" style="2" customWidth="1"/>
    <col min="4866" max="4866" width="2.5546875" style="2" customWidth="1"/>
    <col min="4867" max="4870" width="8.77734375" style="2"/>
    <col min="4871" max="4871" width="4.5546875" style="2" customWidth="1"/>
    <col min="4872" max="4872" width="10.21875" style="2" customWidth="1"/>
    <col min="4873" max="4873" width="3.21875" style="2" customWidth="1"/>
    <col min="4874" max="4874" width="8.77734375" style="2"/>
    <col min="4875" max="4875" width="6.21875" style="2" customWidth="1"/>
    <col min="4876" max="4876" width="3.77734375" style="2" customWidth="1"/>
    <col min="4877" max="4877" width="10.77734375" style="2" customWidth="1"/>
    <col min="4878" max="4878" width="4.21875" style="2" customWidth="1"/>
    <col min="4879" max="4879" width="12.21875" style="2" customWidth="1"/>
    <col min="4880" max="4880" width="10.21875" style="2" customWidth="1"/>
    <col min="4881" max="4881" width="9.21875" style="2" customWidth="1"/>
    <col min="4882" max="5120" width="8.77734375" style="2"/>
    <col min="5121" max="5121" width="4.21875" style="2" customWidth="1"/>
    <col min="5122" max="5122" width="2.5546875" style="2" customWidth="1"/>
    <col min="5123" max="5126" width="8.77734375" style="2"/>
    <col min="5127" max="5127" width="4.5546875" style="2" customWidth="1"/>
    <col min="5128" max="5128" width="10.21875" style="2" customWidth="1"/>
    <col min="5129" max="5129" width="3.21875" style="2" customWidth="1"/>
    <col min="5130" max="5130" width="8.77734375" style="2"/>
    <col min="5131" max="5131" width="6.21875" style="2" customWidth="1"/>
    <col min="5132" max="5132" width="3.77734375" style="2" customWidth="1"/>
    <col min="5133" max="5133" width="10.77734375" style="2" customWidth="1"/>
    <col min="5134" max="5134" width="4.21875" style="2" customWidth="1"/>
    <col min="5135" max="5135" width="12.21875" style="2" customWidth="1"/>
    <col min="5136" max="5136" width="10.21875" style="2" customWidth="1"/>
    <col min="5137" max="5137" width="9.21875" style="2" customWidth="1"/>
    <col min="5138" max="5376" width="8.77734375" style="2"/>
    <col min="5377" max="5377" width="4.21875" style="2" customWidth="1"/>
    <col min="5378" max="5378" width="2.5546875" style="2" customWidth="1"/>
    <col min="5379" max="5382" width="8.77734375" style="2"/>
    <col min="5383" max="5383" width="4.5546875" style="2" customWidth="1"/>
    <col min="5384" max="5384" width="10.21875" style="2" customWidth="1"/>
    <col min="5385" max="5385" width="3.21875" style="2" customWidth="1"/>
    <col min="5386" max="5386" width="8.77734375" style="2"/>
    <col min="5387" max="5387" width="6.21875" style="2" customWidth="1"/>
    <col min="5388" max="5388" width="3.77734375" style="2" customWidth="1"/>
    <col min="5389" max="5389" width="10.77734375" style="2" customWidth="1"/>
    <col min="5390" max="5390" width="4.21875" style="2" customWidth="1"/>
    <col min="5391" max="5391" width="12.21875" style="2" customWidth="1"/>
    <col min="5392" max="5392" width="10.21875" style="2" customWidth="1"/>
    <col min="5393" max="5393" width="9.21875" style="2" customWidth="1"/>
    <col min="5394" max="5632" width="8.77734375" style="2"/>
    <col min="5633" max="5633" width="4.21875" style="2" customWidth="1"/>
    <col min="5634" max="5634" width="2.5546875" style="2" customWidth="1"/>
    <col min="5635" max="5638" width="8.77734375" style="2"/>
    <col min="5639" max="5639" width="4.5546875" style="2" customWidth="1"/>
    <col min="5640" max="5640" width="10.21875" style="2" customWidth="1"/>
    <col min="5641" max="5641" width="3.21875" style="2" customWidth="1"/>
    <col min="5642" max="5642" width="8.77734375" style="2"/>
    <col min="5643" max="5643" width="6.21875" style="2" customWidth="1"/>
    <col min="5644" max="5644" width="3.77734375" style="2" customWidth="1"/>
    <col min="5645" max="5645" width="10.77734375" style="2" customWidth="1"/>
    <col min="5646" max="5646" width="4.21875" style="2" customWidth="1"/>
    <col min="5647" max="5647" width="12.21875" style="2" customWidth="1"/>
    <col min="5648" max="5648" width="10.21875" style="2" customWidth="1"/>
    <col min="5649" max="5649" width="9.21875" style="2" customWidth="1"/>
    <col min="5650" max="5888" width="8.77734375" style="2"/>
    <col min="5889" max="5889" width="4.21875" style="2" customWidth="1"/>
    <col min="5890" max="5890" width="2.5546875" style="2" customWidth="1"/>
    <col min="5891" max="5894" width="8.77734375" style="2"/>
    <col min="5895" max="5895" width="4.5546875" style="2" customWidth="1"/>
    <col min="5896" max="5896" width="10.21875" style="2" customWidth="1"/>
    <col min="5897" max="5897" width="3.21875" style="2" customWidth="1"/>
    <col min="5898" max="5898" width="8.77734375" style="2"/>
    <col min="5899" max="5899" width="6.21875" style="2" customWidth="1"/>
    <col min="5900" max="5900" width="3.77734375" style="2" customWidth="1"/>
    <col min="5901" max="5901" width="10.77734375" style="2" customWidth="1"/>
    <col min="5902" max="5902" width="4.21875" style="2" customWidth="1"/>
    <col min="5903" max="5903" width="12.21875" style="2" customWidth="1"/>
    <col min="5904" max="5904" width="10.21875" style="2" customWidth="1"/>
    <col min="5905" max="5905" width="9.21875" style="2" customWidth="1"/>
    <col min="5906" max="6144" width="8.77734375" style="2"/>
    <col min="6145" max="6145" width="4.21875" style="2" customWidth="1"/>
    <col min="6146" max="6146" width="2.5546875" style="2" customWidth="1"/>
    <col min="6147" max="6150" width="8.77734375" style="2"/>
    <col min="6151" max="6151" width="4.5546875" style="2" customWidth="1"/>
    <col min="6152" max="6152" width="10.21875" style="2" customWidth="1"/>
    <col min="6153" max="6153" width="3.21875" style="2" customWidth="1"/>
    <col min="6154" max="6154" width="8.77734375" style="2"/>
    <col min="6155" max="6155" width="6.21875" style="2" customWidth="1"/>
    <col min="6156" max="6156" width="3.77734375" style="2" customWidth="1"/>
    <col min="6157" max="6157" width="10.77734375" style="2" customWidth="1"/>
    <col min="6158" max="6158" width="4.21875" style="2" customWidth="1"/>
    <col min="6159" max="6159" width="12.21875" style="2" customWidth="1"/>
    <col min="6160" max="6160" width="10.21875" style="2" customWidth="1"/>
    <col min="6161" max="6161" width="9.21875" style="2" customWidth="1"/>
    <col min="6162" max="6400" width="8.77734375" style="2"/>
    <col min="6401" max="6401" width="4.21875" style="2" customWidth="1"/>
    <col min="6402" max="6402" width="2.5546875" style="2" customWidth="1"/>
    <col min="6403" max="6406" width="8.77734375" style="2"/>
    <col min="6407" max="6407" width="4.5546875" style="2" customWidth="1"/>
    <col min="6408" max="6408" width="10.21875" style="2" customWidth="1"/>
    <col min="6409" max="6409" width="3.21875" style="2" customWidth="1"/>
    <col min="6410" max="6410" width="8.77734375" style="2"/>
    <col min="6411" max="6411" width="6.21875" style="2" customWidth="1"/>
    <col min="6412" max="6412" width="3.77734375" style="2" customWidth="1"/>
    <col min="6413" max="6413" width="10.77734375" style="2" customWidth="1"/>
    <col min="6414" max="6414" width="4.21875" style="2" customWidth="1"/>
    <col min="6415" max="6415" width="12.21875" style="2" customWidth="1"/>
    <col min="6416" max="6416" width="10.21875" style="2" customWidth="1"/>
    <col min="6417" max="6417" width="9.21875" style="2" customWidth="1"/>
    <col min="6418" max="6656" width="8.77734375" style="2"/>
    <col min="6657" max="6657" width="4.21875" style="2" customWidth="1"/>
    <col min="6658" max="6658" width="2.5546875" style="2" customWidth="1"/>
    <col min="6659" max="6662" width="8.77734375" style="2"/>
    <col min="6663" max="6663" width="4.5546875" style="2" customWidth="1"/>
    <col min="6664" max="6664" width="10.21875" style="2" customWidth="1"/>
    <col min="6665" max="6665" width="3.21875" style="2" customWidth="1"/>
    <col min="6666" max="6666" width="8.77734375" style="2"/>
    <col min="6667" max="6667" width="6.21875" style="2" customWidth="1"/>
    <col min="6668" max="6668" width="3.77734375" style="2" customWidth="1"/>
    <col min="6669" max="6669" width="10.77734375" style="2" customWidth="1"/>
    <col min="6670" max="6670" width="4.21875" style="2" customWidth="1"/>
    <col min="6671" max="6671" width="12.21875" style="2" customWidth="1"/>
    <col min="6672" max="6672" width="10.21875" style="2" customWidth="1"/>
    <col min="6673" max="6673" width="9.21875" style="2" customWidth="1"/>
    <col min="6674" max="6912" width="8.77734375" style="2"/>
    <col min="6913" max="6913" width="4.21875" style="2" customWidth="1"/>
    <col min="6914" max="6914" width="2.5546875" style="2" customWidth="1"/>
    <col min="6915" max="6918" width="8.77734375" style="2"/>
    <col min="6919" max="6919" width="4.5546875" style="2" customWidth="1"/>
    <col min="6920" max="6920" width="10.21875" style="2" customWidth="1"/>
    <col min="6921" max="6921" width="3.21875" style="2" customWidth="1"/>
    <col min="6922" max="6922" width="8.77734375" style="2"/>
    <col min="6923" max="6923" width="6.21875" style="2" customWidth="1"/>
    <col min="6924" max="6924" width="3.77734375" style="2" customWidth="1"/>
    <col min="6925" max="6925" width="10.77734375" style="2" customWidth="1"/>
    <col min="6926" max="6926" width="4.21875" style="2" customWidth="1"/>
    <col min="6927" max="6927" width="12.21875" style="2" customWidth="1"/>
    <col min="6928" max="6928" width="10.21875" style="2" customWidth="1"/>
    <col min="6929" max="6929" width="9.21875" style="2" customWidth="1"/>
    <col min="6930" max="7168" width="8.77734375" style="2"/>
    <col min="7169" max="7169" width="4.21875" style="2" customWidth="1"/>
    <col min="7170" max="7170" width="2.5546875" style="2" customWidth="1"/>
    <col min="7171" max="7174" width="8.77734375" style="2"/>
    <col min="7175" max="7175" width="4.5546875" style="2" customWidth="1"/>
    <col min="7176" max="7176" width="10.21875" style="2" customWidth="1"/>
    <col min="7177" max="7177" width="3.21875" style="2" customWidth="1"/>
    <col min="7178" max="7178" width="8.77734375" style="2"/>
    <col min="7179" max="7179" width="6.21875" style="2" customWidth="1"/>
    <col min="7180" max="7180" width="3.77734375" style="2" customWidth="1"/>
    <col min="7181" max="7181" width="10.77734375" style="2" customWidth="1"/>
    <col min="7182" max="7182" width="4.21875" style="2" customWidth="1"/>
    <col min="7183" max="7183" width="12.21875" style="2" customWidth="1"/>
    <col min="7184" max="7184" width="10.21875" style="2" customWidth="1"/>
    <col min="7185" max="7185" width="9.21875" style="2" customWidth="1"/>
    <col min="7186" max="7424" width="8.77734375" style="2"/>
    <col min="7425" max="7425" width="4.21875" style="2" customWidth="1"/>
    <col min="7426" max="7426" width="2.5546875" style="2" customWidth="1"/>
    <col min="7427" max="7430" width="8.77734375" style="2"/>
    <col min="7431" max="7431" width="4.5546875" style="2" customWidth="1"/>
    <col min="7432" max="7432" width="10.21875" style="2" customWidth="1"/>
    <col min="7433" max="7433" width="3.21875" style="2" customWidth="1"/>
    <col min="7434" max="7434" width="8.77734375" style="2"/>
    <col min="7435" max="7435" width="6.21875" style="2" customWidth="1"/>
    <col min="7436" max="7436" width="3.77734375" style="2" customWidth="1"/>
    <col min="7437" max="7437" width="10.77734375" style="2" customWidth="1"/>
    <col min="7438" max="7438" width="4.21875" style="2" customWidth="1"/>
    <col min="7439" max="7439" width="12.21875" style="2" customWidth="1"/>
    <col min="7440" max="7440" width="10.21875" style="2" customWidth="1"/>
    <col min="7441" max="7441" width="9.21875" style="2" customWidth="1"/>
    <col min="7442" max="7680" width="8.77734375" style="2"/>
    <col min="7681" max="7681" width="4.21875" style="2" customWidth="1"/>
    <col min="7682" max="7682" width="2.5546875" style="2" customWidth="1"/>
    <col min="7683" max="7686" width="8.77734375" style="2"/>
    <col min="7687" max="7687" width="4.5546875" style="2" customWidth="1"/>
    <col min="7688" max="7688" width="10.21875" style="2" customWidth="1"/>
    <col min="7689" max="7689" width="3.21875" style="2" customWidth="1"/>
    <col min="7690" max="7690" width="8.77734375" style="2"/>
    <col min="7691" max="7691" width="6.21875" style="2" customWidth="1"/>
    <col min="7692" max="7692" width="3.77734375" style="2" customWidth="1"/>
    <col min="7693" max="7693" width="10.77734375" style="2" customWidth="1"/>
    <col min="7694" max="7694" width="4.21875" style="2" customWidth="1"/>
    <col min="7695" max="7695" width="12.21875" style="2" customWidth="1"/>
    <col min="7696" max="7696" width="10.21875" style="2" customWidth="1"/>
    <col min="7697" max="7697" width="9.21875" style="2" customWidth="1"/>
    <col min="7698" max="7936" width="8.77734375" style="2"/>
    <col min="7937" max="7937" width="4.21875" style="2" customWidth="1"/>
    <col min="7938" max="7938" width="2.5546875" style="2" customWidth="1"/>
    <col min="7939" max="7942" width="8.77734375" style="2"/>
    <col min="7943" max="7943" width="4.5546875" style="2" customWidth="1"/>
    <col min="7944" max="7944" width="10.21875" style="2" customWidth="1"/>
    <col min="7945" max="7945" width="3.21875" style="2" customWidth="1"/>
    <col min="7946" max="7946" width="8.77734375" style="2"/>
    <col min="7947" max="7947" width="6.21875" style="2" customWidth="1"/>
    <col min="7948" max="7948" width="3.77734375" style="2" customWidth="1"/>
    <col min="7949" max="7949" width="10.77734375" style="2" customWidth="1"/>
    <col min="7950" max="7950" width="4.21875" style="2" customWidth="1"/>
    <col min="7951" max="7951" width="12.21875" style="2" customWidth="1"/>
    <col min="7952" max="7952" width="10.21875" style="2" customWidth="1"/>
    <col min="7953" max="7953" width="9.21875" style="2" customWidth="1"/>
    <col min="7954" max="8192" width="8.77734375" style="2"/>
    <col min="8193" max="8193" width="4.21875" style="2" customWidth="1"/>
    <col min="8194" max="8194" width="2.5546875" style="2" customWidth="1"/>
    <col min="8195" max="8198" width="8.77734375" style="2"/>
    <col min="8199" max="8199" width="4.5546875" style="2" customWidth="1"/>
    <col min="8200" max="8200" width="10.21875" style="2" customWidth="1"/>
    <col min="8201" max="8201" width="3.21875" style="2" customWidth="1"/>
    <col min="8202" max="8202" width="8.77734375" style="2"/>
    <col min="8203" max="8203" width="6.21875" style="2" customWidth="1"/>
    <col min="8204" max="8204" width="3.77734375" style="2" customWidth="1"/>
    <col min="8205" max="8205" width="10.77734375" style="2" customWidth="1"/>
    <col min="8206" max="8206" width="4.21875" style="2" customWidth="1"/>
    <col min="8207" max="8207" width="12.21875" style="2" customWidth="1"/>
    <col min="8208" max="8208" width="10.21875" style="2" customWidth="1"/>
    <col min="8209" max="8209" width="9.21875" style="2" customWidth="1"/>
    <col min="8210" max="8448" width="8.77734375" style="2"/>
    <col min="8449" max="8449" width="4.21875" style="2" customWidth="1"/>
    <col min="8450" max="8450" width="2.5546875" style="2" customWidth="1"/>
    <col min="8451" max="8454" width="8.77734375" style="2"/>
    <col min="8455" max="8455" width="4.5546875" style="2" customWidth="1"/>
    <col min="8456" max="8456" width="10.21875" style="2" customWidth="1"/>
    <col min="8457" max="8457" width="3.21875" style="2" customWidth="1"/>
    <col min="8458" max="8458" width="8.77734375" style="2"/>
    <col min="8459" max="8459" width="6.21875" style="2" customWidth="1"/>
    <col min="8460" max="8460" width="3.77734375" style="2" customWidth="1"/>
    <col min="8461" max="8461" width="10.77734375" style="2" customWidth="1"/>
    <col min="8462" max="8462" width="4.21875" style="2" customWidth="1"/>
    <col min="8463" max="8463" width="12.21875" style="2" customWidth="1"/>
    <col min="8464" max="8464" width="10.21875" style="2" customWidth="1"/>
    <col min="8465" max="8465" width="9.21875" style="2" customWidth="1"/>
    <col min="8466" max="8704" width="8.77734375" style="2"/>
    <col min="8705" max="8705" width="4.21875" style="2" customWidth="1"/>
    <col min="8706" max="8706" width="2.5546875" style="2" customWidth="1"/>
    <col min="8707" max="8710" width="8.77734375" style="2"/>
    <col min="8711" max="8711" width="4.5546875" style="2" customWidth="1"/>
    <col min="8712" max="8712" width="10.21875" style="2" customWidth="1"/>
    <col min="8713" max="8713" width="3.21875" style="2" customWidth="1"/>
    <col min="8714" max="8714" width="8.77734375" style="2"/>
    <col min="8715" max="8715" width="6.21875" style="2" customWidth="1"/>
    <col min="8716" max="8716" width="3.77734375" style="2" customWidth="1"/>
    <col min="8717" max="8717" width="10.77734375" style="2" customWidth="1"/>
    <col min="8718" max="8718" width="4.21875" style="2" customWidth="1"/>
    <col min="8719" max="8719" width="12.21875" style="2" customWidth="1"/>
    <col min="8720" max="8720" width="10.21875" style="2" customWidth="1"/>
    <col min="8721" max="8721" width="9.21875" style="2" customWidth="1"/>
    <col min="8722" max="8960" width="8.77734375" style="2"/>
    <col min="8961" max="8961" width="4.21875" style="2" customWidth="1"/>
    <col min="8962" max="8962" width="2.5546875" style="2" customWidth="1"/>
    <col min="8963" max="8966" width="8.77734375" style="2"/>
    <col min="8967" max="8967" width="4.5546875" style="2" customWidth="1"/>
    <col min="8968" max="8968" width="10.21875" style="2" customWidth="1"/>
    <col min="8969" max="8969" width="3.21875" style="2" customWidth="1"/>
    <col min="8970" max="8970" width="8.77734375" style="2"/>
    <col min="8971" max="8971" width="6.21875" style="2" customWidth="1"/>
    <col min="8972" max="8972" width="3.77734375" style="2" customWidth="1"/>
    <col min="8973" max="8973" width="10.77734375" style="2" customWidth="1"/>
    <col min="8974" max="8974" width="4.21875" style="2" customWidth="1"/>
    <col min="8975" max="8975" width="12.21875" style="2" customWidth="1"/>
    <col min="8976" max="8976" width="10.21875" style="2" customWidth="1"/>
    <col min="8977" max="8977" width="9.21875" style="2" customWidth="1"/>
    <col min="8978" max="9216" width="8.77734375" style="2"/>
    <col min="9217" max="9217" width="4.21875" style="2" customWidth="1"/>
    <col min="9218" max="9218" width="2.5546875" style="2" customWidth="1"/>
    <col min="9219" max="9222" width="8.77734375" style="2"/>
    <col min="9223" max="9223" width="4.5546875" style="2" customWidth="1"/>
    <col min="9224" max="9224" width="10.21875" style="2" customWidth="1"/>
    <col min="9225" max="9225" width="3.21875" style="2" customWidth="1"/>
    <col min="9226" max="9226" width="8.77734375" style="2"/>
    <col min="9227" max="9227" width="6.21875" style="2" customWidth="1"/>
    <col min="9228" max="9228" width="3.77734375" style="2" customWidth="1"/>
    <col min="9229" max="9229" width="10.77734375" style="2" customWidth="1"/>
    <col min="9230" max="9230" width="4.21875" style="2" customWidth="1"/>
    <col min="9231" max="9231" width="12.21875" style="2" customWidth="1"/>
    <col min="9232" max="9232" width="10.21875" style="2" customWidth="1"/>
    <col min="9233" max="9233" width="9.21875" style="2" customWidth="1"/>
    <col min="9234" max="9472" width="8.77734375" style="2"/>
    <col min="9473" max="9473" width="4.21875" style="2" customWidth="1"/>
    <col min="9474" max="9474" width="2.5546875" style="2" customWidth="1"/>
    <col min="9475" max="9478" width="8.77734375" style="2"/>
    <col min="9479" max="9479" width="4.5546875" style="2" customWidth="1"/>
    <col min="9480" max="9480" width="10.21875" style="2" customWidth="1"/>
    <col min="9481" max="9481" width="3.21875" style="2" customWidth="1"/>
    <col min="9482" max="9482" width="8.77734375" style="2"/>
    <col min="9483" max="9483" width="6.21875" style="2" customWidth="1"/>
    <col min="9484" max="9484" width="3.77734375" style="2" customWidth="1"/>
    <col min="9485" max="9485" width="10.77734375" style="2" customWidth="1"/>
    <col min="9486" max="9486" width="4.21875" style="2" customWidth="1"/>
    <col min="9487" max="9487" width="12.21875" style="2" customWidth="1"/>
    <col min="9488" max="9488" width="10.21875" style="2" customWidth="1"/>
    <col min="9489" max="9489" width="9.21875" style="2" customWidth="1"/>
    <col min="9490" max="9728" width="8.77734375" style="2"/>
    <col min="9729" max="9729" width="4.21875" style="2" customWidth="1"/>
    <col min="9730" max="9730" width="2.5546875" style="2" customWidth="1"/>
    <col min="9731" max="9734" width="8.77734375" style="2"/>
    <col min="9735" max="9735" width="4.5546875" style="2" customWidth="1"/>
    <col min="9736" max="9736" width="10.21875" style="2" customWidth="1"/>
    <col min="9737" max="9737" width="3.21875" style="2" customWidth="1"/>
    <col min="9738" max="9738" width="8.77734375" style="2"/>
    <col min="9739" max="9739" width="6.21875" style="2" customWidth="1"/>
    <col min="9740" max="9740" width="3.77734375" style="2" customWidth="1"/>
    <col min="9741" max="9741" width="10.77734375" style="2" customWidth="1"/>
    <col min="9742" max="9742" width="4.21875" style="2" customWidth="1"/>
    <col min="9743" max="9743" width="12.21875" style="2" customWidth="1"/>
    <col min="9744" max="9744" width="10.21875" style="2" customWidth="1"/>
    <col min="9745" max="9745" width="9.21875" style="2" customWidth="1"/>
    <col min="9746" max="9984" width="8.77734375" style="2"/>
    <col min="9985" max="9985" width="4.21875" style="2" customWidth="1"/>
    <col min="9986" max="9986" width="2.5546875" style="2" customWidth="1"/>
    <col min="9987" max="9990" width="8.77734375" style="2"/>
    <col min="9991" max="9991" width="4.5546875" style="2" customWidth="1"/>
    <col min="9992" max="9992" width="10.21875" style="2" customWidth="1"/>
    <col min="9993" max="9993" width="3.21875" style="2" customWidth="1"/>
    <col min="9994" max="9994" width="8.77734375" style="2"/>
    <col min="9995" max="9995" width="6.21875" style="2" customWidth="1"/>
    <col min="9996" max="9996" width="3.77734375" style="2" customWidth="1"/>
    <col min="9997" max="9997" width="10.77734375" style="2" customWidth="1"/>
    <col min="9998" max="9998" width="4.21875" style="2" customWidth="1"/>
    <col min="9999" max="9999" width="12.21875" style="2" customWidth="1"/>
    <col min="10000" max="10000" width="10.21875" style="2" customWidth="1"/>
    <col min="10001" max="10001" width="9.21875" style="2" customWidth="1"/>
    <col min="10002" max="10240" width="8.77734375" style="2"/>
    <col min="10241" max="10241" width="4.21875" style="2" customWidth="1"/>
    <col min="10242" max="10242" width="2.5546875" style="2" customWidth="1"/>
    <col min="10243" max="10246" width="8.77734375" style="2"/>
    <col min="10247" max="10247" width="4.5546875" style="2" customWidth="1"/>
    <col min="10248" max="10248" width="10.21875" style="2" customWidth="1"/>
    <col min="10249" max="10249" width="3.21875" style="2" customWidth="1"/>
    <col min="10250" max="10250" width="8.77734375" style="2"/>
    <col min="10251" max="10251" width="6.21875" style="2" customWidth="1"/>
    <col min="10252" max="10252" width="3.77734375" style="2" customWidth="1"/>
    <col min="10253" max="10253" width="10.77734375" style="2" customWidth="1"/>
    <col min="10254" max="10254" width="4.21875" style="2" customWidth="1"/>
    <col min="10255" max="10255" width="12.21875" style="2" customWidth="1"/>
    <col min="10256" max="10256" width="10.21875" style="2" customWidth="1"/>
    <col min="10257" max="10257" width="9.21875" style="2" customWidth="1"/>
    <col min="10258" max="10496" width="8.77734375" style="2"/>
    <col min="10497" max="10497" width="4.21875" style="2" customWidth="1"/>
    <col min="10498" max="10498" width="2.5546875" style="2" customWidth="1"/>
    <col min="10499" max="10502" width="8.77734375" style="2"/>
    <col min="10503" max="10503" width="4.5546875" style="2" customWidth="1"/>
    <col min="10504" max="10504" width="10.21875" style="2" customWidth="1"/>
    <col min="10505" max="10505" width="3.21875" style="2" customWidth="1"/>
    <col min="10506" max="10506" width="8.77734375" style="2"/>
    <col min="10507" max="10507" width="6.21875" style="2" customWidth="1"/>
    <col min="10508" max="10508" width="3.77734375" style="2" customWidth="1"/>
    <col min="10509" max="10509" width="10.77734375" style="2" customWidth="1"/>
    <col min="10510" max="10510" width="4.21875" style="2" customWidth="1"/>
    <col min="10511" max="10511" width="12.21875" style="2" customWidth="1"/>
    <col min="10512" max="10512" width="10.21875" style="2" customWidth="1"/>
    <col min="10513" max="10513" width="9.21875" style="2" customWidth="1"/>
    <col min="10514" max="10752" width="8.77734375" style="2"/>
    <col min="10753" max="10753" width="4.21875" style="2" customWidth="1"/>
    <col min="10754" max="10754" width="2.5546875" style="2" customWidth="1"/>
    <col min="10755" max="10758" width="8.77734375" style="2"/>
    <col min="10759" max="10759" width="4.5546875" style="2" customWidth="1"/>
    <col min="10760" max="10760" width="10.21875" style="2" customWidth="1"/>
    <col min="10761" max="10761" width="3.21875" style="2" customWidth="1"/>
    <col min="10762" max="10762" width="8.77734375" style="2"/>
    <col min="10763" max="10763" width="6.21875" style="2" customWidth="1"/>
    <col min="10764" max="10764" width="3.77734375" style="2" customWidth="1"/>
    <col min="10765" max="10765" width="10.77734375" style="2" customWidth="1"/>
    <col min="10766" max="10766" width="4.21875" style="2" customWidth="1"/>
    <col min="10767" max="10767" width="12.21875" style="2" customWidth="1"/>
    <col min="10768" max="10768" width="10.21875" style="2" customWidth="1"/>
    <col min="10769" max="10769" width="9.21875" style="2" customWidth="1"/>
    <col min="10770" max="11008" width="8.77734375" style="2"/>
    <col min="11009" max="11009" width="4.21875" style="2" customWidth="1"/>
    <col min="11010" max="11010" width="2.5546875" style="2" customWidth="1"/>
    <col min="11011" max="11014" width="8.77734375" style="2"/>
    <col min="11015" max="11015" width="4.5546875" style="2" customWidth="1"/>
    <col min="11016" max="11016" width="10.21875" style="2" customWidth="1"/>
    <col min="11017" max="11017" width="3.21875" style="2" customWidth="1"/>
    <col min="11018" max="11018" width="8.77734375" style="2"/>
    <col min="11019" max="11019" width="6.21875" style="2" customWidth="1"/>
    <col min="11020" max="11020" width="3.77734375" style="2" customWidth="1"/>
    <col min="11021" max="11021" width="10.77734375" style="2" customWidth="1"/>
    <col min="11022" max="11022" width="4.21875" style="2" customWidth="1"/>
    <col min="11023" max="11023" width="12.21875" style="2" customWidth="1"/>
    <col min="11024" max="11024" width="10.21875" style="2" customWidth="1"/>
    <col min="11025" max="11025" width="9.21875" style="2" customWidth="1"/>
    <col min="11026" max="11264" width="8.77734375" style="2"/>
    <col min="11265" max="11265" width="4.21875" style="2" customWidth="1"/>
    <col min="11266" max="11266" width="2.5546875" style="2" customWidth="1"/>
    <col min="11267" max="11270" width="8.77734375" style="2"/>
    <col min="11271" max="11271" width="4.5546875" style="2" customWidth="1"/>
    <col min="11272" max="11272" width="10.21875" style="2" customWidth="1"/>
    <col min="11273" max="11273" width="3.21875" style="2" customWidth="1"/>
    <col min="11274" max="11274" width="8.77734375" style="2"/>
    <col min="11275" max="11275" width="6.21875" style="2" customWidth="1"/>
    <col min="11276" max="11276" width="3.77734375" style="2" customWidth="1"/>
    <col min="11277" max="11277" width="10.77734375" style="2" customWidth="1"/>
    <col min="11278" max="11278" width="4.21875" style="2" customWidth="1"/>
    <col min="11279" max="11279" width="12.21875" style="2" customWidth="1"/>
    <col min="11280" max="11280" width="10.21875" style="2" customWidth="1"/>
    <col min="11281" max="11281" width="9.21875" style="2" customWidth="1"/>
    <col min="11282" max="11520" width="8.77734375" style="2"/>
    <col min="11521" max="11521" width="4.21875" style="2" customWidth="1"/>
    <col min="11522" max="11522" width="2.5546875" style="2" customWidth="1"/>
    <col min="11523" max="11526" width="8.77734375" style="2"/>
    <col min="11527" max="11527" width="4.5546875" style="2" customWidth="1"/>
    <col min="11528" max="11528" width="10.21875" style="2" customWidth="1"/>
    <col min="11529" max="11529" width="3.21875" style="2" customWidth="1"/>
    <col min="11530" max="11530" width="8.77734375" style="2"/>
    <col min="11531" max="11531" width="6.21875" style="2" customWidth="1"/>
    <col min="11532" max="11532" width="3.77734375" style="2" customWidth="1"/>
    <col min="11533" max="11533" width="10.77734375" style="2" customWidth="1"/>
    <col min="11534" max="11534" width="4.21875" style="2" customWidth="1"/>
    <col min="11535" max="11535" width="12.21875" style="2" customWidth="1"/>
    <col min="11536" max="11536" width="10.21875" style="2" customWidth="1"/>
    <col min="11537" max="11537" width="9.21875" style="2" customWidth="1"/>
    <col min="11538" max="11776" width="8.77734375" style="2"/>
    <col min="11777" max="11777" width="4.21875" style="2" customWidth="1"/>
    <col min="11778" max="11778" width="2.5546875" style="2" customWidth="1"/>
    <col min="11779" max="11782" width="8.77734375" style="2"/>
    <col min="11783" max="11783" width="4.5546875" style="2" customWidth="1"/>
    <col min="11784" max="11784" width="10.21875" style="2" customWidth="1"/>
    <col min="11785" max="11785" width="3.21875" style="2" customWidth="1"/>
    <col min="11786" max="11786" width="8.77734375" style="2"/>
    <col min="11787" max="11787" width="6.21875" style="2" customWidth="1"/>
    <col min="11788" max="11788" width="3.77734375" style="2" customWidth="1"/>
    <col min="11789" max="11789" width="10.77734375" style="2" customWidth="1"/>
    <col min="11790" max="11790" width="4.21875" style="2" customWidth="1"/>
    <col min="11791" max="11791" width="12.21875" style="2" customWidth="1"/>
    <col min="11792" max="11792" width="10.21875" style="2" customWidth="1"/>
    <col min="11793" max="11793" width="9.21875" style="2" customWidth="1"/>
    <col min="11794" max="12032" width="8.77734375" style="2"/>
    <col min="12033" max="12033" width="4.21875" style="2" customWidth="1"/>
    <col min="12034" max="12034" width="2.5546875" style="2" customWidth="1"/>
    <col min="12035" max="12038" width="8.77734375" style="2"/>
    <col min="12039" max="12039" width="4.5546875" style="2" customWidth="1"/>
    <col min="12040" max="12040" width="10.21875" style="2" customWidth="1"/>
    <col min="12041" max="12041" width="3.21875" style="2" customWidth="1"/>
    <col min="12042" max="12042" width="8.77734375" style="2"/>
    <col min="12043" max="12043" width="6.21875" style="2" customWidth="1"/>
    <col min="12044" max="12044" width="3.77734375" style="2" customWidth="1"/>
    <col min="12045" max="12045" width="10.77734375" style="2" customWidth="1"/>
    <col min="12046" max="12046" width="4.21875" style="2" customWidth="1"/>
    <col min="12047" max="12047" width="12.21875" style="2" customWidth="1"/>
    <col min="12048" max="12048" width="10.21875" style="2" customWidth="1"/>
    <col min="12049" max="12049" width="9.21875" style="2" customWidth="1"/>
    <col min="12050" max="12288" width="8.77734375" style="2"/>
    <col min="12289" max="12289" width="4.21875" style="2" customWidth="1"/>
    <col min="12290" max="12290" width="2.5546875" style="2" customWidth="1"/>
    <col min="12291" max="12294" width="8.77734375" style="2"/>
    <col min="12295" max="12295" width="4.5546875" style="2" customWidth="1"/>
    <col min="12296" max="12296" width="10.21875" style="2" customWidth="1"/>
    <col min="12297" max="12297" width="3.21875" style="2" customWidth="1"/>
    <col min="12298" max="12298" width="8.77734375" style="2"/>
    <col min="12299" max="12299" width="6.21875" style="2" customWidth="1"/>
    <col min="12300" max="12300" width="3.77734375" style="2" customWidth="1"/>
    <col min="12301" max="12301" width="10.77734375" style="2" customWidth="1"/>
    <col min="12302" max="12302" width="4.21875" style="2" customWidth="1"/>
    <col min="12303" max="12303" width="12.21875" style="2" customWidth="1"/>
    <col min="12304" max="12304" width="10.21875" style="2" customWidth="1"/>
    <col min="12305" max="12305" width="9.21875" style="2" customWidth="1"/>
    <col min="12306" max="12544" width="8.77734375" style="2"/>
    <col min="12545" max="12545" width="4.21875" style="2" customWidth="1"/>
    <col min="12546" max="12546" width="2.5546875" style="2" customWidth="1"/>
    <col min="12547" max="12550" width="8.77734375" style="2"/>
    <col min="12551" max="12551" width="4.5546875" style="2" customWidth="1"/>
    <col min="12552" max="12552" width="10.21875" style="2" customWidth="1"/>
    <col min="12553" max="12553" width="3.21875" style="2" customWidth="1"/>
    <col min="12554" max="12554" width="8.77734375" style="2"/>
    <col min="12555" max="12555" width="6.21875" style="2" customWidth="1"/>
    <col min="12556" max="12556" width="3.77734375" style="2" customWidth="1"/>
    <col min="12557" max="12557" width="10.77734375" style="2" customWidth="1"/>
    <col min="12558" max="12558" width="4.21875" style="2" customWidth="1"/>
    <col min="12559" max="12559" width="12.21875" style="2" customWidth="1"/>
    <col min="12560" max="12560" width="10.21875" style="2" customWidth="1"/>
    <col min="12561" max="12561" width="9.21875" style="2" customWidth="1"/>
    <col min="12562" max="12800" width="8.77734375" style="2"/>
    <col min="12801" max="12801" width="4.21875" style="2" customWidth="1"/>
    <col min="12802" max="12802" width="2.5546875" style="2" customWidth="1"/>
    <col min="12803" max="12806" width="8.77734375" style="2"/>
    <col min="12807" max="12807" width="4.5546875" style="2" customWidth="1"/>
    <col min="12808" max="12808" width="10.21875" style="2" customWidth="1"/>
    <col min="12809" max="12809" width="3.21875" style="2" customWidth="1"/>
    <col min="12810" max="12810" width="8.77734375" style="2"/>
    <col min="12811" max="12811" width="6.21875" style="2" customWidth="1"/>
    <col min="12812" max="12812" width="3.77734375" style="2" customWidth="1"/>
    <col min="12813" max="12813" width="10.77734375" style="2" customWidth="1"/>
    <col min="12814" max="12814" width="4.21875" style="2" customWidth="1"/>
    <col min="12815" max="12815" width="12.21875" style="2" customWidth="1"/>
    <col min="12816" max="12816" width="10.21875" style="2" customWidth="1"/>
    <col min="12817" max="12817" width="9.21875" style="2" customWidth="1"/>
    <col min="12818" max="13056" width="8.77734375" style="2"/>
    <col min="13057" max="13057" width="4.21875" style="2" customWidth="1"/>
    <col min="13058" max="13058" width="2.5546875" style="2" customWidth="1"/>
    <col min="13059" max="13062" width="8.77734375" style="2"/>
    <col min="13063" max="13063" width="4.5546875" style="2" customWidth="1"/>
    <col min="13064" max="13064" width="10.21875" style="2" customWidth="1"/>
    <col min="13065" max="13065" width="3.21875" style="2" customWidth="1"/>
    <col min="13066" max="13066" width="8.77734375" style="2"/>
    <col min="13067" max="13067" width="6.21875" style="2" customWidth="1"/>
    <col min="13068" max="13068" width="3.77734375" style="2" customWidth="1"/>
    <col min="13069" max="13069" width="10.77734375" style="2" customWidth="1"/>
    <col min="13070" max="13070" width="4.21875" style="2" customWidth="1"/>
    <col min="13071" max="13071" width="12.21875" style="2" customWidth="1"/>
    <col min="13072" max="13072" width="10.21875" style="2" customWidth="1"/>
    <col min="13073" max="13073" width="9.21875" style="2" customWidth="1"/>
    <col min="13074" max="13312" width="8.77734375" style="2"/>
    <col min="13313" max="13313" width="4.21875" style="2" customWidth="1"/>
    <col min="13314" max="13314" width="2.5546875" style="2" customWidth="1"/>
    <col min="13315" max="13318" width="8.77734375" style="2"/>
    <col min="13319" max="13319" width="4.5546875" style="2" customWidth="1"/>
    <col min="13320" max="13320" width="10.21875" style="2" customWidth="1"/>
    <col min="13321" max="13321" width="3.21875" style="2" customWidth="1"/>
    <col min="13322" max="13322" width="8.77734375" style="2"/>
    <col min="13323" max="13323" width="6.21875" style="2" customWidth="1"/>
    <col min="13324" max="13324" width="3.77734375" style="2" customWidth="1"/>
    <col min="13325" max="13325" width="10.77734375" style="2" customWidth="1"/>
    <col min="13326" max="13326" width="4.21875" style="2" customWidth="1"/>
    <col min="13327" max="13327" width="12.21875" style="2" customWidth="1"/>
    <col min="13328" max="13328" width="10.21875" style="2" customWidth="1"/>
    <col min="13329" max="13329" width="9.21875" style="2" customWidth="1"/>
    <col min="13330" max="13568" width="8.77734375" style="2"/>
    <col min="13569" max="13569" width="4.21875" style="2" customWidth="1"/>
    <col min="13570" max="13570" width="2.5546875" style="2" customWidth="1"/>
    <col min="13571" max="13574" width="8.77734375" style="2"/>
    <col min="13575" max="13575" width="4.5546875" style="2" customWidth="1"/>
    <col min="13576" max="13576" width="10.21875" style="2" customWidth="1"/>
    <col min="13577" max="13577" width="3.21875" style="2" customWidth="1"/>
    <col min="13578" max="13578" width="8.77734375" style="2"/>
    <col min="13579" max="13579" width="6.21875" style="2" customWidth="1"/>
    <col min="13580" max="13580" width="3.77734375" style="2" customWidth="1"/>
    <col min="13581" max="13581" width="10.77734375" style="2" customWidth="1"/>
    <col min="13582" max="13582" width="4.21875" style="2" customWidth="1"/>
    <col min="13583" max="13583" width="12.21875" style="2" customWidth="1"/>
    <col min="13584" max="13584" width="10.21875" style="2" customWidth="1"/>
    <col min="13585" max="13585" width="9.21875" style="2" customWidth="1"/>
    <col min="13586" max="13824" width="8.77734375" style="2"/>
    <col min="13825" max="13825" width="4.21875" style="2" customWidth="1"/>
    <col min="13826" max="13826" width="2.5546875" style="2" customWidth="1"/>
    <col min="13827" max="13830" width="8.77734375" style="2"/>
    <col min="13831" max="13831" width="4.5546875" style="2" customWidth="1"/>
    <col min="13832" max="13832" width="10.21875" style="2" customWidth="1"/>
    <col min="13833" max="13833" width="3.21875" style="2" customWidth="1"/>
    <col min="13834" max="13834" width="8.77734375" style="2"/>
    <col min="13835" max="13835" width="6.21875" style="2" customWidth="1"/>
    <col min="13836" max="13836" width="3.77734375" style="2" customWidth="1"/>
    <col min="13837" max="13837" width="10.77734375" style="2" customWidth="1"/>
    <col min="13838" max="13838" width="4.21875" style="2" customWidth="1"/>
    <col min="13839" max="13839" width="12.21875" style="2" customWidth="1"/>
    <col min="13840" max="13840" width="10.21875" style="2" customWidth="1"/>
    <col min="13841" max="13841" width="9.21875" style="2" customWidth="1"/>
    <col min="13842" max="14080" width="8.77734375" style="2"/>
    <col min="14081" max="14081" width="4.21875" style="2" customWidth="1"/>
    <col min="14082" max="14082" width="2.5546875" style="2" customWidth="1"/>
    <col min="14083" max="14086" width="8.77734375" style="2"/>
    <col min="14087" max="14087" width="4.5546875" style="2" customWidth="1"/>
    <col min="14088" max="14088" width="10.21875" style="2" customWidth="1"/>
    <col min="14089" max="14089" width="3.21875" style="2" customWidth="1"/>
    <col min="14090" max="14090" width="8.77734375" style="2"/>
    <col min="14091" max="14091" width="6.21875" style="2" customWidth="1"/>
    <col min="14092" max="14092" width="3.77734375" style="2" customWidth="1"/>
    <col min="14093" max="14093" width="10.77734375" style="2" customWidth="1"/>
    <col min="14094" max="14094" width="4.21875" style="2" customWidth="1"/>
    <col min="14095" max="14095" width="12.21875" style="2" customWidth="1"/>
    <col min="14096" max="14096" width="10.21875" style="2" customWidth="1"/>
    <col min="14097" max="14097" width="9.21875" style="2" customWidth="1"/>
    <col min="14098" max="14336" width="8.77734375" style="2"/>
    <col min="14337" max="14337" width="4.21875" style="2" customWidth="1"/>
    <col min="14338" max="14338" width="2.5546875" style="2" customWidth="1"/>
    <col min="14339" max="14342" width="8.77734375" style="2"/>
    <col min="14343" max="14343" width="4.5546875" style="2" customWidth="1"/>
    <col min="14344" max="14344" width="10.21875" style="2" customWidth="1"/>
    <col min="14345" max="14345" width="3.21875" style="2" customWidth="1"/>
    <col min="14346" max="14346" width="8.77734375" style="2"/>
    <col min="14347" max="14347" width="6.21875" style="2" customWidth="1"/>
    <col min="14348" max="14348" width="3.77734375" style="2" customWidth="1"/>
    <col min="14349" max="14349" width="10.77734375" style="2" customWidth="1"/>
    <col min="14350" max="14350" width="4.21875" style="2" customWidth="1"/>
    <col min="14351" max="14351" width="12.21875" style="2" customWidth="1"/>
    <col min="14352" max="14352" width="10.21875" style="2" customWidth="1"/>
    <col min="14353" max="14353" width="9.21875" style="2" customWidth="1"/>
    <col min="14354" max="14592" width="8.77734375" style="2"/>
    <col min="14593" max="14593" width="4.21875" style="2" customWidth="1"/>
    <col min="14594" max="14594" width="2.5546875" style="2" customWidth="1"/>
    <col min="14595" max="14598" width="8.77734375" style="2"/>
    <col min="14599" max="14599" width="4.5546875" style="2" customWidth="1"/>
    <col min="14600" max="14600" width="10.21875" style="2" customWidth="1"/>
    <col min="14601" max="14601" width="3.21875" style="2" customWidth="1"/>
    <col min="14602" max="14602" width="8.77734375" style="2"/>
    <col min="14603" max="14603" width="6.21875" style="2" customWidth="1"/>
    <col min="14604" max="14604" width="3.77734375" style="2" customWidth="1"/>
    <col min="14605" max="14605" width="10.77734375" style="2" customWidth="1"/>
    <col min="14606" max="14606" width="4.21875" style="2" customWidth="1"/>
    <col min="14607" max="14607" width="12.21875" style="2" customWidth="1"/>
    <col min="14608" max="14608" width="10.21875" style="2" customWidth="1"/>
    <col min="14609" max="14609" width="9.21875" style="2" customWidth="1"/>
    <col min="14610" max="14848" width="8.77734375" style="2"/>
    <col min="14849" max="14849" width="4.21875" style="2" customWidth="1"/>
    <col min="14850" max="14850" width="2.5546875" style="2" customWidth="1"/>
    <col min="14851" max="14854" width="8.77734375" style="2"/>
    <col min="14855" max="14855" width="4.5546875" style="2" customWidth="1"/>
    <col min="14856" max="14856" width="10.21875" style="2" customWidth="1"/>
    <col min="14857" max="14857" width="3.21875" style="2" customWidth="1"/>
    <col min="14858" max="14858" width="8.77734375" style="2"/>
    <col min="14859" max="14859" width="6.21875" style="2" customWidth="1"/>
    <col min="14860" max="14860" width="3.77734375" style="2" customWidth="1"/>
    <col min="14861" max="14861" width="10.77734375" style="2" customWidth="1"/>
    <col min="14862" max="14862" width="4.21875" style="2" customWidth="1"/>
    <col min="14863" max="14863" width="12.21875" style="2" customWidth="1"/>
    <col min="14864" max="14864" width="10.21875" style="2" customWidth="1"/>
    <col min="14865" max="14865" width="9.21875" style="2" customWidth="1"/>
    <col min="14866" max="15104" width="8.77734375" style="2"/>
    <col min="15105" max="15105" width="4.21875" style="2" customWidth="1"/>
    <col min="15106" max="15106" width="2.5546875" style="2" customWidth="1"/>
    <col min="15107" max="15110" width="8.77734375" style="2"/>
    <col min="15111" max="15111" width="4.5546875" style="2" customWidth="1"/>
    <col min="15112" max="15112" width="10.21875" style="2" customWidth="1"/>
    <col min="15113" max="15113" width="3.21875" style="2" customWidth="1"/>
    <col min="15114" max="15114" width="8.77734375" style="2"/>
    <col min="15115" max="15115" width="6.21875" style="2" customWidth="1"/>
    <col min="15116" max="15116" width="3.77734375" style="2" customWidth="1"/>
    <col min="15117" max="15117" width="10.77734375" style="2" customWidth="1"/>
    <col min="15118" max="15118" width="4.21875" style="2" customWidth="1"/>
    <col min="15119" max="15119" width="12.21875" style="2" customWidth="1"/>
    <col min="15120" max="15120" width="10.21875" style="2" customWidth="1"/>
    <col min="15121" max="15121" width="9.21875" style="2" customWidth="1"/>
    <col min="15122" max="15360" width="8.77734375" style="2"/>
    <col min="15361" max="15361" width="4.21875" style="2" customWidth="1"/>
    <col min="15362" max="15362" width="2.5546875" style="2" customWidth="1"/>
    <col min="15363" max="15366" width="8.77734375" style="2"/>
    <col min="15367" max="15367" width="4.5546875" style="2" customWidth="1"/>
    <col min="15368" max="15368" width="10.21875" style="2" customWidth="1"/>
    <col min="15369" max="15369" width="3.21875" style="2" customWidth="1"/>
    <col min="15370" max="15370" width="8.77734375" style="2"/>
    <col min="15371" max="15371" width="6.21875" style="2" customWidth="1"/>
    <col min="15372" max="15372" width="3.77734375" style="2" customWidth="1"/>
    <col min="15373" max="15373" width="10.77734375" style="2" customWidth="1"/>
    <col min="15374" max="15374" width="4.21875" style="2" customWidth="1"/>
    <col min="15375" max="15375" width="12.21875" style="2" customWidth="1"/>
    <col min="15376" max="15376" width="10.21875" style="2" customWidth="1"/>
    <col min="15377" max="15377" width="9.21875" style="2" customWidth="1"/>
    <col min="15378" max="15616" width="8.77734375" style="2"/>
    <col min="15617" max="15617" width="4.21875" style="2" customWidth="1"/>
    <col min="15618" max="15618" width="2.5546875" style="2" customWidth="1"/>
    <col min="15619" max="15622" width="8.77734375" style="2"/>
    <col min="15623" max="15623" width="4.5546875" style="2" customWidth="1"/>
    <col min="15624" max="15624" width="10.21875" style="2" customWidth="1"/>
    <col min="15625" max="15625" width="3.21875" style="2" customWidth="1"/>
    <col min="15626" max="15626" width="8.77734375" style="2"/>
    <col min="15627" max="15627" width="6.21875" style="2" customWidth="1"/>
    <col min="15628" max="15628" width="3.77734375" style="2" customWidth="1"/>
    <col min="15629" max="15629" width="10.77734375" style="2" customWidth="1"/>
    <col min="15630" max="15630" width="4.21875" style="2" customWidth="1"/>
    <col min="15631" max="15631" width="12.21875" style="2" customWidth="1"/>
    <col min="15632" max="15632" width="10.21875" style="2" customWidth="1"/>
    <col min="15633" max="15633" width="9.21875" style="2" customWidth="1"/>
    <col min="15634" max="15872" width="8.77734375" style="2"/>
    <col min="15873" max="15873" width="4.21875" style="2" customWidth="1"/>
    <col min="15874" max="15874" width="2.5546875" style="2" customWidth="1"/>
    <col min="15875" max="15878" width="8.77734375" style="2"/>
    <col min="15879" max="15879" width="4.5546875" style="2" customWidth="1"/>
    <col min="15880" max="15880" width="10.21875" style="2" customWidth="1"/>
    <col min="15881" max="15881" width="3.21875" style="2" customWidth="1"/>
    <col min="15882" max="15882" width="8.77734375" style="2"/>
    <col min="15883" max="15883" width="6.21875" style="2" customWidth="1"/>
    <col min="15884" max="15884" width="3.77734375" style="2" customWidth="1"/>
    <col min="15885" max="15885" width="10.77734375" style="2" customWidth="1"/>
    <col min="15886" max="15886" width="4.21875" style="2" customWidth="1"/>
    <col min="15887" max="15887" width="12.21875" style="2" customWidth="1"/>
    <col min="15888" max="15888" width="10.21875" style="2" customWidth="1"/>
    <col min="15889" max="15889" width="9.21875" style="2" customWidth="1"/>
    <col min="15890" max="16128" width="8.77734375" style="2"/>
    <col min="16129" max="16129" width="4.21875" style="2" customWidth="1"/>
    <col min="16130" max="16130" width="2.5546875" style="2" customWidth="1"/>
    <col min="16131" max="16134" width="8.77734375" style="2"/>
    <col min="16135" max="16135" width="4.5546875" style="2" customWidth="1"/>
    <col min="16136" max="16136" width="10.21875" style="2" customWidth="1"/>
    <col min="16137" max="16137" width="3.21875" style="2" customWidth="1"/>
    <col min="16138" max="16138" width="8.77734375" style="2"/>
    <col min="16139" max="16139" width="6.21875" style="2" customWidth="1"/>
    <col min="16140" max="16140" width="3.77734375" style="2" customWidth="1"/>
    <col min="16141" max="16141" width="10.77734375" style="2" customWidth="1"/>
    <col min="16142" max="16142" width="4.21875" style="2" customWidth="1"/>
    <col min="16143" max="16143" width="12.21875" style="2" customWidth="1"/>
    <col min="16144" max="16144" width="10.21875" style="2" customWidth="1"/>
    <col min="16145" max="16145" width="9.21875" style="2" customWidth="1"/>
    <col min="16146" max="16384" width="8.77734375" style="2"/>
  </cols>
  <sheetData>
    <row r="1" spans="1:18" ht="14.25" customHeight="1">
      <c r="A1" s="1220" t="s">
        <v>20</v>
      </c>
      <c r="B1" s="1220"/>
      <c r="C1" s="1220"/>
      <c r="D1" s="1220"/>
      <c r="E1" s="1220"/>
      <c r="F1" s="1220"/>
      <c r="G1" s="1220"/>
      <c r="H1" s="1220"/>
      <c r="I1" s="1220"/>
      <c r="J1" s="1220"/>
      <c r="K1" s="1220"/>
      <c r="L1" s="1220"/>
      <c r="M1" s="1220"/>
      <c r="N1" s="1220"/>
      <c r="O1" s="1220"/>
      <c r="P1" s="49"/>
      <c r="Q1" s="50"/>
      <c r="R1" s="49"/>
    </row>
    <row r="2" spans="1:18" ht="15.6">
      <c r="A2" s="1220" t="s">
        <v>21</v>
      </c>
      <c r="B2" s="1220"/>
      <c r="C2" s="1220"/>
      <c r="D2" s="1220"/>
      <c r="E2" s="1220"/>
      <c r="F2" s="1220"/>
      <c r="G2" s="1220"/>
      <c r="H2" s="1220"/>
      <c r="I2" s="1220"/>
      <c r="J2" s="1220"/>
      <c r="K2" s="1220"/>
      <c r="L2" s="1220"/>
      <c r="M2" s="1220"/>
      <c r="N2" s="1220"/>
      <c r="O2" s="1220"/>
      <c r="P2" s="49"/>
      <c r="Q2" s="50"/>
      <c r="R2" s="49"/>
    </row>
    <row r="3" spans="1:18" ht="15.6">
      <c r="A3" s="1225" t="s">
        <v>41</v>
      </c>
      <c r="B3" s="1225"/>
      <c r="C3" s="1225"/>
      <c r="D3" s="1225"/>
      <c r="E3" s="1225"/>
      <c r="F3" s="1225"/>
      <c r="G3" s="1225"/>
      <c r="H3" s="1225"/>
      <c r="I3" s="1225"/>
      <c r="J3" s="1225"/>
      <c r="K3" s="1225"/>
      <c r="L3" s="1225"/>
      <c r="M3" s="1225"/>
      <c r="N3" s="1225"/>
      <c r="O3" s="1225"/>
    </row>
    <row r="4" spans="1:18" ht="39" customHeight="1">
      <c r="A4" s="33" t="s">
        <v>22</v>
      </c>
      <c r="F4" s="34" t="s">
        <v>23</v>
      </c>
      <c r="H4" s="35" t="s">
        <v>24</v>
      </c>
      <c r="I4" s="36"/>
      <c r="J4" s="1221" t="s">
        <v>25</v>
      </c>
      <c r="K4" s="1217"/>
      <c r="M4" s="3" t="s">
        <v>26</v>
      </c>
      <c r="O4" s="37" t="s">
        <v>27</v>
      </c>
    </row>
    <row r="5" spans="1:18" ht="6.75" customHeight="1"/>
    <row r="6" spans="1:18" ht="15">
      <c r="B6" s="5" t="s">
        <v>6</v>
      </c>
      <c r="F6" s="38">
        <f>IF('Input (7)'!$E$4=0,"0",'Input (7)'!$E$4)</f>
        <v>19</v>
      </c>
      <c r="J6" s="1222">
        <f>IF('Input (7)'!E4=0,"0",'Input (7)'!E4)</f>
        <v>19</v>
      </c>
      <c r="K6" s="1222"/>
      <c r="L6" s="40" t="s">
        <v>28</v>
      </c>
      <c r="M6" s="41">
        <f>IF('Input (7)'!E4=0,0,LOOKUP(J6,'criteria (7)'!$A$3:$A$10,'criteria (7)'!$B$3:$B$10))</f>
        <v>40</v>
      </c>
      <c r="N6" s="42" t="s">
        <v>29</v>
      </c>
      <c r="O6" s="38">
        <f>IF(Q6=0,0,IF(Q6&lt;LOOKUP(J6,'criteria (7)'!$A$3:$A$10,'criteria (7)'!$C$3:$C$10),LOOKUP(J6,'criteria (7)'!$A$3:$A$10,'criteria (7)'!$C$3:$C$10),IF(LOOKUP(J6,'criteria (7)'!$A$3:$A$10,'criteria (7)'!$C$3:$C$10)=0,0,Q6)))</f>
        <v>0.6</v>
      </c>
      <c r="P6" s="28" t="str">
        <f>IF('Input (7)'!E4=0," ",IF(O6=0,"ADD to 1-6",IF(O6=Q6," ","Minimum")))</f>
        <v>Minimum</v>
      </c>
      <c r="Q6" s="32">
        <f>ROUND(IF('Input (7)'!E4=0,0,IF(M6=0,0,(J6/M6))),2)</f>
        <v>0.48</v>
      </c>
    </row>
    <row r="7" spans="1:18" ht="6.75" customHeight="1">
      <c r="J7" s="43"/>
      <c r="K7" s="43"/>
    </row>
    <row r="8" spans="1:18">
      <c r="B8" s="5" t="s">
        <v>7</v>
      </c>
      <c r="J8" s="43"/>
      <c r="K8" s="43"/>
    </row>
    <row r="9" spans="1:18">
      <c r="B9" s="28" t="s">
        <v>30</v>
      </c>
      <c r="J9" s="43"/>
      <c r="K9" s="43"/>
    </row>
    <row r="10" spans="1:18" ht="16.5" customHeight="1">
      <c r="C10" s="12" t="s">
        <v>8</v>
      </c>
      <c r="F10" s="41" t="str">
        <f>IF(J10=0," ",IF($J$15&gt;300," ",'Input (7)'!E7))</f>
        <v xml:space="preserve"> </v>
      </c>
      <c r="G10" s="44" t="s">
        <v>31</v>
      </c>
      <c r="H10" s="38" t="str">
        <f>IF(J10=0," ",'C (7)'!H25)</f>
        <v xml:space="preserve"> </v>
      </c>
      <c r="I10" s="42" t="s">
        <v>29</v>
      </c>
      <c r="J10" s="1222">
        <f>IF('Input (7)'!E7=0,0,IF(SUM('Input (7)'!E7-'C (7)'!H25)+SUM('Input (7)'!E8-'C (7)'!H26)&gt;299.99,SUM('Input (7)'!E7-'C (7)'!H25),0))</f>
        <v>0</v>
      </c>
      <c r="K10" s="1222"/>
      <c r="L10" s="40" t="s">
        <v>28</v>
      </c>
      <c r="M10" s="41">
        <f>IF(SUM('Input (7)'!$E$7-'C (7)'!$H$25)+SUM('Input (7)'!$E$8-'C (7)'!$H$26)&gt;299.99,20,0)</f>
        <v>0</v>
      </c>
      <c r="N10" s="42" t="s">
        <v>29</v>
      </c>
      <c r="O10" s="41">
        <f>ROUND(IF(SUM('Input (7)'!$E$7-'C (7)'!$H$25)+SUM('Input (7)'!$E$8-'C (7)'!$H$26)&lt;299.99,0,IF(Q10+Q12&lt;15,0,(J10/M10))),2)</f>
        <v>0</v>
      </c>
      <c r="P10" s="2" t="str">
        <f>IF(O10=0," ",IF(O10=Q10," ","Minimum"))</f>
        <v xml:space="preserve"> </v>
      </c>
      <c r="Q10" s="32">
        <f>ROUND(IF(SUM('Input (7)'!$E$7-'C (7)'!$H$25)+SUM('Input (7)'!$E$8-'C (7)'!$H$26)&lt;299.99,0,(J10/M10)),2)</f>
        <v>0</v>
      </c>
    </row>
    <row r="11" spans="1:18" ht="10.5" customHeight="1">
      <c r="B11" s="12"/>
      <c r="J11" s="43"/>
      <c r="K11" s="43"/>
    </row>
    <row r="12" spans="1:18" ht="15">
      <c r="C12" s="12" t="s">
        <v>9</v>
      </c>
      <c r="F12" s="41" t="str">
        <f>IF(J12=0," ",IF($J$15&gt;300," ",'Input (7)'!E8))</f>
        <v xml:space="preserve"> </v>
      </c>
      <c r="G12" s="44" t="s">
        <v>31</v>
      </c>
      <c r="H12" s="38" t="str">
        <f>IF(J12=0," ",'C (7)'!H26)</f>
        <v xml:space="preserve"> </v>
      </c>
      <c r="I12" s="42" t="s">
        <v>29</v>
      </c>
      <c r="J12" s="1222">
        <f>IF('Input (7)'!E8=0,0,IF(SUM('Input (7)'!E7-'C (7)'!H25)+SUM('Input (7)'!E8-'C (7)'!H26)&gt;299.99,SUM('Input (7)'!E8-'C (7)'!H26),0))</f>
        <v>0</v>
      </c>
      <c r="K12" s="1222"/>
      <c r="L12" s="40" t="s">
        <v>28</v>
      </c>
      <c r="M12" s="41">
        <f>IF(SUM('Input (7)'!$E$7-'C (7)'!$H$25)+SUM('Input (7)'!$E$8-'C (7)'!$H$26)&gt;299.99,23,0)</f>
        <v>0</v>
      </c>
      <c r="N12" s="42" t="s">
        <v>29</v>
      </c>
      <c r="O12" s="41">
        <f>ROUND(IF(SUM('Input (7)'!$E$7-'C (7)'!$H$25)+SUM('Input (7)'!$E$8-'C (7)'!$H$26)&lt;299.99,0,IF(Q10+Q12&lt;15,0,($J$12/$M$12))),2)</f>
        <v>0</v>
      </c>
      <c r="P12" s="2" t="str">
        <f>IF(O12=0," ",IF(O12=Q12," ","Minimum"))</f>
        <v xml:space="preserve"> </v>
      </c>
      <c r="Q12" s="32">
        <f>ROUND(IF(SUM('Input (7)'!$E$7-'C (7)'!$H$25)+SUM('Input (7)'!$E$8-'C (7)'!$H$26)&lt;299.99,0,($J$12/$M$12)),2)</f>
        <v>0</v>
      </c>
    </row>
    <row r="13" spans="1:18">
      <c r="O13" s="36" t="str">
        <f>IF(P13="Minimum",15," ")</f>
        <v xml:space="preserve"> </v>
      </c>
      <c r="P13" s="2" t="str">
        <f>IF(Q10+Q12=0," ",IF(Q10+Q12&lt;15,"Minimum"," "))</f>
        <v xml:space="preserve"> </v>
      </c>
    </row>
    <row r="14" spans="1:18">
      <c r="B14" s="5" t="s">
        <v>7</v>
      </c>
    </row>
    <row r="15" spans="1:18">
      <c r="B15" s="28" t="s">
        <v>32</v>
      </c>
    </row>
    <row r="16" spans="1:18" ht="15">
      <c r="C16" s="12" t="s">
        <v>33</v>
      </c>
      <c r="F16" s="41">
        <f>IF(J16=0," ",IF(J16&lt;300,SUM('Input (7)'!E7+'Input (7)'!E8)," "))</f>
        <v>101.65</v>
      </c>
      <c r="G16" s="44" t="s">
        <v>31</v>
      </c>
      <c r="H16" s="38">
        <f>IF(J16=0," ",'C (7)'!H22)</f>
        <v>7.62</v>
      </c>
      <c r="I16" s="42" t="s">
        <v>29</v>
      </c>
      <c r="J16" s="1222">
        <f>IF('Input (7)'!E9=0,0,IF(SUM('Input (7)'!E7-'C (7)'!H25)+SUM('Input (7)'!E8-'C (7)'!H26)&lt;300,IF(P6="ADD to 1-6",SUM('Input (7)'!E7-'C (7)'!H25)+SUM('Input (7)'!E8-'C (7)'!H26)+'Input (7)'!E4,SUM('Input (7)'!E7-'C (7)'!H25)+SUM('Input (7)'!E8-'C (7)'!H26)),0))</f>
        <v>94.03</v>
      </c>
      <c r="K16" s="1222"/>
      <c r="L16" s="40" t="s">
        <v>28</v>
      </c>
      <c r="M16" s="41">
        <f>IF(J16=0,0,LOOKUP(J16,'criteria (7)'!$M$3:$M$11,'criteria (7)'!$N$3:$N$11))</f>
        <v>16</v>
      </c>
      <c r="N16" s="42" t="s">
        <v>29</v>
      </c>
      <c r="O16" s="38">
        <f>IF(Q16=0,0,IF(Q16&lt;LOOKUP(J16,'criteria (7)'!$M$3:$M$10,'criteria (7)'!$O$3:$O$10),LOOKUP(J16,'criteria (7)'!$M$3:$M$10,'criteria (7)'!$O$3:$O$10),Q16))</f>
        <v>5.88</v>
      </c>
      <c r="P16" s="2" t="str">
        <f>IF(O16=0," ",IF(O16=Q16," ","Minimum"))</f>
        <v xml:space="preserve"> </v>
      </c>
      <c r="Q16" s="32">
        <f>ROUND(IF('Input (7)'!E9=0,0,IF(SUM('Input (7)'!$E$7-'C (7)'!$H$25)+SUM('Input (7)'!$E$8-'C (7)'!$H$26)&gt;299.99,0,(J16/M16))),2)</f>
        <v>5.88</v>
      </c>
    </row>
    <row r="17" spans="1:17" ht="6" customHeight="1">
      <c r="J17" s="43"/>
      <c r="K17" s="43"/>
    </row>
    <row r="18" spans="1:17" ht="15">
      <c r="B18" s="5" t="s">
        <v>10</v>
      </c>
      <c r="F18" s="38">
        <f>IF('Input (7)'!$E$10=0,0,'Input (7)'!$E$10)</f>
        <v>126.35</v>
      </c>
      <c r="G18" s="44" t="s">
        <v>31</v>
      </c>
      <c r="H18" s="51"/>
      <c r="I18" s="42" t="s">
        <v>29</v>
      </c>
      <c r="J18" s="1222">
        <f>IF('Input (7)'!$E$10=0,0,'Input (7)'!$E$10)</f>
        <v>126.35</v>
      </c>
      <c r="K18" s="1222"/>
      <c r="L18" s="40" t="s">
        <v>28</v>
      </c>
      <c r="M18" s="41">
        <f>IF('Input (7)'!C10=0,0,IF(J18&gt;99.99,LOOKUP(J18,'criteria (7)'!Q3:Q10,'criteria (7)'!R3:R10),12))</f>
        <v>12</v>
      </c>
      <c r="N18" s="42" t="s">
        <v>29</v>
      </c>
      <c r="O18" s="41">
        <f>ROUND(IF(J18=0,0,IF(J18&lt;99.99,IF(M18=0,8,(J18/M18)),IF(Q18&lt;LOOKUP(J18,'criteria (7)'!$Q$3:$Q$10,'criteria (7)'!$S$3:$S$10),LOOKUP(J18,'criteria (7)'!$Q$3:$Q$10,'criteria (7)'!$S$3:$S$10),Q18))),2)</f>
        <v>10.53</v>
      </c>
      <c r="P18" s="2" t="str">
        <f>IF(O18=0," ",IF(O18=Q18," ","Minimum"))</f>
        <v xml:space="preserve"> </v>
      </c>
      <c r="Q18" s="32">
        <f>ROUND(IF(M18=0,0,(J18/M18)),2)</f>
        <v>10.53</v>
      </c>
    </row>
    <row r="19" spans="1:17">
      <c r="B19" s="5"/>
      <c r="J19" s="39"/>
      <c r="K19" s="39"/>
      <c r="M19" s="36"/>
      <c r="N19" s="42"/>
      <c r="O19" s="36"/>
    </row>
    <row r="20" spans="1:17" ht="15">
      <c r="A20" s="45" t="s">
        <v>34</v>
      </c>
      <c r="J20" s="43"/>
      <c r="K20" s="43"/>
    </row>
    <row r="21" spans="1:17" ht="3.75" customHeight="1">
      <c r="J21" s="43"/>
      <c r="K21" s="43"/>
    </row>
    <row r="22" spans="1:17">
      <c r="B22" s="2" t="s">
        <v>35</v>
      </c>
      <c r="J22" s="1222" t="str">
        <f>IF('C (7)'!H55=0," ",'C (7)'!H55)</f>
        <v xml:space="preserve"> </v>
      </c>
      <c r="K22" s="1222"/>
    </row>
    <row r="23" spans="1:17" ht="7.5" customHeight="1">
      <c r="J23" s="43"/>
      <c r="K23" s="43"/>
    </row>
    <row r="24" spans="1:17">
      <c r="B24" s="2" t="s">
        <v>36</v>
      </c>
      <c r="J24" s="1222">
        <f>IF('C (7)'!H22=0," ",'C (7)'!H22)</f>
        <v>7.62</v>
      </c>
      <c r="K24" s="1222"/>
    </row>
    <row r="25" spans="1:17" ht="7.5" customHeight="1">
      <c r="J25" s="43"/>
      <c r="K25" s="43"/>
    </row>
    <row r="26" spans="1:17">
      <c r="B26" s="2" t="s">
        <v>37</v>
      </c>
      <c r="J26" s="1222">
        <f>0</f>
        <v>0</v>
      </c>
      <c r="K26" s="1222"/>
    </row>
    <row r="27" spans="1:17" ht="7.5" customHeight="1">
      <c r="J27" s="43"/>
      <c r="K27" s="43"/>
    </row>
    <row r="28" spans="1:17" ht="6" customHeight="1">
      <c r="J28" s="39"/>
      <c r="K28" s="39"/>
    </row>
    <row r="29" spans="1:17" ht="15.6" thickBot="1">
      <c r="B29" s="46" t="s">
        <v>38</v>
      </c>
      <c r="J29" s="1219">
        <f>SUM(J22:K27)</f>
        <v>7.62</v>
      </c>
      <c r="K29" s="1219"/>
      <c r="L29" s="40" t="s">
        <v>28</v>
      </c>
      <c r="M29" s="41">
        <f>IF(SUM('Input (7)'!C4:C10)=0,0,IF(J29&gt;=14,LOOKUP(J29,'criteria (7)'!$U$3:$U$10,'criteria (7)'!$V$3:$V$10),0))</f>
        <v>0</v>
      </c>
      <c r="N29" s="42" t="s">
        <v>29</v>
      </c>
      <c r="O29" s="41">
        <f>IF(J29=0,0,IF(Q29&lt;LOOKUP(J29,'criteria (7)'!$U$3:$U$10,'criteria (7)'!$W$3:$W$10),LOOKUP(J29,'criteria (7)'!$U$3:$U$10,'criteria (7)'!$W$3:$W$10),Q29))</f>
        <v>0.5</v>
      </c>
      <c r="P29" s="2" t="str">
        <f>IF(O29=0," ",IF(O29=Q29," ","Minimum"))</f>
        <v>Minimum</v>
      </c>
      <c r="Q29" s="32">
        <f>ROUND(IF(SUM('Input (7)'!C4:C10)=0,0,IF(M29=0,0,(J29/M29))),2)</f>
        <v>0</v>
      </c>
    </row>
    <row r="30" spans="1:17" ht="11.25" customHeight="1" thickTop="1">
      <c r="B30" s="46"/>
      <c r="J30" s="39"/>
      <c r="K30" s="39"/>
      <c r="L30" s="40"/>
      <c r="M30" s="36"/>
      <c r="N30" s="42"/>
      <c r="O30" s="36"/>
    </row>
    <row r="31" spans="1:17" ht="19.5" customHeight="1">
      <c r="A31" s="48" t="s">
        <v>39</v>
      </c>
    </row>
    <row r="32" spans="1:17" ht="15">
      <c r="B32" s="1223" t="str">
        <f>IF('Input (7)'!E14=0," ","Alternative Secondary High School")</f>
        <v xml:space="preserve"> </v>
      </c>
      <c r="C32" s="1223"/>
      <c r="D32" s="1223"/>
      <c r="E32" s="1223"/>
      <c r="F32" s="1223"/>
      <c r="G32" s="1223"/>
      <c r="H32" s="1223"/>
      <c r="J32" s="1222">
        <f>'Input (7)'!E14</f>
        <v>0</v>
      </c>
      <c r="K32" s="1222"/>
      <c r="L32" s="40" t="s">
        <v>28</v>
      </c>
      <c r="M32" s="41">
        <f>IF(J32=0,0,IF(Q32&lt;1,M18,12))</f>
        <v>0</v>
      </c>
      <c r="N32" s="42" t="s">
        <v>29</v>
      </c>
      <c r="O32" s="38">
        <f>ROUND(IF(J32=0,0,J32/M32),2)</f>
        <v>0</v>
      </c>
      <c r="P32" s="45"/>
      <c r="Q32" s="32">
        <f>ROUND(IF(J32=0,0,J32/12),2)</f>
        <v>0</v>
      </c>
    </row>
    <row r="33" spans="1:17" ht="11.25" customHeight="1">
      <c r="J33" s="43"/>
      <c r="K33" s="43"/>
      <c r="O33" s="43"/>
    </row>
    <row r="34" spans="1:17" ht="11.25" customHeight="1">
      <c r="B34" s="1223" t="str">
        <f>IF('Input (7)'!E15=0," ","Summer Alternative Secondary High School")</f>
        <v xml:space="preserve"> </v>
      </c>
      <c r="C34" s="1223"/>
      <c r="D34" s="1223"/>
      <c r="E34" s="1223"/>
      <c r="F34" s="1223"/>
      <c r="G34" s="1223"/>
      <c r="J34" s="1222">
        <f>'Input (7)'!E15</f>
        <v>0</v>
      </c>
      <c r="K34" s="1222"/>
      <c r="L34" s="40" t="s">
        <v>28</v>
      </c>
      <c r="M34" s="41">
        <f>IF(J34=0,0,40)</f>
        <v>0</v>
      </c>
      <c r="N34" s="42" t="s">
        <v>29</v>
      </c>
      <c r="O34" s="38">
        <f>ROUND(IF(J34=0,0,J34/M34),2)</f>
        <v>0</v>
      </c>
      <c r="P34" s="45"/>
      <c r="Q34" s="32">
        <f>ROUND(IF(J34=0,0,J34/12),2)</f>
        <v>0</v>
      </c>
    </row>
    <row r="35" spans="1:17" ht="13.5" customHeight="1">
      <c r="J35" s="36"/>
      <c r="K35" s="36"/>
      <c r="L35" s="40"/>
      <c r="M35" s="36"/>
      <c r="N35" s="42"/>
      <c r="O35" s="36"/>
      <c r="P35" s="46"/>
    </row>
    <row r="36" spans="1:17" ht="18.75" customHeight="1" thickBot="1">
      <c r="A36" s="45"/>
      <c r="B36" s="12" t="s">
        <v>40</v>
      </c>
      <c r="C36" s="46"/>
      <c r="D36" s="46"/>
      <c r="E36" s="46"/>
      <c r="F36" s="46"/>
      <c r="G36" s="46"/>
      <c r="H36" s="46"/>
      <c r="I36" s="46"/>
      <c r="J36" s="46"/>
      <c r="K36" s="46"/>
      <c r="M36" s="36" t="s">
        <v>29</v>
      </c>
      <c r="N36" s="1224">
        <f>ROUND(IF(SUM(O6:O34)=0,0,SUM(O6:O34)),2)</f>
        <v>17.510000000000002</v>
      </c>
      <c r="O36" s="1224"/>
    </row>
    <row r="37" spans="1:17" ht="13.8" thickTop="1">
      <c r="M37" s="1218" t="str">
        <f>IF(N36=0," ",IF(N36&lt;'Current Year (7)'!N36,"Do Not Use","You May Use this Calculation"))</f>
        <v>You May Use this Calculation</v>
      </c>
      <c r="N37" s="1218"/>
      <c r="O37" s="1218"/>
      <c r="P37" s="1218"/>
    </row>
  </sheetData>
  <sheetProtection password="CC16" sheet="1" objects="1" scenarios="1"/>
  <mergeCells count="19">
    <mergeCell ref="M37:P37"/>
    <mergeCell ref="J29:K29"/>
    <mergeCell ref="B32:H32"/>
    <mergeCell ref="J32:K32"/>
    <mergeCell ref="B34:G34"/>
    <mergeCell ref="J34:K34"/>
    <mergeCell ref="N36:O36"/>
    <mergeCell ref="J26:K26"/>
    <mergeCell ref="A1:O1"/>
    <mergeCell ref="A2:O2"/>
    <mergeCell ref="A3:O3"/>
    <mergeCell ref="J4:K4"/>
    <mergeCell ref="J6:K6"/>
    <mergeCell ref="J10:K10"/>
    <mergeCell ref="J12:K12"/>
    <mergeCell ref="J16:K16"/>
    <mergeCell ref="J18:K18"/>
    <mergeCell ref="J22:K22"/>
    <mergeCell ref="J24:K24"/>
  </mergeCells>
  <conditionalFormatting sqref="M37:P37">
    <cfRule type="cellIs" dxfId="10" priority="1" stopIfTrue="1" operator="equal">
      <formula>"Do Not Use"</formula>
    </cfRule>
    <cfRule type="cellIs" dxfId="9" priority="2" stopIfTrue="1" operator="equal">
      <formula>"You May Use this Calculation"</formula>
    </cfRule>
  </conditionalFormatting>
  <pageMargins left="0.5" right="0.5" top="0.5" bottom="0.5" header="0.25" footer="0.25"/>
  <pageSetup scale="82" orientation="portrait" r:id="rId1"/>
  <headerFooter alignWithMargins="0">
    <oddFooter>&amp;L&amp;F</oddFooter>
  </headerFooter>
  <colBreaks count="1" manualBreakCount="1">
    <brk id="1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indexed="12"/>
  </sheetPr>
  <dimension ref="A1:H24"/>
  <sheetViews>
    <sheetView workbookViewId="0">
      <selection activeCell="C7" sqref="C7"/>
    </sheetView>
  </sheetViews>
  <sheetFormatPr defaultRowHeight="13.2"/>
  <cols>
    <col min="1" max="1" width="8.77734375" style="2"/>
    <col min="2" max="2" width="24" style="2" customWidth="1"/>
    <col min="3" max="3" width="13.5546875" style="2" customWidth="1"/>
    <col min="4" max="4" width="3.21875" style="2" customWidth="1"/>
    <col min="5" max="5" width="14.77734375" style="2" customWidth="1"/>
    <col min="6" max="6" width="3.21875" style="2" customWidth="1"/>
    <col min="7" max="7" width="14.5546875" style="2" customWidth="1"/>
    <col min="8" max="8" width="3.21875" style="2" customWidth="1"/>
    <col min="9" max="257" width="8.77734375" style="2"/>
    <col min="258" max="258" width="24" style="2" customWidth="1"/>
    <col min="259" max="259" width="13.5546875" style="2" customWidth="1"/>
    <col min="260" max="260" width="3.21875" style="2" customWidth="1"/>
    <col min="261" max="261" width="14.77734375" style="2" customWidth="1"/>
    <col min="262" max="262" width="3.21875" style="2" customWidth="1"/>
    <col min="263" max="263" width="14.5546875" style="2" customWidth="1"/>
    <col min="264" max="264" width="3.21875" style="2" customWidth="1"/>
    <col min="265" max="513" width="8.77734375" style="2"/>
    <col min="514" max="514" width="24" style="2" customWidth="1"/>
    <col min="515" max="515" width="13.5546875" style="2" customWidth="1"/>
    <col min="516" max="516" width="3.21875" style="2" customWidth="1"/>
    <col min="517" max="517" width="14.77734375" style="2" customWidth="1"/>
    <col min="518" max="518" width="3.21875" style="2" customWidth="1"/>
    <col min="519" max="519" width="14.5546875" style="2" customWidth="1"/>
    <col min="520" max="520" width="3.21875" style="2" customWidth="1"/>
    <col min="521" max="769" width="8.77734375" style="2"/>
    <col min="770" max="770" width="24" style="2" customWidth="1"/>
    <col min="771" max="771" width="13.5546875" style="2" customWidth="1"/>
    <col min="772" max="772" width="3.21875" style="2" customWidth="1"/>
    <col min="773" max="773" width="14.77734375" style="2" customWidth="1"/>
    <col min="774" max="774" width="3.21875" style="2" customWidth="1"/>
    <col min="775" max="775" width="14.5546875" style="2" customWidth="1"/>
    <col min="776" max="776" width="3.21875" style="2" customWidth="1"/>
    <col min="777" max="1025" width="8.77734375" style="2"/>
    <col min="1026" max="1026" width="24" style="2" customWidth="1"/>
    <col min="1027" max="1027" width="13.5546875" style="2" customWidth="1"/>
    <col min="1028" max="1028" width="3.21875" style="2" customWidth="1"/>
    <col min="1029" max="1029" width="14.77734375" style="2" customWidth="1"/>
    <col min="1030" max="1030" width="3.21875" style="2" customWidth="1"/>
    <col min="1031" max="1031" width="14.5546875" style="2" customWidth="1"/>
    <col min="1032" max="1032" width="3.21875" style="2" customWidth="1"/>
    <col min="1033" max="1281" width="8.77734375" style="2"/>
    <col min="1282" max="1282" width="24" style="2" customWidth="1"/>
    <col min="1283" max="1283" width="13.5546875" style="2" customWidth="1"/>
    <col min="1284" max="1284" width="3.21875" style="2" customWidth="1"/>
    <col min="1285" max="1285" width="14.77734375" style="2" customWidth="1"/>
    <col min="1286" max="1286" width="3.21875" style="2" customWidth="1"/>
    <col min="1287" max="1287" width="14.5546875" style="2" customWidth="1"/>
    <col min="1288" max="1288" width="3.21875" style="2" customWidth="1"/>
    <col min="1289" max="1537" width="8.77734375" style="2"/>
    <col min="1538" max="1538" width="24" style="2" customWidth="1"/>
    <col min="1539" max="1539" width="13.5546875" style="2" customWidth="1"/>
    <col min="1540" max="1540" width="3.21875" style="2" customWidth="1"/>
    <col min="1541" max="1541" width="14.77734375" style="2" customWidth="1"/>
    <col min="1542" max="1542" width="3.21875" style="2" customWidth="1"/>
    <col min="1543" max="1543" width="14.5546875" style="2" customWidth="1"/>
    <col min="1544" max="1544" width="3.21875" style="2" customWidth="1"/>
    <col min="1545" max="1793" width="8.77734375" style="2"/>
    <col min="1794" max="1794" width="24" style="2" customWidth="1"/>
    <col min="1795" max="1795" width="13.5546875" style="2" customWidth="1"/>
    <col min="1796" max="1796" width="3.21875" style="2" customWidth="1"/>
    <col min="1797" max="1797" width="14.77734375" style="2" customWidth="1"/>
    <col min="1798" max="1798" width="3.21875" style="2" customWidth="1"/>
    <col min="1799" max="1799" width="14.5546875" style="2" customWidth="1"/>
    <col min="1800" max="1800" width="3.21875" style="2" customWidth="1"/>
    <col min="1801" max="2049" width="8.77734375" style="2"/>
    <col min="2050" max="2050" width="24" style="2" customWidth="1"/>
    <col min="2051" max="2051" width="13.5546875" style="2" customWidth="1"/>
    <col min="2052" max="2052" width="3.21875" style="2" customWidth="1"/>
    <col min="2053" max="2053" width="14.77734375" style="2" customWidth="1"/>
    <col min="2054" max="2054" width="3.21875" style="2" customWidth="1"/>
    <col min="2055" max="2055" width="14.5546875" style="2" customWidth="1"/>
    <col min="2056" max="2056" width="3.21875" style="2" customWidth="1"/>
    <col min="2057" max="2305" width="8.77734375" style="2"/>
    <col min="2306" max="2306" width="24" style="2" customWidth="1"/>
    <col min="2307" max="2307" width="13.5546875" style="2" customWidth="1"/>
    <col min="2308" max="2308" width="3.21875" style="2" customWidth="1"/>
    <col min="2309" max="2309" width="14.77734375" style="2" customWidth="1"/>
    <col min="2310" max="2310" width="3.21875" style="2" customWidth="1"/>
    <col min="2311" max="2311" width="14.5546875" style="2" customWidth="1"/>
    <col min="2312" max="2312" width="3.21875" style="2" customWidth="1"/>
    <col min="2313" max="2561" width="8.77734375" style="2"/>
    <col min="2562" max="2562" width="24" style="2" customWidth="1"/>
    <col min="2563" max="2563" width="13.5546875" style="2" customWidth="1"/>
    <col min="2564" max="2564" width="3.21875" style="2" customWidth="1"/>
    <col min="2565" max="2565" width="14.77734375" style="2" customWidth="1"/>
    <col min="2566" max="2566" width="3.21875" style="2" customWidth="1"/>
    <col min="2567" max="2567" width="14.5546875" style="2" customWidth="1"/>
    <col min="2568" max="2568" width="3.21875" style="2" customWidth="1"/>
    <col min="2569" max="2817" width="8.77734375" style="2"/>
    <col min="2818" max="2818" width="24" style="2" customWidth="1"/>
    <col min="2819" max="2819" width="13.5546875" style="2" customWidth="1"/>
    <col min="2820" max="2820" width="3.21875" style="2" customWidth="1"/>
    <col min="2821" max="2821" width="14.77734375" style="2" customWidth="1"/>
    <col min="2822" max="2822" width="3.21875" style="2" customWidth="1"/>
    <col min="2823" max="2823" width="14.5546875" style="2" customWidth="1"/>
    <col min="2824" max="2824" width="3.21875" style="2" customWidth="1"/>
    <col min="2825" max="3073" width="8.77734375" style="2"/>
    <col min="3074" max="3074" width="24" style="2" customWidth="1"/>
    <col min="3075" max="3075" width="13.5546875" style="2" customWidth="1"/>
    <col min="3076" max="3076" width="3.21875" style="2" customWidth="1"/>
    <col min="3077" max="3077" width="14.77734375" style="2" customWidth="1"/>
    <col min="3078" max="3078" width="3.21875" style="2" customWidth="1"/>
    <col min="3079" max="3079" width="14.5546875" style="2" customWidth="1"/>
    <col min="3080" max="3080" width="3.21875" style="2" customWidth="1"/>
    <col min="3081" max="3329" width="8.77734375" style="2"/>
    <col min="3330" max="3330" width="24" style="2" customWidth="1"/>
    <col min="3331" max="3331" width="13.5546875" style="2" customWidth="1"/>
    <col min="3332" max="3332" width="3.21875" style="2" customWidth="1"/>
    <col min="3333" max="3333" width="14.77734375" style="2" customWidth="1"/>
    <col min="3334" max="3334" width="3.21875" style="2" customWidth="1"/>
    <col min="3335" max="3335" width="14.5546875" style="2" customWidth="1"/>
    <col min="3336" max="3336" width="3.21875" style="2" customWidth="1"/>
    <col min="3337" max="3585" width="8.77734375" style="2"/>
    <col min="3586" max="3586" width="24" style="2" customWidth="1"/>
    <col min="3587" max="3587" width="13.5546875" style="2" customWidth="1"/>
    <col min="3588" max="3588" width="3.21875" style="2" customWidth="1"/>
    <col min="3589" max="3589" width="14.77734375" style="2" customWidth="1"/>
    <col min="3590" max="3590" width="3.21875" style="2" customWidth="1"/>
    <col min="3591" max="3591" width="14.5546875" style="2" customWidth="1"/>
    <col min="3592" max="3592" width="3.21875" style="2" customWidth="1"/>
    <col min="3593" max="3841" width="8.77734375" style="2"/>
    <col min="3842" max="3842" width="24" style="2" customWidth="1"/>
    <col min="3843" max="3843" width="13.5546875" style="2" customWidth="1"/>
    <col min="3844" max="3844" width="3.21875" style="2" customWidth="1"/>
    <col min="3845" max="3845" width="14.77734375" style="2" customWidth="1"/>
    <col min="3846" max="3846" width="3.21875" style="2" customWidth="1"/>
    <col min="3847" max="3847" width="14.5546875" style="2" customWidth="1"/>
    <col min="3848" max="3848" width="3.21875" style="2" customWidth="1"/>
    <col min="3849" max="4097" width="8.77734375" style="2"/>
    <col min="4098" max="4098" width="24" style="2" customWidth="1"/>
    <col min="4099" max="4099" width="13.5546875" style="2" customWidth="1"/>
    <col min="4100" max="4100" width="3.21875" style="2" customWidth="1"/>
    <col min="4101" max="4101" width="14.77734375" style="2" customWidth="1"/>
    <col min="4102" max="4102" width="3.21875" style="2" customWidth="1"/>
    <col min="4103" max="4103" width="14.5546875" style="2" customWidth="1"/>
    <col min="4104" max="4104" width="3.21875" style="2" customWidth="1"/>
    <col min="4105" max="4353" width="8.77734375" style="2"/>
    <col min="4354" max="4354" width="24" style="2" customWidth="1"/>
    <col min="4355" max="4355" width="13.5546875" style="2" customWidth="1"/>
    <col min="4356" max="4356" width="3.21875" style="2" customWidth="1"/>
    <col min="4357" max="4357" width="14.77734375" style="2" customWidth="1"/>
    <col min="4358" max="4358" width="3.21875" style="2" customWidth="1"/>
    <col min="4359" max="4359" width="14.5546875" style="2" customWidth="1"/>
    <col min="4360" max="4360" width="3.21875" style="2" customWidth="1"/>
    <col min="4361" max="4609" width="8.77734375" style="2"/>
    <col min="4610" max="4610" width="24" style="2" customWidth="1"/>
    <col min="4611" max="4611" width="13.5546875" style="2" customWidth="1"/>
    <col min="4612" max="4612" width="3.21875" style="2" customWidth="1"/>
    <col min="4613" max="4613" width="14.77734375" style="2" customWidth="1"/>
    <col min="4614" max="4614" width="3.21875" style="2" customWidth="1"/>
    <col min="4615" max="4615" width="14.5546875" style="2" customWidth="1"/>
    <col min="4616" max="4616" width="3.21875" style="2" customWidth="1"/>
    <col min="4617" max="4865" width="8.77734375" style="2"/>
    <col min="4866" max="4866" width="24" style="2" customWidth="1"/>
    <col min="4867" max="4867" width="13.5546875" style="2" customWidth="1"/>
    <col min="4868" max="4868" width="3.21875" style="2" customWidth="1"/>
    <col min="4869" max="4869" width="14.77734375" style="2" customWidth="1"/>
    <col min="4870" max="4870" width="3.21875" style="2" customWidth="1"/>
    <col min="4871" max="4871" width="14.5546875" style="2" customWidth="1"/>
    <col min="4872" max="4872" width="3.21875" style="2" customWidth="1"/>
    <col min="4873" max="5121" width="8.77734375" style="2"/>
    <col min="5122" max="5122" width="24" style="2" customWidth="1"/>
    <col min="5123" max="5123" width="13.5546875" style="2" customWidth="1"/>
    <col min="5124" max="5124" width="3.21875" style="2" customWidth="1"/>
    <col min="5125" max="5125" width="14.77734375" style="2" customWidth="1"/>
    <col min="5126" max="5126" width="3.21875" style="2" customWidth="1"/>
    <col min="5127" max="5127" width="14.5546875" style="2" customWidth="1"/>
    <col min="5128" max="5128" width="3.21875" style="2" customWidth="1"/>
    <col min="5129" max="5377" width="8.77734375" style="2"/>
    <col min="5378" max="5378" width="24" style="2" customWidth="1"/>
    <col min="5379" max="5379" width="13.5546875" style="2" customWidth="1"/>
    <col min="5380" max="5380" width="3.21875" style="2" customWidth="1"/>
    <col min="5381" max="5381" width="14.77734375" style="2" customWidth="1"/>
    <col min="5382" max="5382" width="3.21875" style="2" customWidth="1"/>
    <col min="5383" max="5383" width="14.5546875" style="2" customWidth="1"/>
    <col min="5384" max="5384" width="3.21875" style="2" customWidth="1"/>
    <col min="5385" max="5633" width="8.77734375" style="2"/>
    <col min="5634" max="5634" width="24" style="2" customWidth="1"/>
    <col min="5635" max="5635" width="13.5546875" style="2" customWidth="1"/>
    <col min="5636" max="5636" width="3.21875" style="2" customWidth="1"/>
    <col min="5637" max="5637" width="14.77734375" style="2" customWidth="1"/>
    <col min="5638" max="5638" width="3.21875" style="2" customWidth="1"/>
    <col min="5639" max="5639" width="14.5546875" style="2" customWidth="1"/>
    <col min="5640" max="5640" width="3.21875" style="2" customWidth="1"/>
    <col min="5641" max="5889" width="8.77734375" style="2"/>
    <col min="5890" max="5890" width="24" style="2" customWidth="1"/>
    <col min="5891" max="5891" width="13.5546875" style="2" customWidth="1"/>
    <col min="5892" max="5892" width="3.21875" style="2" customWidth="1"/>
    <col min="5893" max="5893" width="14.77734375" style="2" customWidth="1"/>
    <col min="5894" max="5894" width="3.21875" style="2" customWidth="1"/>
    <col min="5895" max="5895" width="14.5546875" style="2" customWidth="1"/>
    <col min="5896" max="5896" width="3.21875" style="2" customWidth="1"/>
    <col min="5897" max="6145" width="8.77734375" style="2"/>
    <col min="6146" max="6146" width="24" style="2" customWidth="1"/>
    <col min="6147" max="6147" width="13.5546875" style="2" customWidth="1"/>
    <col min="6148" max="6148" width="3.21875" style="2" customWidth="1"/>
    <col min="6149" max="6149" width="14.77734375" style="2" customWidth="1"/>
    <col min="6150" max="6150" width="3.21875" style="2" customWidth="1"/>
    <col min="6151" max="6151" width="14.5546875" style="2" customWidth="1"/>
    <col min="6152" max="6152" width="3.21875" style="2" customWidth="1"/>
    <col min="6153" max="6401" width="8.77734375" style="2"/>
    <col min="6402" max="6402" width="24" style="2" customWidth="1"/>
    <col min="6403" max="6403" width="13.5546875" style="2" customWidth="1"/>
    <col min="6404" max="6404" width="3.21875" style="2" customWidth="1"/>
    <col min="6405" max="6405" width="14.77734375" style="2" customWidth="1"/>
    <col min="6406" max="6406" width="3.21875" style="2" customWidth="1"/>
    <col min="6407" max="6407" width="14.5546875" style="2" customWidth="1"/>
    <col min="6408" max="6408" width="3.21875" style="2" customWidth="1"/>
    <col min="6409" max="6657" width="8.77734375" style="2"/>
    <col min="6658" max="6658" width="24" style="2" customWidth="1"/>
    <col min="6659" max="6659" width="13.5546875" style="2" customWidth="1"/>
    <col min="6660" max="6660" width="3.21875" style="2" customWidth="1"/>
    <col min="6661" max="6661" width="14.77734375" style="2" customWidth="1"/>
    <col min="6662" max="6662" width="3.21875" style="2" customWidth="1"/>
    <col min="6663" max="6663" width="14.5546875" style="2" customWidth="1"/>
    <col min="6664" max="6664" width="3.21875" style="2" customWidth="1"/>
    <col min="6665" max="6913" width="8.77734375" style="2"/>
    <col min="6914" max="6914" width="24" style="2" customWidth="1"/>
    <col min="6915" max="6915" width="13.5546875" style="2" customWidth="1"/>
    <col min="6916" max="6916" width="3.21875" style="2" customWidth="1"/>
    <col min="6917" max="6917" width="14.77734375" style="2" customWidth="1"/>
    <col min="6918" max="6918" width="3.21875" style="2" customWidth="1"/>
    <col min="6919" max="6919" width="14.5546875" style="2" customWidth="1"/>
    <col min="6920" max="6920" width="3.21875" style="2" customWidth="1"/>
    <col min="6921" max="7169" width="8.77734375" style="2"/>
    <col min="7170" max="7170" width="24" style="2" customWidth="1"/>
    <col min="7171" max="7171" width="13.5546875" style="2" customWidth="1"/>
    <col min="7172" max="7172" width="3.21875" style="2" customWidth="1"/>
    <col min="7173" max="7173" width="14.77734375" style="2" customWidth="1"/>
    <col min="7174" max="7174" width="3.21875" style="2" customWidth="1"/>
    <col min="7175" max="7175" width="14.5546875" style="2" customWidth="1"/>
    <col min="7176" max="7176" width="3.21875" style="2" customWidth="1"/>
    <col min="7177" max="7425" width="8.77734375" style="2"/>
    <col min="7426" max="7426" width="24" style="2" customWidth="1"/>
    <col min="7427" max="7427" width="13.5546875" style="2" customWidth="1"/>
    <col min="7428" max="7428" width="3.21875" style="2" customWidth="1"/>
    <col min="7429" max="7429" width="14.77734375" style="2" customWidth="1"/>
    <col min="7430" max="7430" width="3.21875" style="2" customWidth="1"/>
    <col min="7431" max="7431" width="14.5546875" style="2" customWidth="1"/>
    <col min="7432" max="7432" width="3.21875" style="2" customWidth="1"/>
    <col min="7433" max="7681" width="8.77734375" style="2"/>
    <col min="7682" max="7682" width="24" style="2" customWidth="1"/>
    <col min="7683" max="7683" width="13.5546875" style="2" customWidth="1"/>
    <col min="7684" max="7684" width="3.21875" style="2" customWidth="1"/>
    <col min="7685" max="7685" width="14.77734375" style="2" customWidth="1"/>
    <col min="7686" max="7686" width="3.21875" style="2" customWidth="1"/>
    <col min="7687" max="7687" width="14.5546875" style="2" customWidth="1"/>
    <col min="7688" max="7688" width="3.21875" style="2" customWidth="1"/>
    <col min="7689" max="7937" width="8.77734375" style="2"/>
    <col min="7938" max="7938" width="24" style="2" customWidth="1"/>
    <col min="7939" max="7939" width="13.5546875" style="2" customWidth="1"/>
    <col min="7940" max="7940" width="3.21875" style="2" customWidth="1"/>
    <col min="7941" max="7941" width="14.77734375" style="2" customWidth="1"/>
    <col min="7942" max="7942" width="3.21875" style="2" customWidth="1"/>
    <col min="7943" max="7943" width="14.5546875" style="2" customWidth="1"/>
    <col min="7944" max="7944" width="3.21875" style="2" customWidth="1"/>
    <col min="7945" max="8193" width="8.77734375" style="2"/>
    <col min="8194" max="8194" width="24" style="2" customWidth="1"/>
    <col min="8195" max="8195" width="13.5546875" style="2" customWidth="1"/>
    <col min="8196" max="8196" width="3.21875" style="2" customWidth="1"/>
    <col min="8197" max="8197" width="14.77734375" style="2" customWidth="1"/>
    <col min="8198" max="8198" width="3.21875" style="2" customWidth="1"/>
    <col min="8199" max="8199" width="14.5546875" style="2" customWidth="1"/>
    <col min="8200" max="8200" width="3.21875" style="2" customWidth="1"/>
    <col min="8201" max="8449" width="8.77734375" style="2"/>
    <col min="8450" max="8450" width="24" style="2" customWidth="1"/>
    <col min="8451" max="8451" width="13.5546875" style="2" customWidth="1"/>
    <col min="8452" max="8452" width="3.21875" style="2" customWidth="1"/>
    <col min="8453" max="8453" width="14.77734375" style="2" customWidth="1"/>
    <col min="8454" max="8454" width="3.21875" style="2" customWidth="1"/>
    <col min="8455" max="8455" width="14.5546875" style="2" customWidth="1"/>
    <col min="8456" max="8456" width="3.21875" style="2" customWidth="1"/>
    <col min="8457" max="8705" width="8.77734375" style="2"/>
    <col min="8706" max="8706" width="24" style="2" customWidth="1"/>
    <col min="8707" max="8707" width="13.5546875" style="2" customWidth="1"/>
    <col min="8708" max="8708" width="3.21875" style="2" customWidth="1"/>
    <col min="8709" max="8709" width="14.77734375" style="2" customWidth="1"/>
    <col min="8710" max="8710" width="3.21875" style="2" customWidth="1"/>
    <col min="8711" max="8711" width="14.5546875" style="2" customWidth="1"/>
    <col min="8712" max="8712" width="3.21875" style="2" customWidth="1"/>
    <col min="8713" max="8961" width="8.77734375" style="2"/>
    <col min="8962" max="8962" width="24" style="2" customWidth="1"/>
    <col min="8963" max="8963" width="13.5546875" style="2" customWidth="1"/>
    <col min="8964" max="8964" width="3.21875" style="2" customWidth="1"/>
    <col min="8965" max="8965" width="14.77734375" style="2" customWidth="1"/>
    <col min="8966" max="8966" width="3.21875" style="2" customWidth="1"/>
    <col min="8967" max="8967" width="14.5546875" style="2" customWidth="1"/>
    <col min="8968" max="8968" width="3.21875" style="2" customWidth="1"/>
    <col min="8969" max="9217" width="8.77734375" style="2"/>
    <col min="9218" max="9218" width="24" style="2" customWidth="1"/>
    <col min="9219" max="9219" width="13.5546875" style="2" customWidth="1"/>
    <col min="9220" max="9220" width="3.21875" style="2" customWidth="1"/>
    <col min="9221" max="9221" width="14.77734375" style="2" customWidth="1"/>
    <col min="9222" max="9222" width="3.21875" style="2" customWidth="1"/>
    <col min="9223" max="9223" width="14.5546875" style="2" customWidth="1"/>
    <col min="9224" max="9224" width="3.21875" style="2" customWidth="1"/>
    <col min="9225" max="9473" width="8.77734375" style="2"/>
    <col min="9474" max="9474" width="24" style="2" customWidth="1"/>
    <col min="9475" max="9475" width="13.5546875" style="2" customWidth="1"/>
    <col min="9476" max="9476" width="3.21875" style="2" customWidth="1"/>
    <col min="9477" max="9477" width="14.77734375" style="2" customWidth="1"/>
    <col min="9478" max="9478" width="3.21875" style="2" customWidth="1"/>
    <col min="9479" max="9479" width="14.5546875" style="2" customWidth="1"/>
    <col min="9480" max="9480" width="3.21875" style="2" customWidth="1"/>
    <col min="9481" max="9729" width="8.77734375" style="2"/>
    <col min="9730" max="9730" width="24" style="2" customWidth="1"/>
    <col min="9731" max="9731" width="13.5546875" style="2" customWidth="1"/>
    <col min="9732" max="9732" width="3.21875" style="2" customWidth="1"/>
    <col min="9733" max="9733" width="14.77734375" style="2" customWidth="1"/>
    <col min="9734" max="9734" width="3.21875" style="2" customWidth="1"/>
    <col min="9735" max="9735" width="14.5546875" style="2" customWidth="1"/>
    <col min="9736" max="9736" width="3.21875" style="2" customWidth="1"/>
    <col min="9737" max="9985" width="8.77734375" style="2"/>
    <col min="9986" max="9986" width="24" style="2" customWidth="1"/>
    <col min="9987" max="9987" width="13.5546875" style="2" customWidth="1"/>
    <col min="9988" max="9988" width="3.21875" style="2" customWidth="1"/>
    <col min="9989" max="9989" width="14.77734375" style="2" customWidth="1"/>
    <col min="9990" max="9990" width="3.21875" style="2" customWidth="1"/>
    <col min="9991" max="9991" width="14.5546875" style="2" customWidth="1"/>
    <col min="9992" max="9992" width="3.21875" style="2" customWidth="1"/>
    <col min="9993" max="10241" width="8.77734375" style="2"/>
    <col min="10242" max="10242" width="24" style="2" customWidth="1"/>
    <col min="10243" max="10243" width="13.5546875" style="2" customWidth="1"/>
    <col min="10244" max="10244" width="3.21875" style="2" customWidth="1"/>
    <col min="10245" max="10245" width="14.77734375" style="2" customWidth="1"/>
    <col min="10246" max="10246" width="3.21875" style="2" customWidth="1"/>
    <col min="10247" max="10247" width="14.5546875" style="2" customWidth="1"/>
    <col min="10248" max="10248" width="3.21875" style="2" customWidth="1"/>
    <col min="10249" max="10497" width="8.77734375" style="2"/>
    <col min="10498" max="10498" width="24" style="2" customWidth="1"/>
    <col min="10499" max="10499" width="13.5546875" style="2" customWidth="1"/>
    <col min="10500" max="10500" width="3.21875" style="2" customWidth="1"/>
    <col min="10501" max="10501" width="14.77734375" style="2" customWidth="1"/>
    <col min="10502" max="10502" width="3.21875" style="2" customWidth="1"/>
    <col min="10503" max="10503" width="14.5546875" style="2" customWidth="1"/>
    <col min="10504" max="10504" width="3.21875" style="2" customWidth="1"/>
    <col min="10505" max="10753" width="8.77734375" style="2"/>
    <col min="10754" max="10754" width="24" style="2" customWidth="1"/>
    <col min="10755" max="10755" width="13.5546875" style="2" customWidth="1"/>
    <col min="10756" max="10756" width="3.21875" style="2" customWidth="1"/>
    <col min="10757" max="10757" width="14.77734375" style="2" customWidth="1"/>
    <col min="10758" max="10758" width="3.21875" style="2" customWidth="1"/>
    <col min="10759" max="10759" width="14.5546875" style="2" customWidth="1"/>
    <col min="10760" max="10760" width="3.21875" style="2" customWidth="1"/>
    <col min="10761" max="11009" width="8.77734375" style="2"/>
    <col min="11010" max="11010" width="24" style="2" customWidth="1"/>
    <col min="11011" max="11011" width="13.5546875" style="2" customWidth="1"/>
    <col min="11012" max="11012" width="3.21875" style="2" customWidth="1"/>
    <col min="11013" max="11013" width="14.77734375" style="2" customWidth="1"/>
    <col min="11014" max="11014" width="3.21875" style="2" customWidth="1"/>
    <col min="11015" max="11015" width="14.5546875" style="2" customWidth="1"/>
    <col min="11016" max="11016" width="3.21875" style="2" customWidth="1"/>
    <col min="11017" max="11265" width="8.77734375" style="2"/>
    <col min="11266" max="11266" width="24" style="2" customWidth="1"/>
    <col min="11267" max="11267" width="13.5546875" style="2" customWidth="1"/>
    <col min="11268" max="11268" width="3.21875" style="2" customWidth="1"/>
    <col min="11269" max="11269" width="14.77734375" style="2" customWidth="1"/>
    <col min="11270" max="11270" width="3.21875" style="2" customWidth="1"/>
    <col min="11271" max="11271" width="14.5546875" style="2" customWidth="1"/>
    <col min="11272" max="11272" width="3.21875" style="2" customWidth="1"/>
    <col min="11273" max="11521" width="8.77734375" style="2"/>
    <col min="11522" max="11522" width="24" style="2" customWidth="1"/>
    <col min="11523" max="11523" width="13.5546875" style="2" customWidth="1"/>
    <col min="11524" max="11524" width="3.21875" style="2" customWidth="1"/>
    <col min="11525" max="11525" width="14.77734375" style="2" customWidth="1"/>
    <col min="11526" max="11526" width="3.21875" style="2" customWidth="1"/>
    <col min="11527" max="11527" width="14.5546875" style="2" customWidth="1"/>
    <col min="11528" max="11528" width="3.21875" style="2" customWidth="1"/>
    <col min="11529" max="11777" width="8.77734375" style="2"/>
    <col min="11778" max="11778" width="24" style="2" customWidth="1"/>
    <col min="11779" max="11779" width="13.5546875" style="2" customWidth="1"/>
    <col min="11780" max="11780" width="3.21875" style="2" customWidth="1"/>
    <col min="11781" max="11781" width="14.77734375" style="2" customWidth="1"/>
    <col min="11782" max="11782" width="3.21875" style="2" customWidth="1"/>
    <col min="11783" max="11783" width="14.5546875" style="2" customWidth="1"/>
    <col min="11784" max="11784" width="3.21875" style="2" customWidth="1"/>
    <col min="11785" max="12033" width="8.77734375" style="2"/>
    <col min="12034" max="12034" width="24" style="2" customWidth="1"/>
    <col min="12035" max="12035" width="13.5546875" style="2" customWidth="1"/>
    <col min="12036" max="12036" width="3.21875" style="2" customWidth="1"/>
    <col min="12037" max="12037" width="14.77734375" style="2" customWidth="1"/>
    <col min="12038" max="12038" width="3.21875" style="2" customWidth="1"/>
    <col min="12039" max="12039" width="14.5546875" style="2" customWidth="1"/>
    <col min="12040" max="12040" width="3.21875" style="2" customWidth="1"/>
    <col min="12041" max="12289" width="8.77734375" style="2"/>
    <col min="12290" max="12290" width="24" style="2" customWidth="1"/>
    <col min="12291" max="12291" width="13.5546875" style="2" customWidth="1"/>
    <col min="12292" max="12292" width="3.21875" style="2" customWidth="1"/>
    <col min="12293" max="12293" width="14.77734375" style="2" customWidth="1"/>
    <col min="12294" max="12294" width="3.21875" style="2" customWidth="1"/>
    <col min="12295" max="12295" width="14.5546875" style="2" customWidth="1"/>
    <col min="12296" max="12296" width="3.21875" style="2" customWidth="1"/>
    <col min="12297" max="12545" width="8.77734375" style="2"/>
    <col min="12546" max="12546" width="24" style="2" customWidth="1"/>
    <col min="12547" max="12547" width="13.5546875" style="2" customWidth="1"/>
    <col min="12548" max="12548" width="3.21875" style="2" customWidth="1"/>
    <col min="12549" max="12549" width="14.77734375" style="2" customWidth="1"/>
    <col min="12550" max="12550" width="3.21875" style="2" customWidth="1"/>
    <col min="12551" max="12551" width="14.5546875" style="2" customWidth="1"/>
    <col min="12552" max="12552" width="3.21875" style="2" customWidth="1"/>
    <col min="12553" max="12801" width="8.77734375" style="2"/>
    <col min="12802" max="12802" width="24" style="2" customWidth="1"/>
    <col min="12803" max="12803" width="13.5546875" style="2" customWidth="1"/>
    <col min="12804" max="12804" width="3.21875" style="2" customWidth="1"/>
    <col min="12805" max="12805" width="14.77734375" style="2" customWidth="1"/>
    <col min="12806" max="12806" width="3.21875" style="2" customWidth="1"/>
    <col min="12807" max="12807" width="14.5546875" style="2" customWidth="1"/>
    <col min="12808" max="12808" width="3.21875" style="2" customWidth="1"/>
    <col min="12809" max="13057" width="8.77734375" style="2"/>
    <col min="13058" max="13058" width="24" style="2" customWidth="1"/>
    <col min="13059" max="13059" width="13.5546875" style="2" customWidth="1"/>
    <col min="13060" max="13060" width="3.21875" style="2" customWidth="1"/>
    <col min="13061" max="13061" width="14.77734375" style="2" customWidth="1"/>
    <col min="13062" max="13062" width="3.21875" style="2" customWidth="1"/>
    <col min="13063" max="13063" width="14.5546875" style="2" customWidth="1"/>
    <col min="13064" max="13064" width="3.21875" style="2" customWidth="1"/>
    <col min="13065" max="13313" width="8.77734375" style="2"/>
    <col min="13314" max="13314" width="24" style="2" customWidth="1"/>
    <col min="13315" max="13315" width="13.5546875" style="2" customWidth="1"/>
    <col min="13316" max="13316" width="3.21875" style="2" customWidth="1"/>
    <col min="13317" max="13317" width="14.77734375" style="2" customWidth="1"/>
    <col min="13318" max="13318" width="3.21875" style="2" customWidth="1"/>
    <col min="13319" max="13319" width="14.5546875" style="2" customWidth="1"/>
    <col min="13320" max="13320" width="3.21875" style="2" customWidth="1"/>
    <col min="13321" max="13569" width="8.77734375" style="2"/>
    <col min="13570" max="13570" width="24" style="2" customWidth="1"/>
    <col min="13571" max="13571" width="13.5546875" style="2" customWidth="1"/>
    <col min="13572" max="13572" width="3.21875" style="2" customWidth="1"/>
    <col min="13573" max="13573" width="14.77734375" style="2" customWidth="1"/>
    <col min="13574" max="13574" width="3.21875" style="2" customWidth="1"/>
    <col min="13575" max="13575" width="14.5546875" style="2" customWidth="1"/>
    <col min="13576" max="13576" width="3.21875" style="2" customWidth="1"/>
    <col min="13577" max="13825" width="8.77734375" style="2"/>
    <col min="13826" max="13826" width="24" style="2" customWidth="1"/>
    <col min="13827" max="13827" width="13.5546875" style="2" customWidth="1"/>
    <col min="13828" max="13828" width="3.21875" style="2" customWidth="1"/>
    <col min="13829" max="13829" width="14.77734375" style="2" customWidth="1"/>
    <col min="13830" max="13830" width="3.21875" style="2" customWidth="1"/>
    <col min="13831" max="13831" width="14.5546875" style="2" customWidth="1"/>
    <col min="13832" max="13832" width="3.21875" style="2" customWidth="1"/>
    <col min="13833" max="14081" width="8.77734375" style="2"/>
    <col min="14082" max="14082" width="24" style="2" customWidth="1"/>
    <col min="14083" max="14083" width="13.5546875" style="2" customWidth="1"/>
    <col min="14084" max="14084" width="3.21875" style="2" customWidth="1"/>
    <col min="14085" max="14085" width="14.77734375" style="2" customWidth="1"/>
    <col min="14086" max="14086" width="3.21875" style="2" customWidth="1"/>
    <col min="14087" max="14087" width="14.5546875" style="2" customWidth="1"/>
    <col min="14088" max="14088" width="3.21875" style="2" customWidth="1"/>
    <col min="14089" max="14337" width="8.77734375" style="2"/>
    <col min="14338" max="14338" width="24" style="2" customWidth="1"/>
    <col min="14339" max="14339" width="13.5546875" style="2" customWidth="1"/>
    <col min="14340" max="14340" width="3.21875" style="2" customWidth="1"/>
    <col min="14341" max="14341" width="14.77734375" style="2" customWidth="1"/>
    <col min="14342" max="14342" width="3.21875" style="2" customWidth="1"/>
    <col min="14343" max="14343" width="14.5546875" style="2" customWidth="1"/>
    <col min="14344" max="14344" width="3.21875" style="2" customWidth="1"/>
    <col min="14345" max="14593" width="8.77734375" style="2"/>
    <col min="14594" max="14594" width="24" style="2" customWidth="1"/>
    <col min="14595" max="14595" width="13.5546875" style="2" customWidth="1"/>
    <col min="14596" max="14596" width="3.21875" style="2" customWidth="1"/>
    <col min="14597" max="14597" width="14.77734375" style="2" customWidth="1"/>
    <col min="14598" max="14598" width="3.21875" style="2" customWidth="1"/>
    <col min="14599" max="14599" width="14.5546875" style="2" customWidth="1"/>
    <col min="14600" max="14600" width="3.21875" style="2" customWidth="1"/>
    <col min="14601" max="14849" width="8.77734375" style="2"/>
    <col min="14850" max="14850" width="24" style="2" customWidth="1"/>
    <col min="14851" max="14851" width="13.5546875" style="2" customWidth="1"/>
    <col min="14852" max="14852" width="3.21875" style="2" customWidth="1"/>
    <col min="14853" max="14853" width="14.77734375" style="2" customWidth="1"/>
    <col min="14854" max="14854" width="3.21875" style="2" customWidth="1"/>
    <col min="14855" max="14855" width="14.5546875" style="2" customWidth="1"/>
    <col min="14856" max="14856" width="3.21875" style="2" customWidth="1"/>
    <col min="14857" max="15105" width="8.77734375" style="2"/>
    <col min="15106" max="15106" width="24" style="2" customWidth="1"/>
    <col min="15107" max="15107" width="13.5546875" style="2" customWidth="1"/>
    <col min="15108" max="15108" width="3.21875" style="2" customWidth="1"/>
    <col min="15109" max="15109" width="14.77734375" style="2" customWidth="1"/>
    <col min="15110" max="15110" width="3.21875" style="2" customWidth="1"/>
    <col min="15111" max="15111" width="14.5546875" style="2" customWidth="1"/>
    <col min="15112" max="15112" width="3.21875" style="2" customWidth="1"/>
    <col min="15113" max="15361" width="8.77734375" style="2"/>
    <col min="15362" max="15362" width="24" style="2" customWidth="1"/>
    <col min="15363" max="15363" width="13.5546875" style="2" customWidth="1"/>
    <col min="15364" max="15364" width="3.21875" style="2" customWidth="1"/>
    <col min="15365" max="15365" width="14.77734375" style="2" customWidth="1"/>
    <col min="15366" max="15366" width="3.21875" style="2" customWidth="1"/>
    <col min="15367" max="15367" width="14.5546875" style="2" customWidth="1"/>
    <col min="15368" max="15368" width="3.21875" style="2" customWidth="1"/>
    <col min="15369" max="15617" width="8.77734375" style="2"/>
    <col min="15618" max="15618" width="24" style="2" customWidth="1"/>
    <col min="15619" max="15619" width="13.5546875" style="2" customWidth="1"/>
    <col min="15620" max="15620" width="3.21875" style="2" customWidth="1"/>
    <col min="15621" max="15621" width="14.77734375" style="2" customWidth="1"/>
    <col min="15622" max="15622" width="3.21875" style="2" customWidth="1"/>
    <col min="15623" max="15623" width="14.5546875" style="2" customWidth="1"/>
    <col min="15624" max="15624" width="3.21875" style="2" customWidth="1"/>
    <col min="15625" max="15873" width="8.77734375" style="2"/>
    <col min="15874" max="15874" width="24" style="2" customWidth="1"/>
    <col min="15875" max="15875" width="13.5546875" style="2" customWidth="1"/>
    <col min="15876" max="15876" width="3.21875" style="2" customWidth="1"/>
    <col min="15877" max="15877" width="14.77734375" style="2" customWidth="1"/>
    <col min="15878" max="15878" width="3.21875" style="2" customWidth="1"/>
    <col min="15879" max="15879" width="14.5546875" style="2" customWidth="1"/>
    <col min="15880" max="15880" width="3.21875" style="2" customWidth="1"/>
    <col min="15881" max="16129" width="8.77734375" style="2"/>
    <col min="16130" max="16130" width="24" style="2" customWidth="1"/>
    <col min="16131" max="16131" width="13.5546875" style="2" customWidth="1"/>
    <col min="16132" max="16132" width="3.21875" style="2" customWidth="1"/>
    <col min="16133" max="16133" width="14.77734375" style="2" customWidth="1"/>
    <col min="16134" max="16134" width="3.21875" style="2" customWidth="1"/>
    <col min="16135" max="16135" width="14.5546875" style="2" customWidth="1"/>
    <col min="16136" max="16136" width="3.21875" style="2" customWidth="1"/>
    <col min="16137" max="16384" width="8.77734375" style="2"/>
  </cols>
  <sheetData>
    <row r="1" spans="1:8" ht="20.399999999999999">
      <c r="A1" s="1" t="s">
        <v>1</v>
      </c>
      <c r="E1" s="3"/>
      <c r="G1" s="3"/>
    </row>
    <row r="2" spans="1:8" ht="15.75" customHeight="1">
      <c r="A2" s="1216" t="s">
        <v>2</v>
      </c>
      <c r="B2" s="1216"/>
      <c r="C2" s="1217" t="s">
        <v>3</v>
      </c>
      <c r="D2" s="4"/>
      <c r="E2" s="1217" t="s">
        <v>4</v>
      </c>
      <c r="F2" s="4"/>
      <c r="G2" s="1217" t="s">
        <v>5</v>
      </c>
      <c r="H2" s="4"/>
    </row>
    <row r="3" spans="1:8" ht="22.5" customHeight="1">
      <c r="A3" s="4"/>
      <c r="B3" s="4"/>
      <c r="C3" s="1217"/>
      <c r="D3" s="4"/>
      <c r="E3" s="1217"/>
      <c r="F3" s="4"/>
      <c r="G3" s="1217"/>
      <c r="H3" s="4"/>
    </row>
    <row r="4" spans="1:8" ht="13.8" thickBot="1">
      <c r="A4" s="5" t="s">
        <v>6</v>
      </c>
      <c r="C4" s="6">
        <f>+'Master Budget Sheet'!T64</f>
        <v>0</v>
      </c>
      <c r="D4" s="4"/>
      <c r="E4" s="7">
        <f>+C4*'Master Budget Sheet'!$T$8</f>
        <v>0</v>
      </c>
      <c r="F4" s="4"/>
      <c r="G4" s="8">
        <f>+E4</f>
        <v>0</v>
      </c>
      <c r="H4" s="4"/>
    </row>
    <row r="5" spans="1:8">
      <c r="A5" s="4"/>
      <c r="B5" s="4"/>
      <c r="C5" s="4"/>
      <c r="D5" s="4"/>
      <c r="E5" s="9"/>
      <c r="F5" s="4"/>
      <c r="G5" s="10"/>
      <c r="H5" s="4"/>
    </row>
    <row r="6" spans="1:8">
      <c r="A6" s="5" t="s">
        <v>7</v>
      </c>
      <c r="C6" s="11"/>
      <c r="D6" s="4"/>
      <c r="E6" s="9"/>
      <c r="F6" s="4"/>
      <c r="G6" s="10"/>
      <c r="H6" s="4"/>
    </row>
    <row r="7" spans="1:8" ht="14.4" thickBot="1">
      <c r="B7" s="12" t="s">
        <v>8</v>
      </c>
      <c r="C7" s="6">
        <f>SUM('Master Budget Sheet'!T65:T67)</f>
        <v>0</v>
      </c>
      <c r="D7" s="4"/>
      <c r="E7" s="7">
        <f>+C7*'Master Budget Sheet'!$T$8</f>
        <v>0</v>
      </c>
      <c r="F7" s="4"/>
      <c r="G7" s="8">
        <f>+E7</f>
        <v>0</v>
      </c>
      <c r="H7" s="4"/>
    </row>
    <row r="8" spans="1:8" ht="14.4" thickBot="1">
      <c r="B8" s="12" t="s">
        <v>9</v>
      </c>
      <c r="C8" s="13">
        <f>SUM('Master Budget Sheet'!T68:T70)</f>
        <v>77</v>
      </c>
      <c r="D8" s="4"/>
      <c r="E8" s="7">
        <f>+C8*'Master Budget Sheet'!$T$8</f>
        <v>73.149999999999991</v>
      </c>
      <c r="F8" s="4"/>
      <c r="G8" s="60">
        <f>+E8</f>
        <v>73.149999999999991</v>
      </c>
      <c r="H8" s="4"/>
    </row>
    <row r="9" spans="1:8">
      <c r="A9" s="4"/>
      <c r="B9" s="4"/>
      <c r="C9" s="4"/>
      <c r="D9" s="4"/>
      <c r="E9" s="14">
        <f>IF(E8+E7=0,0,E8+E7)</f>
        <v>73.149999999999991</v>
      </c>
      <c r="F9" s="4"/>
      <c r="G9" s="14">
        <f>IF(G8+G7=0,0,G8+G7)</f>
        <v>73.149999999999991</v>
      </c>
      <c r="H9" s="4"/>
    </row>
    <row r="10" spans="1:8" ht="13.8" thickBot="1">
      <c r="A10" s="5" t="s">
        <v>10</v>
      </c>
      <c r="C10" s="6">
        <f>SUM('Master Budget Sheet'!T71:T76)</f>
        <v>78</v>
      </c>
      <c r="D10" s="4"/>
      <c r="E10" s="7">
        <f>+C10*'Master Budget Sheet'!$T$8</f>
        <v>74.099999999999994</v>
      </c>
      <c r="F10" s="4"/>
      <c r="G10" s="8">
        <f>+E10</f>
        <v>74.099999999999994</v>
      </c>
      <c r="H10" s="4"/>
    </row>
    <row r="11" spans="1:8">
      <c r="A11" s="15"/>
      <c r="B11" s="4"/>
      <c r="C11" s="16"/>
      <c r="D11" s="4"/>
      <c r="E11" s="17"/>
      <c r="F11" s="4"/>
      <c r="G11" s="18"/>
      <c r="H11" s="4"/>
    </row>
    <row r="12" spans="1:8">
      <c r="A12" s="4"/>
      <c r="B12" s="1218" t="s">
        <v>11</v>
      </c>
      <c r="C12" s="1218"/>
      <c r="D12" s="1218"/>
      <c r="E12" s="1218"/>
      <c r="F12" s="1218"/>
      <c r="G12" s="1218"/>
      <c r="H12" s="4"/>
    </row>
    <row r="13" spans="1:8">
      <c r="A13" s="4"/>
      <c r="B13" s="4"/>
      <c r="C13" s="1215"/>
      <c r="D13" s="1215"/>
      <c r="E13" s="19"/>
      <c r="F13" s="20"/>
      <c r="G13" s="19"/>
      <c r="H13" s="20"/>
    </row>
    <row r="14" spans="1:8" ht="13.8" thickBot="1">
      <c r="A14" s="21" t="s">
        <v>12</v>
      </c>
      <c r="C14" s="11"/>
      <c r="D14" s="4"/>
      <c r="E14" s="7"/>
      <c r="F14" s="4"/>
      <c r="G14" s="8"/>
      <c r="H14" s="4"/>
    </row>
    <row r="15" spans="1:8">
      <c r="A15" s="21" t="s">
        <v>13</v>
      </c>
      <c r="C15" s="11"/>
      <c r="D15" s="4"/>
      <c r="E15" s="22"/>
      <c r="F15" s="4"/>
      <c r="G15" s="10"/>
      <c r="H15" s="4"/>
    </row>
    <row r="16" spans="1:8">
      <c r="A16" s="23"/>
      <c r="B16" s="4"/>
      <c r="C16" s="11"/>
      <c r="D16" s="4"/>
      <c r="E16" s="17"/>
      <c r="F16" s="4"/>
      <c r="G16" s="10"/>
      <c r="H16" s="4"/>
    </row>
    <row r="17" spans="1:8">
      <c r="A17" s="21" t="s">
        <v>14</v>
      </c>
      <c r="C17" s="11"/>
      <c r="D17" s="4"/>
      <c r="E17" s="11"/>
      <c r="F17" s="4"/>
      <c r="G17" s="10"/>
      <c r="H17" s="4"/>
    </row>
    <row r="18" spans="1:8" ht="27" thickBot="1">
      <c r="A18" s="21"/>
      <c r="B18" s="24" t="s">
        <v>15</v>
      </c>
      <c r="C18" s="11"/>
      <c r="D18" s="4"/>
      <c r="E18" s="25"/>
      <c r="F18" s="4"/>
      <c r="G18" s="10"/>
      <c r="H18" s="4"/>
    </row>
    <row r="19" spans="1:8" ht="40.200000000000003" thickBot="1">
      <c r="A19" s="21"/>
      <c r="B19" s="24" t="s">
        <v>16</v>
      </c>
      <c r="C19" s="11"/>
      <c r="D19" s="4"/>
      <c r="E19" s="26"/>
      <c r="F19" s="4"/>
      <c r="G19" s="10"/>
      <c r="H19" s="4"/>
    </row>
    <row r="20" spans="1:8">
      <c r="A20" s="4"/>
      <c r="B20" s="4"/>
      <c r="C20" s="11"/>
      <c r="D20" s="4"/>
      <c r="E20" s="11"/>
      <c r="F20" s="4"/>
      <c r="G20" s="10"/>
      <c r="H20" s="4"/>
    </row>
    <row r="21" spans="1:8">
      <c r="A21" s="27" t="s">
        <v>17</v>
      </c>
      <c r="E21" s="4"/>
      <c r="F21" s="11"/>
      <c r="G21" s="11"/>
      <c r="H21" s="11"/>
    </row>
    <row r="22" spans="1:8" ht="13.8" thickBot="1">
      <c r="A22" s="28"/>
      <c r="B22" s="2" t="s">
        <v>18</v>
      </c>
      <c r="C22" s="29"/>
      <c r="D22" s="11"/>
      <c r="E22" s="11"/>
      <c r="F22" s="11"/>
      <c r="G22" s="11"/>
      <c r="H22" s="11"/>
    </row>
    <row r="23" spans="1:8" ht="13.8" thickBot="1">
      <c r="B23" s="2" t="s">
        <v>19</v>
      </c>
      <c r="C23" s="29"/>
      <c r="D23" s="11"/>
      <c r="E23" s="11"/>
      <c r="F23" s="11"/>
      <c r="G23" s="11"/>
      <c r="H23" s="11"/>
    </row>
    <row r="24" spans="1:8">
      <c r="A24" s="11"/>
      <c r="B24" s="11"/>
      <c r="C24" s="11"/>
      <c r="D24" s="11"/>
      <c r="E24" s="11"/>
      <c r="F24" s="11"/>
      <c r="G24" s="11"/>
      <c r="H24" s="11"/>
    </row>
  </sheetData>
  <sheetProtection password="CC16" sheet="1"/>
  <mergeCells count="6">
    <mergeCell ref="C13:D13"/>
    <mergeCell ref="A2:B2"/>
    <mergeCell ref="C2:C3"/>
    <mergeCell ref="E2:E3"/>
    <mergeCell ref="G2:G3"/>
    <mergeCell ref="B12:G12"/>
  </mergeCells>
  <conditionalFormatting sqref="F13 H13">
    <cfRule type="expression" dxfId="55" priority="1" stopIfTrue="1">
      <formula>E10=0</formula>
    </cfRule>
    <cfRule type="expression" dxfId="54" priority="2" stopIfTrue="1">
      <formula>E13="Grade 7 thru"</formula>
    </cfRule>
    <cfRule type="expression" dxfId="53" priority="3" stopIfTrue="1">
      <formula>E10&gt;99.99</formula>
    </cfRule>
  </conditionalFormatting>
  <pageMargins left="0.75" right="0.75" top="1" bottom="1" header="0.5" footer="0.5"/>
  <pageSetup orientation="portrait" r:id="rId1"/>
  <headerFooter alignWithMargins="0">
    <oddFooter>&amp;L&amp;F</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1"/>
  <dimension ref="A1:R37"/>
  <sheetViews>
    <sheetView showGridLines="0" zoomScale="90" zoomScaleNormal="100" workbookViewId="0">
      <selection activeCell="C4" sqref="C4"/>
    </sheetView>
  </sheetViews>
  <sheetFormatPr defaultRowHeight="13.2"/>
  <cols>
    <col min="1" max="1" width="4.21875" style="30" customWidth="1"/>
    <col min="2" max="2" width="2.5546875" style="2" customWidth="1"/>
    <col min="3" max="4" width="8.77734375" style="2"/>
    <col min="5" max="5" width="7.21875" style="2" customWidth="1"/>
    <col min="6" max="6" width="8.21875" style="2" customWidth="1"/>
    <col min="7" max="8" width="10.21875" style="2" customWidth="1"/>
    <col min="9" max="9" width="3.77734375" style="2" customWidth="1"/>
    <col min="10" max="10" width="8.77734375" style="2"/>
    <col min="11" max="11" width="6.21875" style="2" customWidth="1"/>
    <col min="12" max="12" width="5.5546875" style="2" customWidth="1"/>
    <col min="13" max="13" width="10.77734375" style="2" customWidth="1"/>
    <col min="14" max="14" width="8.21875" style="2" customWidth="1"/>
    <col min="15" max="15" width="12.21875" style="2" customWidth="1"/>
    <col min="16" max="16" width="10.21875" style="2" customWidth="1"/>
    <col min="17" max="17" width="9.21875" style="32" customWidth="1"/>
    <col min="18" max="256" width="8.77734375" style="2"/>
    <col min="257" max="257" width="4.21875" style="2" customWidth="1"/>
    <col min="258" max="258" width="2.5546875" style="2" customWidth="1"/>
    <col min="259" max="260" width="8.77734375" style="2"/>
    <col min="261" max="261" width="7.21875" style="2" customWidth="1"/>
    <col min="262" max="262" width="8.21875" style="2" customWidth="1"/>
    <col min="263" max="264" width="10.21875" style="2" customWidth="1"/>
    <col min="265" max="265" width="3.77734375" style="2" customWidth="1"/>
    <col min="266" max="266" width="8.77734375" style="2"/>
    <col min="267" max="267" width="6.21875" style="2" customWidth="1"/>
    <col min="268" max="268" width="5.5546875" style="2" customWidth="1"/>
    <col min="269" max="269" width="10.77734375" style="2" customWidth="1"/>
    <col min="270" max="270" width="8.21875" style="2" customWidth="1"/>
    <col min="271" max="271" width="12.21875" style="2" customWidth="1"/>
    <col min="272" max="272" width="10.21875" style="2" customWidth="1"/>
    <col min="273" max="273" width="9.21875" style="2" customWidth="1"/>
    <col min="274" max="512" width="8.77734375" style="2"/>
    <col min="513" max="513" width="4.21875" style="2" customWidth="1"/>
    <col min="514" max="514" width="2.5546875" style="2" customWidth="1"/>
    <col min="515" max="516" width="8.77734375" style="2"/>
    <col min="517" max="517" width="7.21875" style="2" customWidth="1"/>
    <col min="518" max="518" width="8.21875" style="2" customWidth="1"/>
    <col min="519" max="520" width="10.21875" style="2" customWidth="1"/>
    <col min="521" max="521" width="3.77734375" style="2" customWidth="1"/>
    <col min="522" max="522" width="8.77734375" style="2"/>
    <col min="523" max="523" width="6.21875" style="2" customWidth="1"/>
    <col min="524" max="524" width="5.5546875" style="2" customWidth="1"/>
    <col min="525" max="525" width="10.77734375" style="2" customWidth="1"/>
    <col min="526" max="526" width="8.21875" style="2" customWidth="1"/>
    <col min="527" max="527" width="12.21875" style="2" customWidth="1"/>
    <col min="528" max="528" width="10.21875" style="2" customWidth="1"/>
    <col min="529" max="529" width="9.21875" style="2" customWidth="1"/>
    <col min="530" max="768" width="8.77734375" style="2"/>
    <col min="769" max="769" width="4.21875" style="2" customWidth="1"/>
    <col min="770" max="770" width="2.5546875" style="2" customWidth="1"/>
    <col min="771" max="772" width="8.77734375" style="2"/>
    <col min="773" max="773" width="7.21875" style="2" customWidth="1"/>
    <col min="774" max="774" width="8.21875" style="2" customWidth="1"/>
    <col min="775" max="776" width="10.21875" style="2" customWidth="1"/>
    <col min="777" max="777" width="3.77734375" style="2" customWidth="1"/>
    <col min="778" max="778" width="8.77734375" style="2"/>
    <col min="779" max="779" width="6.21875" style="2" customWidth="1"/>
    <col min="780" max="780" width="5.5546875" style="2" customWidth="1"/>
    <col min="781" max="781" width="10.77734375" style="2" customWidth="1"/>
    <col min="782" max="782" width="8.21875" style="2" customWidth="1"/>
    <col min="783" max="783" width="12.21875" style="2" customWidth="1"/>
    <col min="784" max="784" width="10.21875" style="2" customWidth="1"/>
    <col min="785" max="785" width="9.21875" style="2" customWidth="1"/>
    <col min="786" max="1024" width="8.77734375" style="2"/>
    <col min="1025" max="1025" width="4.21875" style="2" customWidth="1"/>
    <col min="1026" max="1026" width="2.5546875" style="2" customWidth="1"/>
    <col min="1027" max="1028" width="8.77734375" style="2"/>
    <col min="1029" max="1029" width="7.21875" style="2" customWidth="1"/>
    <col min="1030" max="1030" width="8.21875" style="2" customWidth="1"/>
    <col min="1031" max="1032" width="10.21875" style="2" customWidth="1"/>
    <col min="1033" max="1033" width="3.77734375" style="2" customWidth="1"/>
    <col min="1034" max="1034" width="8.77734375" style="2"/>
    <col min="1035" max="1035" width="6.21875" style="2" customWidth="1"/>
    <col min="1036" max="1036" width="5.5546875" style="2" customWidth="1"/>
    <col min="1037" max="1037" width="10.77734375" style="2" customWidth="1"/>
    <col min="1038" max="1038" width="8.21875" style="2" customWidth="1"/>
    <col min="1039" max="1039" width="12.21875" style="2" customWidth="1"/>
    <col min="1040" max="1040" width="10.21875" style="2" customWidth="1"/>
    <col min="1041" max="1041" width="9.21875" style="2" customWidth="1"/>
    <col min="1042" max="1280" width="8.77734375" style="2"/>
    <col min="1281" max="1281" width="4.21875" style="2" customWidth="1"/>
    <col min="1282" max="1282" width="2.5546875" style="2" customWidth="1"/>
    <col min="1283" max="1284" width="8.77734375" style="2"/>
    <col min="1285" max="1285" width="7.21875" style="2" customWidth="1"/>
    <col min="1286" max="1286" width="8.21875" style="2" customWidth="1"/>
    <col min="1287" max="1288" width="10.21875" style="2" customWidth="1"/>
    <col min="1289" max="1289" width="3.77734375" style="2" customWidth="1"/>
    <col min="1290" max="1290" width="8.77734375" style="2"/>
    <col min="1291" max="1291" width="6.21875" style="2" customWidth="1"/>
    <col min="1292" max="1292" width="5.5546875" style="2" customWidth="1"/>
    <col min="1293" max="1293" width="10.77734375" style="2" customWidth="1"/>
    <col min="1294" max="1294" width="8.21875" style="2" customWidth="1"/>
    <col min="1295" max="1295" width="12.21875" style="2" customWidth="1"/>
    <col min="1296" max="1296" width="10.21875" style="2" customWidth="1"/>
    <col min="1297" max="1297" width="9.21875" style="2" customWidth="1"/>
    <col min="1298" max="1536" width="8.77734375" style="2"/>
    <col min="1537" max="1537" width="4.21875" style="2" customWidth="1"/>
    <col min="1538" max="1538" width="2.5546875" style="2" customWidth="1"/>
    <col min="1539" max="1540" width="8.77734375" style="2"/>
    <col min="1541" max="1541" width="7.21875" style="2" customWidth="1"/>
    <col min="1542" max="1542" width="8.21875" style="2" customWidth="1"/>
    <col min="1543" max="1544" width="10.21875" style="2" customWidth="1"/>
    <col min="1545" max="1545" width="3.77734375" style="2" customWidth="1"/>
    <col min="1546" max="1546" width="8.77734375" style="2"/>
    <col min="1547" max="1547" width="6.21875" style="2" customWidth="1"/>
    <col min="1548" max="1548" width="5.5546875" style="2" customWidth="1"/>
    <col min="1549" max="1549" width="10.77734375" style="2" customWidth="1"/>
    <col min="1550" max="1550" width="8.21875" style="2" customWidth="1"/>
    <col min="1551" max="1551" width="12.21875" style="2" customWidth="1"/>
    <col min="1552" max="1552" width="10.21875" style="2" customWidth="1"/>
    <col min="1553" max="1553" width="9.21875" style="2" customWidth="1"/>
    <col min="1554" max="1792" width="8.77734375" style="2"/>
    <col min="1793" max="1793" width="4.21875" style="2" customWidth="1"/>
    <col min="1794" max="1794" width="2.5546875" style="2" customWidth="1"/>
    <col min="1795" max="1796" width="8.77734375" style="2"/>
    <col min="1797" max="1797" width="7.21875" style="2" customWidth="1"/>
    <col min="1798" max="1798" width="8.21875" style="2" customWidth="1"/>
    <col min="1799" max="1800" width="10.21875" style="2" customWidth="1"/>
    <col min="1801" max="1801" width="3.77734375" style="2" customWidth="1"/>
    <col min="1802" max="1802" width="8.77734375" style="2"/>
    <col min="1803" max="1803" width="6.21875" style="2" customWidth="1"/>
    <col min="1804" max="1804" width="5.5546875" style="2" customWidth="1"/>
    <col min="1805" max="1805" width="10.77734375" style="2" customWidth="1"/>
    <col min="1806" max="1806" width="8.21875" style="2" customWidth="1"/>
    <col min="1807" max="1807" width="12.21875" style="2" customWidth="1"/>
    <col min="1808" max="1808" width="10.21875" style="2" customWidth="1"/>
    <col min="1809" max="1809" width="9.21875" style="2" customWidth="1"/>
    <col min="1810" max="2048" width="8.77734375" style="2"/>
    <col min="2049" max="2049" width="4.21875" style="2" customWidth="1"/>
    <col min="2050" max="2050" width="2.5546875" style="2" customWidth="1"/>
    <col min="2051" max="2052" width="8.77734375" style="2"/>
    <col min="2053" max="2053" width="7.21875" style="2" customWidth="1"/>
    <col min="2054" max="2054" width="8.21875" style="2" customWidth="1"/>
    <col min="2055" max="2056" width="10.21875" style="2" customWidth="1"/>
    <col min="2057" max="2057" width="3.77734375" style="2" customWidth="1"/>
    <col min="2058" max="2058" width="8.77734375" style="2"/>
    <col min="2059" max="2059" width="6.21875" style="2" customWidth="1"/>
    <col min="2060" max="2060" width="5.5546875" style="2" customWidth="1"/>
    <col min="2061" max="2061" width="10.77734375" style="2" customWidth="1"/>
    <col min="2062" max="2062" width="8.21875" style="2" customWidth="1"/>
    <col min="2063" max="2063" width="12.21875" style="2" customWidth="1"/>
    <col min="2064" max="2064" width="10.21875" style="2" customWidth="1"/>
    <col min="2065" max="2065" width="9.21875" style="2" customWidth="1"/>
    <col min="2066" max="2304" width="8.77734375" style="2"/>
    <col min="2305" max="2305" width="4.21875" style="2" customWidth="1"/>
    <col min="2306" max="2306" width="2.5546875" style="2" customWidth="1"/>
    <col min="2307" max="2308" width="8.77734375" style="2"/>
    <col min="2309" max="2309" width="7.21875" style="2" customWidth="1"/>
    <col min="2310" max="2310" width="8.21875" style="2" customWidth="1"/>
    <col min="2311" max="2312" width="10.21875" style="2" customWidth="1"/>
    <col min="2313" max="2313" width="3.77734375" style="2" customWidth="1"/>
    <col min="2314" max="2314" width="8.77734375" style="2"/>
    <col min="2315" max="2315" width="6.21875" style="2" customWidth="1"/>
    <col min="2316" max="2316" width="5.5546875" style="2" customWidth="1"/>
    <col min="2317" max="2317" width="10.77734375" style="2" customWidth="1"/>
    <col min="2318" max="2318" width="8.21875" style="2" customWidth="1"/>
    <col min="2319" max="2319" width="12.21875" style="2" customWidth="1"/>
    <col min="2320" max="2320" width="10.21875" style="2" customWidth="1"/>
    <col min="2321" max="2321" width="9.21875" style="2" customWidth="1"/>
    <col min="2322" max="2560" width="8.77734375" style="2"/>
    <col min="2561" max="2561" width="4.21875" style="2" customWidth="1"/>
    <col min="2562" max="2562" width="2.5546875" style="2" customWidth="1"/>
    <col min="2563" max="2564" width="8.77734375" style="2"/>
    <col min="2565" max="2565" width="7.21875" style="2" customWidth="1"/>
    <col min="2566" max="2566" width="8.21875" style="2" customWidth="1"/>
    <col min="2567" max="2568" width="10.21875" style="2" customWidth="1"/>
    <col min="2569" max="2569" width="3.77734375" style="2" customWidth="1"/>
    <col min="2570" max="2570" width="8.77734375" style="2"/>
    <col min="2571" max="2571" width="6.21875" style="2" customWidth="1"/>
    <col min="2572" max="2572" width="5.5546875" style="2" customWidth="1"/>
    <col min="2573" max="2573" width="10.77734375" style="2" customWidth="1"/>
    <col min="2574" max="2574" width="8.21875" style="2" customWidth="1"/>
    <col min="2575" max="2575" width="12.21875" style="2" customWidth="1"/>
    <col min="2576" max="2576" width="10.21875" style="2" customWidth="1"/>
    <col min="2577" max="2577" width="9.21875" style="2" customWidth="1"/>
    <col min="2578" max="2816" width="8.77734375" style="2"/>
    <col min="2817" max="2817" width="4.21875" style="2" customWidth="1"/>
    <col min="2818" max="2818" width="2.5546875" style="2" customWidth="1"/>
    <col min="2819" max="2820" width="8.77734375" style="2"/>
    <col min="2821" max="2821" width="7.21875" style="2" customWidth="1"/>
    <col min="2822" max="2822" width="8.21875" style="2" customWidth="1"/>
    <col min="2823" max="2824" width="10.21875" style="2" customWidth="1"/>
    <col min="2825" max="2825" width="3.77734375" style="2" customWidth="1"/>
    <col min="2826" max="2826" width="8.77734375" style="2"/>
    <col min="2827" max="2827" width="6.21875" style="2" customWidth="1"/>
    <col min="2828" max="2828" width="5.5546875" style="2" customWidth="1"/>
    <col min="2829" max="2829" width="10.77734375" style="2" customWidth="1"/>
    <col min="2830" max="2830" width="8.21875" style="2" customWidth="1"/>
    <col min="2831" max="2831" width="12.21875" style="2" customWidth="1"/>
    <col min="2832" max="2832" width="10.21875" style="2" customWidth="1"/>
    <col min="2833" max="2833" width="9.21875" style="2" customWidth="1"/>
    <col min="2834" max="3072" width="8.77734375" style="2"/>
    <col min="3073" max="3073" width="4.21875" style="2" customWidth="1"/>
    <col min="3074" max="3074" width="2.5546875" style="2" customWidth="1"/>
    <col min="3075" max="3076" width="8.77734375" style="2"/>
    <col min="3077" max="3077" width="7.21875" style="2" customWidth="1"/>
    <col min="3078" max="3078" width="8.21875" style="2" customWidth="1"/>
    <col min="3079" max="3080" width="10.21875" style="2" customWidth="1"/>
    <col min="3081" max="3081" width="3.77734375" style="2" customWidth="1"/>
    <col min="3082" max="3082" width="8.77734375" style="2"/>
    <col min="3083" max="3083" width="6.21875" style="2" customWidth="1"/>
    <col min="3084" max="3084" width="5.5546875" style="2" customWidth="1"/>
    <col min="3085" max="3085" width="10.77734375" style="2" customWidth="1"/>
    <col min="3086" max="3086" width="8.21875" style="2" customWidth="1"/>
    <col min="3087" max="3087" width="12.21875" style="2" customWidth="1"/>
    <col min="3088" max="3088" width="10.21875" style="2" customWidth="1"/>
    <col min="3089" max="3089" width="9.21875" style="2" customWidth="1"/>
    <col min="3090" max="3328" width="8.77734375" style="2"/>
    <col min="3329" max="3329" width="4.21875" style="2" customWidth="1"/>
    <col min="3330" max="3330" width="2.5546875" style="2" customWidth="1"/>
    <col min="3331" max="3332" width="8.77734375" style="2"/>
    <col min="3333" max="3333" width="7.21875" style="2" customWidth="1"/>
    <col min="3334" max="3334" width="8.21875" style="2" customWidth="1"/>
    <col min="3335" max="3336" width="10.21875" style="2" customWidth="1"/>
    <col min="3337" max="3337" width="3.77734375" style="2" customWidth="1"/>
    <col min="3338" max="3338" width="8.77734375" style="2"/>
    <col min="3339" max="3339" width="6.21875" style="2" customWidth="1"/>
    <col min="3340" max="3340" width="5.5546875" style="2" customWidth="1"/>
    <col min="3341" max="3341" width="10.77734375" style="2" customWidth="1"/>
    <col min="3342" max="3342" width="8.21875" style="2" customWidth="1"/>
    <col min="3343" max="3343" width="12.21875" style="2" customWidth="1"/>
    <col min="3344" max="3344" width="10.21875" style="2" customWidth="1"/>
    <col min="3345" max="3345" width="9.21875" style="2" customWidth="1"/>
    <col min="3346" max="3584" width="8.77734375" style="2"/>
    <col min="3585" max="3585" width="4.21875" style="2" customWidth="1"/>
    <col min="3586" max="3586" width="2.5546875" style="2" customWidth="1"/>
    <col min="3587" max="3588" width="8.77734375" style="2"/>
    <col min="3589" max="3589" width="7.21875" style="2" customWidth="1"/>
    <col min="3590" max="3590" width="8.21875" style="2" customWidth="1"/>
    <col min="3591" max="3592" width="10.21875" style="2" customWidth="1"/>
    <col min="3593" max="3593" width="3.77734375" style="2" customWidth="1"/>
    <col min="3594" max="3594" width="8.77734375" style="2"/>
    <col min="3595" max="3595" width="6.21875" style="2" customWidth="1"/>
    <col min="3596" max="3596" width="5.5546875" style="2" customWidth="1"/>
    <col min="3597" max="3597" width="10.77734375" style="2" customWidth="1"/>
    <col min="3598" max="3598" width="8.21875" style="2" customWidth="1"/>
    <col min="3599" max="3599" width="12.21875" style="2" customWidth="1"/>
    <col min="3600" max="3600" width="10.21875" style="2" customWidth="1"/>
    <col min="3601" max="3601" width="9.21875" style="2" customWidth="1"/>
    <col min="3602" max="3840" width="8.77734375" style="2"/>
    <col min="3841" max="3841" width="4.21875" style="2" customWidth="1"/>
    <col min="3842" max="3842" width="2.5546875" style="2" customWidth="1"/>
    <col min="3843" max="3844" width="8.77734375" style="2"/>
    <col min="3845" max="3845" width="7.21875" style="2" customWidth="1"/>
    <col min="3846" max="3846" width="8.21875" style="2" customWidth="1"/>
    <col min="3847" max="3848" width="10.21875" style="2" customWidth="1"/>
    <col min="3849" max="3849" width="3.77734375" style="2" customWidth="1"/>
    <col min="3850" max="3850" width="8.77734375" style="2"/>
    <col min="3851" max="3851" width="6.21875" style="2" customWidth="1"/>
    <col min="3852" max="3852" width="5.5546875" style="2" customWidth="1"/>
    <col min="3853" max="3853" width="10.77734375" style="2" customWidth="1"/>
    <col min="3854" max="3854" width="8.21875" style="2" customWidth="1"/>
    <col min="3855" max="3855" width="12.21875" style="2" customWidth="1"/>
    <col min="3856" max="3856" width="10.21875" style="2" customWidth="1"/>
    <col min="3857" max="3857" width="9.21875" style="2" customWidth="1"/>
    <col min="3858" max="4096" width="8.77734375" style="2"/>
    <col min="4097" max="4097" width="4.21875" style="2" customWidth="1"/>
    <col min="4098" max="4098" width="2.5546875" style="2" customWidth="1"/>
    <col min="4099" max="4100" width="8.77734375" style="2"/>
    <col min="4101" max="4101" width="7.21875" style="2" customWidth="1"/>
    <col min="4102" max="4102" width="8.21875" style="2" customWidth="1"/>
    <col min="4103" max="4104" width="10.21875" style="2" customWidth="1"/>
    <col min="4105" max="4105" width="3.77734375" style="2" customWidth="1"/>
    <col min="4106" max="4106" width="8.77734375" style="2"/>
    <col min="4107" max="4107" width="6.21875" style="2" customWidth="1"/>
    <col min="4108" max="4108" width="5.5546875" style="2" customWidth="1"/>
    <col min="4109" max="4109" width="10.77734375" style="2" customWidth="1"/>
    <col min="4110" max="4110" width="8.21875" style="2" customWidth="1"/>
    <col min="4111" max="4111" width="12.21875" style="2" customWidth="1"/>
    <col min="4112" max="4112" width="10.21875" style="2" customWidth="1"/>
    <col min="4113" max="4113" width="9.21875" style="2" customWidth="1"/>
    <col min="4114" max="4352" width="8.77734375" style="2"/>
    <col min="4353" max="4353" width="4.21875" style="2" customWidth="1"/>
    <col min="4354" max="4354" width="2.5546875" style="2" customWidth="1"/>
    <col min="4355" max="4356" width="8.77734375" style="2"/>
    <col min="4357" max="4357" width="7.21875" style="2" customWidth="1"/>
    <col min="4358" max="4358" width="8.21875" style="2" customWidth="1"/>
    <col min="4359" max="4360" width="10.21875" style="2" customWidth="1"/>
    <col min="4361" max="4361" width="3.77734375" style="2" customWidth="1"/>
    <col min="4362" max="4362" width="8.77734375" style="2"/>
    <col min="4363" max="4363" width="6.21875" style="2" customWidth="1"/>
    <col min="4364" max="4364" width="5.5546875" style="2" customWidth="1"/>
    <col min="4365" max="4365" width="10.77734375" style="2" customWidth="1"/>
    <col min="4366" max="4366" width="8.21875" style="2" customWidth="1"/>
    <col min="4367" max="4367" width="12.21875" style="2" customWidth="1"/>
    <col min="4368" max="4368" width="10.21875" style="2" customWidth="1"/>
    <col min="4369" max="4369" width="9.21875" style="2" customWidth="1"/>
    <col min="4370" max="4608" width="8.77734375" style="2"/>
    <col min="4609" max="4609" width="4.21875" style="2" customWidth="1"/>
    <col min="4610" max="4610" width="2.5546875" style="2" customWidth="1"/>
    <col min="4611" max="4612" width="8.77734375" style="2"/>
    <col min="4613" max="4613" width="7.21875" style="2" customWidth="1"/>
    <col min="4614" max="4614" width="8.21875" style="2" customWidth="1"/>
    <col min="4615" max="4616" width="10.21875" style="2" customWidth="1"/>
    <col min="4617" max="4617" width="3.77734375" style="2" customWidth="1"/>
    <col min="4618" max="4618" width="8.77734375" style="2"/>
    <col min="4619" max="4619" width="6.21875" style="2" customWidth="1"/>
    <col min="4620" max="4620" width="5.5546875" style="2" customWidth="1"/>
    <col min="4621" max="4621" width="10.77734375" style="2" customWidth="1"/>
    <col min="4622" max="4622" width="8.21875" style="2" customWidth="1"/>
    <col min="4623" max="4623" width="12.21875" style="2" customWidth="1"/>
    <col min="4624" max="4624" width="10.21875" style="2" customWidth="1"/>
    <col min="4625" max="4625" width="9.21875" style="2" customWidth="1"/>
    <col min="4626" max="4864" width="8.77734375" style="2"/>
    <col min="4865" max="4865" width="4.21875" style="2" customWidth="1"/>
    <col min="4866" max="4866" width="2.5546875" style="2" customWidth="1"/>
    <col min="4867" max="4868" width="8.77734375" style="2"/>
    <col min="4869" max="4869" width="7.21875" style="2" customWidth="1"/>
    <col min="4870" max="4870" width="8.21875" style="2" customWidth="1"/>
    <col min="4871" max="4872" width="10.21875" style="2" customWidth="1"/>
    <col min="4873" max="4873" width="3.77734375" style="2" customWidth="1"/>
    <col min="4874" max="4874" width="8.77734375" style="2"/>
    <col min="4875" max="4875" width="6.21875" style="2" customWidth="1"/>
    <col min="4876" max="4876" width="5.5546875" style="2" customWidth="1"/>
    <col min="4877" max="4877" width="10.77734375" style="2" customWidth="1"/>
    <col min="4878" max="4878" width="8.21875" style="2" customWidth="1"/>
    <col min="4879" max="4879" width="12.21875" style="2" customWidth="1"/>
    <col min="4880" max="4880" width="10.21875" style="2" customWidth="1"/>
    <col min="4881" max="4881" width="9.21875" style="2" customWidth="1"/>
    <col min="4882" max="5120" width="8.77734375" style="2"/>
    <col min="5121" max="5121" width="4.21875" style="2" customWidth="1"/>
    <col min="5122" max="5122" width="2.5546875" style="2" customWidth="1"/>
    <col min="5123" max="5124" width="8.77734375" style="2"/>
    <col min="5125" max="5125" width="7.21875" style="2" customWidth="1"/>
    <col min="5126" max="5126" width="8.21875" style="2" customWidth="1"/>
    <col min="5127" max="5128" width="10.21875" style="2" customWidth="1"/>
    <col min="5129" max="5129" width="3.77734375" style="2" customWidth="1"/>
    <col min="5130" max="5130" width="8.77734375" style="2"/>
    <col min="5131" max="5131" width="6.21875" style="2" customWidth="1"/>
    <col min="5132" max="5132" width="5.5546875" style="2" customWidth="1"/>
    <col min="5133" max="5133" width="10.77734375" style="2" customWidth="1"/>
    <col min="5134" max="5134" width="8.21875" style="2" customWidth="1"/>
    <col min="5135" max="5135" width="12.21875" style="2" customWidth="1"/>
    <col min="5136" max="5136" width="10.21875" style="2" customWidth="1"/>
    <col min="5137" max="5137" width="9.21875" style="2" customWidth="1"/>
    <col min="5138" max="5376" width="8.77734375" style="2"/>
    <col min="5377" max="5377" width="4.21875" style="2" customWidth="1"/>
    <col min="5378" max="5378" width="2.5546875" style="2" customWidth="1"/>
    <col min="5379" max="5380" width="8.77734375" style="2"/>
    <col min="5381" max="5381" width="7.21875" style="2" customWidth="1"/>
    <col min="5382" max="5382" width="8.21875" style="2" customWidth="1"/>
    <col min="5383" max="5384" width="10.21875" style="2" customWidth="1"/>
    <col min="5385" max="5385" width="3.77734375" style="2" customWidth="1"/>
    <col min="5386" max="5386" width="8.77734375" style="2"/>
    <col min="5387" max="5387" width="6.21875" style="2" customWidth="1"/>
    <col min="5388" max="5388" width="5.5546875" style="2" customWidth="1"/>
    <col min="5389" max="5389" width="10.77734375" style="2" customWidth="1"/>
    <col min="5390" max="5390" width="8.21875" style="2" customWidth="1"/>
    <col min="5391" max="5391" width="12.21875" style="2" customWidth="1"/>
    <col min="5392" max="5392" width="10.21875" style="2" customWidth="1"/>
    <col min="5393" max="5393" width="9.21875" style="2" customWidth="1"/>
    <col min="5394" max="5632" width="8.77734375" style="2"/>
    <col min="5633" max="5633" width="4.21875" style="2" customWidth="1"/>
    <col min="5634" max="5634" width="2.5546875" style="2" customWidth="1"/>
    <col min="5635" max="5636" width="8.77734375" style="2"/>
    <col min="5637" max="5637" width="7.21875" style="2" customWidth="1"/>
    <col min="5638" max="5638" width="8.21875" style="2" customWidth="1"/>
    <col min="5639" max="5640" width="10.21875" style="2" customWidth="1"/>
    <col min="5641" max="5641" width="3.77734375" style="2" customWidth="1"/>
    <col min="5642" max="5642" width="8.77734375" style="2"/>
    <col min="5643" max="5643" width="6.21875" style="2" customWidth="1"/>
    <col min="5644" max="5644" width="5.5546875" style="2" customWidth="1"/>
    <col min="5645" max="5645" width="10.77734375" style="2" customWidth="1"/>
    <col min="5646" max="5646" width="8.21875" style="2" customWidth="1"/>
    <col min="5647" max="5647" width="12.21875" style="2" customWidth="1"/>
    <col min="5648" max="5648" width="10.21875" style="2" customWidth="1"/>
    <col min="5649" max="5649" width="9.21875" style="2" customWidth="1"/>
    <col min="5650" max="5888" width="8.77734375" style="2"/>
    <col min="5889" max="5889" width="4.21875" style="2" customWidth="1"/>
    <col min="5890" max="5890" width="2.5546875" style="2" customWidth="1"/>
    <col min="5891" max="5892" width="8.77734375" style="2"/>
    <col min="5893" max="5893" width="7.21875" style="2" customWidth="1"/>
    <col min="5894" max="5894" width="8.21875" style="2" customWidth="1"/>
    <col min="5895" max="5896" width="10.21875" style="2" customWidth="1"/>
    <col min="5897" max="5897" width="3.77734375" style="2" customWidth="1"/>
    <col min="5898" max="5898" width="8.77734375" style="2"/>
    <col min="5899" max="5899" width="6.21875" style="2" customWidth="1"/>
    <col min="5900" max="5900" width="5.5546875" style="2" customWidth="1"/>
    <col min="5901" max="5901" width="10.77734375" style="2" customWidth="1"/>
    <col min="5902" max="5902" width="8.21875" style="2" customWidth="1"/>
    <col min="5903" max="5903" width="12.21875" style="2" customWidth="1"/>
    <col min="5904" max="5904" width="10.21875" style="2" customWidth="1"/>
    <col min="5905" max="5905" width="9.21875" style="2" customWidth="1"/>
    <col min="5906" max="6144" width="8.77734375" style="2"/>
    <col min="6145" max="6145" width="4.21875" style="2" customWidth="1"/>
    <col min="6146" max="6146" width="2.5546875" style="2" customWidth="1"/>
    <col min="6147" max="6148" width="8.77734375" style="2"/>
    <col min="6149" max="6149" width="7.21875" style="2" customWidth="1"/>
    <col min="6150" max="6150" width="8.21875" style="2" customWidth="1"/>
    <col min="6151" max="6152" width="10.21875" style="2" customWidth="1"/>
    <col min="6153" max="6153" width="3.77734375" style="2" customWidth="1"/>
    <col min="6154" max="6154" width="8.77734375" style="2"/>
    <col min="6155" max="6155" width="6.21875" style="2" customWidth="1"/>
    <col min="6156" max="6156" width="5.5546875" style="2" customWidth="1"/>
    <col min="6157" max="6157" width="10.77734375" style="2" customWidth="1"/>
    <col min="6158" max="6158" width="8.21875" style="2" customWidth="1"/>
    <col min="6159" max="6159" width="12.21875" style="2" customWidth="1"/>
    <col min="6160" max="6160" width="10.21875" style="2" customWidth="1"/>
    <col min="6161" max="6161" width="9.21875" style="2" customWidth="1"/>
    <col min="6162" max="6400" width="8.77734375" style="2"/>
    <col min="6401" max="6401" width="4.21875" style="2" customWidth="1"/>
    <col min="6402" max="6402" width="2.5546875" style="2" customWidth="1"/>
    <col min="6403" max="6404" width="8.77734375" style="2"/>
    <col min="6405" max="6405" width="7.21875" style="2" customWidth="1"/>
    <col min="6406" max="6406" width="8.21875" style="2" customWidth="1"/>
    <col min="6407" max="6408" width="10.21875" style="2" customWidth="1"/>
    <col min="6409" max="6409" width="3.77734375" style="2" customWidth="1"/>
    <col min="6410" max="6410" width="8.77734375" style="2"/>
    <col min="6411" max="6411" width="6.21875" style="2" customWidth="1"/>
    <col min="6412" max="6412" width="5.5546875" style="2" customWidth="1"/>
    <col min="6413" max="6413" width="10.77734375" style="2" customWidth="1"/>
    <col min="6414" max="6414" width="8.21875" style="2" customWidth="1"/>
    <col min="6415" max="6415" width="12.21875" style="2" customWidth="1"/>
    <col min="6416" max="6416" width="10.21875" style="2" customWidth="1"/>
    <col min="6417" max="6417" width="9.21875" style="2" customWidth="1"/>
    <col min="6418" max="6656" width="8.77734375" style="2"/>
    <col min="6657" max="6657" width="4.21875" style="2" customWidth="1"/>
    <col min="6658" max="6658" width="2.5546875" style="2" customWidth="1"/>
    <col min="6659" max="6660" width="8.77734375" style="2"/>
    <col min="6661" max="6661" width="7.21875" style="2" customWidth="1"/>
    <col min="6662" max="6662" width="8.21875" style="2" customWidth="1"/>
    <col min="6663" max="6664" width="10.21875" style="2" customWidth="1"/>
    <col min="6665" max="6665" width="3.77734375" style="2" customWidth="1"/>
    <col min="6666" max="6666" width="8.77734375" style="2"/>
    <col min="6667" max="6667" width="6.21875" style="2" customWidth="1"/>
    <col min="6668" max="6668" width="5.5546875" style="2" customWidth="1"/>
    <col min="6669" max="6669" width="10.77734375" style="2" customWidth="1"/>
    <col min="6670" max="6670" width="8.21875" style="2" customWidth="1"/>
    <col min="6671" max="6671" width="12.21875" style="2" customWidth="1"/>
    <col min="6672" max="6672" width="10.21875" style="2" customWidth="1"/>
    <col min="6673" max="6673" width="9.21875" style="2" customWidth="1"/>
    <col min="6674" max="6912" width="8.77734375" style="2"/>
    <col min="6913" max="6913" width="4.21875" style="2" customWidth="1"/>
    <col min="6914" max="6914" width="2.5546875" style="2" customWidth="1"/>
    <col min="6915" max="6916" width="8.77734375" style="2"/>
    <col min="6917" max="6917" width="7.21875" style="2" customWidth="1"/>
    <col min="6918" max="6918" width="8.21875" style="2" customWidth="1"/>
    <col min="6919" max="6920" width="10.21875" style="2" customWidth="1"/>
    <col min="6921" max="6921" width="3.77734375" style="2" customWidth="1"/>
    <col min="6922" max="6922" width="8.77734375" style="2"/>
    <col min="6923" max="6923" width="6.21875" style="2" customWidth="1"/>
    <col min="6924" max="6924" width="5.5546875" style="2" customWidth="1"/>
    <col min="6925" max="6925" width="10.77734375" style="2" customWidth="1"/>
    <col min="6926" max="6926" width="8.21875" style="2" customWidth="1"/>
    <col min="6927" max="6927" width="12.21875" style="2" customWidth="1"/>
    <col min="6928" max="6928" width="10.21875" style="2" customWidth="1"/>
    <col min="6929" max="6929" width="9.21875" style="2" customWidth="1"/>
    <col min="6930" max="7168" width="8.77734375" style="2"/>
    <col min="7169" max="7169" width="4.21875" style="2" customWidth="1"/>
    <col min="7170" max="7170" width="2.5546875" style="2" customWidth="1"/>
    <col min="7171" max="7172" width="8.77734375" style="2"/>
    <col min="7173" max="7173" width="7.21875" style="2" customWidth="1"/>
    <col min="7174" max="7174" width="8.21875" style="2" customWidth="1"/>
    <col min="7175" max="7176" width="10.21875" style="2" customWidth="1"/>
    <col min="7177" max="7177" width="3.77734375" style="2" customWidth="1"/>
    <col min="7178" max="7178" width="8.77734375" style="2"/>
    <col min="7179" max="7179" width="6.21875" style="2" customWidth="1"/>
    <col min="7180" max="7180" width="5.5546875" style="2" customWidth="1"/>
    <col min="7181" max="7181" width="10.77734375" style="2" customWidth="1"/>
    <col min="7182" max="7182" width="8.21875" style="2" customWidth="1"/>
    <col min="7183" max="7183" width="12.21875" style="2" customWidth="1"/>
    <col min="7184" max="7184" width="10.21875" style="2" customWidth="1"/>
    <col min="7185" max="7185" width="9.21875" style="2" customWidth="1"/>
    <col min="7186" max="7424" width="8.77734375" style="2"/>
    <col min="7425" max="7425" width="4.21875" style="2" customWidth="1"/>
    <col min="7426" max="7426" width="2.5546875" style="2" customWidth="1"/>
    <col min="7427" max="7428" width="8.77734375" style="2"/>
    <col min="7429" max="7429" width="7.21875" style="2" customWidth="1"/>
    <col min="7430" max="7430" width="8.21875" style="2" customWidth="1"/>
    <col min="7431" max="7432" width="10.21875" style="2" customWidth="1"/>
    <col min="7433" max="7433" width="3.77734375" style="2" customWidth="1"/>
    <col min="7434" max="7434" width="8.77734375" style="2"/>
    <col min="7435" max="7435" width="6.21875" style="2" customWidth="1"/>
    <col min="7436" max="7436" width="5.5546875" style="2" customWidth="1"/>
    <col min="7437" max="7437" width="10.77734375" style="2" customWidth="1"/>
    <col min="7438" max="7438" width="8.21875" style="2" customWidth="1"/>
    <col min="7439" max="7439" width="12.21875" style="2" customWidth="1"/>
    <col min="7440" max="7440" width="10.21875" style="2" customWidth="1"/>
    <col min="7441" max="7441" width="9.21875" style="2" customWidth="1"/>
    <col min="7442" max="7680" width="8.77734375" style="2"/>
    <col min="7681" max="7681" width="4.21875" style="2" customWidth="1"/>
    <col min="7682" max="7682" width="2.5546875" style="2" customWidth="1"/>
    <col min="7683" max="7684" width="8.77734375" style="2"/>
    <col min="7685" max="7685" width="7.21875" style="2" customWidth="1"/>
    <col min="7686" max="7686" width="8.21875" style="2" customWidth="1"/>
    <col min="7687" max="7688" width="10.21875" style="2" customWidth="1"/>
    <col min="7689" max="7689" width="3.77734375" style="2" customWidth="1"/>
    <col min="7690" max="7690" width="8.77734375" style="2"/>
    <col min="7691" max="7691" width="6.21875" style="2" customWidth="1"/>
    <col min="7692" max="7692" width="5.5546875" style="2" customWidth="1"/>
    <col min="7693" max="7693" width="10.77734375" style="2" customWidth="1"/>
    <col min="7694" max="7694" width="8.21875" style="2" customWidth="1"/>
    <col min="7695" max="7695" width="12.21875" style="2" customWidth="1"/>
    <col min="7696" max="7696" width="10.21875" style="2" customWidth="1"/>
    <col min="7697" max="7697" width="9.21875" style="2" customWidth="1"/>
    <col min="7698" max="7936" width="8.77734375" style="2"/>
    <col min="7937" max="7937" width="4.21875" style="2" customWidth="1"/>
    <col min="7938" max="7938" width="2.5546875" style="2" customWidth="1"/>
    <col min="7939" max="7940" width="8.77734375" style="2"/>
    <col min="7941" max="7941" width="7.21875" style="2" customWidth="1"/>
    <col min="7942" max="7942" width="8.21875" style="2" customWidth="1"/>
    <col min="7943" max="7944" width="10.21875" style="2" customWidth="1"/>
    <col min="7945" max="7945" width="3.77734375" style="2" customWidth="1"/>
    <col min="7946" max="7946" width="8.77734375" style="2"/>
    <col min="7947" max="7947" width="6.21875" style="2" customWidth="1"/>
    <col min="7948" max="7948" width="5.5546875" style="2" customWidth="1"/>
    <col min="7949" max="7949" width="10.77734375" style="2" customWidth="1"/>
    <col min="7950" max="7950" width="8.21875" style="2" customWidth="1"/>
    <col min="7951" max="7951" width="12.21875" style="2" customWidth="1"/>
    <col min="7952" max="7952" width="10.21875" style="2" customWidth="1"/>
    <col min="7953" max="7953" width="9.21875" style="2" customWidth="1"/>
    <col min="7954" max="8192" width="8.77734375" style="2"/>
    <col min="8193" max="8193" width="4.21875" style="2" customWidth="1"/>
    <col min="8194" max="8194" width="2.5546875" style="2" customWidth="1"/>
    <col min="8195" max="8196" width="8.77734375" style="2"/>
    <col min="8197" max="8197" width="7.21875" style="2" customWidth="1"/>
    <col min="8198" max="8198" width="8.21875" style="2" customWidth="1"/>
    <col min="8199" max="8200" width="10.21875" style="2" customWidth="1"/>
    <col min="8201" max="8201" width="3.77734375" style="2" customWidth="1"/>
    <col min="8202" max="8202" width="8.77734375" style="2"/>
    <col min="8203" max="8203" width="6.21875" style="2" customWidth="1"/>
    <col min="8204" max="8204" width="5.5546875" style="2" customWidth="1"/>
    <col min="8205" max="8205" width="10.77734375" style="2" customWidth="1"/>
    <col min="8206" max="8206" width="8.21875" style="2" customWidth="1"/>
    <col min="8207" max="8207" width="12.21875" style="2" customWidth="1"/>
    <col min="8208" max="8208" width="10.21875" style="2" customWidth="1"/>
    <col min="8209" max="8209" width="9.21875" style="2" customWidth="1"/>
    <col min="8210" max="8448" width="8.77734375" style="2"/>
    <col min="8449" max="8449" width="4.21875" style="2" customWidth="1"/>
    <col min="8450" max="8450" width="2.5546875" style="2" customWidth="1"/>
    <col min="8451" max="8452" width="8.77734375" style="2"/>
    <col min="8453" max="8453" width="7.21875" style="2" customWidth="1"/>
    <col min="8454" max="8454" width="8.21875" style="2" customWidth="1"/>
    <col min="8455" max="8456" width="10.21875" style="2" customWidth="1"/>
    <col min="8457" max="8457" width="3.77734375" style="2" customWidth="1"/>
    <col min="8458" max="8458" width="8.77734375" style="2"/>
    <col min="8459" max="8459" width="6.21875" style="2" customWidth="1"/>
    <col min="8460" max="8460" width="5.5546875" style="2" customWidth="1"/>
    <col min="8461" max="8461" width="10.77734375" style="2" customWidth="1"/>
    <col min="8462" max="8462" width="8.21875" style="2" customWidth="1"/>
    <col min="8463" max="8463" width="12.21875" style="2" customWidth="1"/>
    <col min="8464" max="8464" width="10.21875" style="2" customWidth="1"/>
    <col min="8465" max="8465" width="9.21875" style="2" customWidth="1"/>
    <col min="8466" max="8704" width="8.77734375" style="2"/>
    <col min="8705" max="8705" width="4.21875" style="2" customWidth="1"/>
    <col min="8706" max="8706" width="2.5546875" style="2" customWidth="1"/>
    <col min="8707" max="8708" width="8.77734375" style="2"/>
    <col min="8709" max="8709" width="7.21875" style="2" customWidth="1"/>
    <col min="8710" max="8710" width="8.21875" style="2" customWidth="1"/>
    <col min="8711" max="8712" width="10.21875" style="2" customWidth="1"/>
    <col min="8713" max="8713" width="3.77734375" style="2" customWidth="1"/>
    <col min="8714" max="8714" width="8.77734375" style="2"/>
    <col min="8715" max="8715" width="6.21875" style="2" customWidth="1"/>
    <col min="8716" max="8716" width="5.5546875" style="2" customWidth="1"/>
    <col min="8717" max="8717" width="10.77734375" style="2" customWidth="1"/>
    <col min="8718" max="8718" width="8.21875" style="2" customWidth="1"/>
    <col min="8719" max="8719" width="12.21875" style="2" customWidth="1"/>
    <col min="8720" max="8720" width="10.21875" style="2" customWidth="1"/>
    <col min="8721" max="8721" width="9.21875" style="2" customWidth="1"/>
    <col min="8722" max="8960" width="8.77734375" style="2"/>
    <col min="8961" max="8961" width="4.21875" style="2" customWidth="1"/>
    <col min="8962" max="8962" width="2.5546875" style="2" customWidth="1"/>
    <col min="8963" max="8964" width="8.77734375" style="2"/>
    <col min="8965" max="8965" width="7.21875" style="2" customWidth="1"/>
    <col min="8966" max="8966" width="8.21875" style="2" customWidth="1"/>
    <col min="8967" max="8968" width="10.21875" style="2" customWidth="1"/>
    <col min="8969" max="8969" width="3.77734375" style="2" customWidth="1"/>
    <col min="8970" max="8970" width="8.77734375" style="2"/>
    <col min="8971" max="8971" width="6.21875" style="2" customWidth="1"/>
    <col min="8972" max="8972" width="5.5546875" style="2" customWidth="1"/>
    <col min="8973" max="8973" width="10.77734375" style="2" customWidth="1"/>
    <col min="8974" max="8974" width="8.21875" style="2" customWidth="1"/>
    <col min="8975" max="8975" width="12.21875" style="2" customWidth="1"/>
    <col min="8976" max="8976" width="10.21875" style="2" customWidth="1"/>
    <col min="8977" max="8977" width="9.21875" style="2" customWidth="1"/>
    <col min="8978" max="9216" width="8.77734375" style="2"/>
    <col min="9217" max="9217" width="4.21875" style="2" customWidth="1"/>
    <col min="9218" max="9218" width="2.5546875" style="2" customWidth="1"/>
    <col min="9219" max="9220" width="8.77734375" style="2"/>
    <col min="9221" max="9221" width="7.21875" style="2" customWidth="1"/>
    <col min="9222" max="9222" width="8.21875" style="2" customWidth="1"/>
    <col min="9223" max="9224" width="10.21875" style="2" customWidth="1"/>
    <col min="9225" max="9225" width="3.77734375" style="2" customWidth="1"/>
    <col min="9226" max="9226" width="8.77734375" style="2"/>
    <col min="9227" max="9227" width="6.21875" style="2" customWidth="1"/>
    <col min="9228" max="9228" width="5.5546875" style="2" customWidth="1"/>
    <col min="9229" max="9229" width="10.77734375" style="2" customWidth="1"/>
    <col min="9230" max="9230" width="8.21875" style="2" customWidth="1"/>
    <col min="9231" max="9231" width="12.21875" style="2" customWidth="1"/>
    <col min="9232" max="9232" width="10.21875" style="2" customWidth="1"/>
    <col min="9233" max="9233" width="9.21875" style="2" customWidth="1"/>
    <col min="9234" max="9472" width="8.77734375" style="2"/>
    <col min="9473" max="9473" width="4.21875" style="2" customWidth="1"/>
    <col min="9474" max="9474" width="2.5546875" style="2" customWidth="1"/>
    <col min="9475" max="9476" width="8.77734375" style="2"/>
    <col min="9477" max="9477" width="7.21875" style="2" customWidth="1"/>
    <col min="9478" max="9478" width="8.21875" style="2" customWidth="1"/>
    <col min="9479" max="9480" width="10.21875" style="2" customWidth="1"/>
    <col min="9481" max="9481" width="3.77734375" style="2" customWidth="1"/>
    <col min="9482" max="9482" width="8.77734375" style="2"/>
    <col min="9483" max="9483" width="6.21875" style="2" customWidth="1"/>
    <col min="9484" max="9484" width="5.5546875" style="2" customWidth="1"/>
    <col min="9485" max="9485" width="10.77734375" style="2" customWidth="1"/>
    <col min="9486" max="9486" width="8.21875" style="2" customWidth="1"/>
    <col min="9487" max="9487" width="12.21875" style="2" customWidth="1"/>
    <col min="9488" max="9488" width="10.21875" style="2" customWidth="1"/>
    <col min="9489" max="9489" width="9.21875" style="2" customWidth="1"/>
    <col min="9490" max="9728" width="8.77734375" style="2"/>
    <col min="9729" max="9729" width="4.21875" style="2" customWidth="1"/>
    <col min="9730" max="9730" width="2.5546875" style="2" customWidth="1"/>
    <col min="9731" max="9732" width="8.77734375" style="2"/>
    <col min="9733" max="9733" width="7.21875" style="2" customWidth="1"/>
    <col min="9734" max="9734" width="8.21875" style="2" customWidth="1"/>
    <col min="9735" max="9736" width="10.21875" style="2" customWidth="1"/>
    <col min="9737" max="9737" width="3.77734375" style="2" customWidth="1"/>
    <col min="9738" max="9738" width="8.77734375" style="2"/>
    <col min="9739" max="9739" width="6.21875" style="2" customWidth="1"/>
    <col min="9740" max="9740" width="5.5546875" style="2" customWidth="1"/>
    <col min="9741" max="9741" width="10.77734375" style="2" customWidth="1"/>
    <col min="9742" max="9742" width="8.21875" style="2" customWidth="1"/>
    <col min="9743" max="9743" width="12.21875" style="2" customWidth="1"/>
    <col min="9744" max="9744" width="10.21875" style="2" customWidth="1"/>
    <col min="9745" max="9745" width="9.21875" style="2" customWidth="1"/>
    <col min="9746" max="9984" width="8.77734375" style="2"/>
    <col min="9985" max="9985" width="4.21875" style="2" customWidth="1"/>
    <col min="9986" max="9986" width="2.5546875" style="2" customWidth="1"/>
    <col min="9987" max="9988" width="8.77734375" style="2"/>
    <col min="9989" max="9989" width="7.21875" style="2" customWidth="1"/>
    <col min="9990" max="9990" width="8.21875" style="2" customWidth="1"/>
    <col min="9991" max="9992" width="10.21875" style="2" customWidth="1"/>
    <col min="9993" max="9993" width="3.77734375" style="2" customWidth="1"/>
    <col min="9994" max="9994" width="8.77734375" style="2"/>
    <col min="9995" max="9995" width="6.21875" style="2" customWidth="1"/>
    <col min="9996" max="9996" width="5.5546875" style="2" customWidth="1"/>
    <col min="9997" max="9997" width="10.77734375" style="2" customWidth="1"/>
    <col min="9998" max="9998" width="8.21875" style="2" customWidth="1"/>
    <col min="9999" max="9999" width="12.21875" style="2" customWidth="1"/>
    <col min="10000" max="10000" width="10.21875" style="2" customWidth="1"/>
    <col min="10001" max="10001" width="9.21875" style="2" customWidth="1"/>
    <col min="10002" max="10240" width="8.77734375" style="2"/>
    <col min="10241" max="10241" width="4.21875" style="2" customWidth="1"/>
    <col min="10242" max="10242" width="2.5546875" style="2" customWidth="1"/>
    <col min="10243" max="10244" width="8.77734375" style="2"/>
    <col min="10245" max="10245" width="7.21875" style="2" customWidth="1"/>
    <col min="10246" max="10246" width="8.21875" style="2" customWidth="1"/>
    <col min="10247" max="10248" width="10.21875" style="2" customWidth="1"/>
    <col min="10249" max="10249" width="3.77734375" style="2" customWidth="1"/>
    <col min="10250" max="10250" width="8.77734375" style="2"/>
    <col min="10251" max="10251" width="6.21875" style="2" customWidth="1"/>
    <col min="10252" max="10252" width="5.5546875" style="2" customWidth="1"/>
    <col min="10253" max="10253" width="10.77734375" style="2" customWidth="1"/>
    <col min="10254" max="10254" width="8.21875" style="2" customWidth="1"/>
    <col min="10255" max="10255" width="12.21875" style="2" customWidth="1"/>
    <col min="10256" max="10256" width="10.21875" style="2" customWidth="1"/>
    <col min="10257" max="10257" width="9.21875" style="2" customWidth="1"/>
    <col min="10258" max="10496" width="8.77734375" style="2"/>
    <col min="10497" max="10497" width="4.21875" style="2" customWidth="1"/>
    <col min="10498" max="10498" width="2.5546875" style="2" customWidth="1"/>
    <col min="10499" max="10500" width="8.77734375" style="2"/>
    <col min="10501" max="10501" width="7.21875" style="2" customWidth="1"/>
    <col min="10502" max="10502" width="8.21875" style="2" customWidth="1"/>
    <col min="10503" max="10504" width="10.21875" style="2" customWidth="1"/>
    <col min="10505" max="10505" width="3.77734375" style="2" customWidth="1"/>
    <col min="10506" max="10506" width="8.77734375" style="2"/>
    <col min="10507" max="10507" width="6.21875" style="2" customWidth="1"/>
    <col min="10508" max="10508" width="5.5546875" style="2" customWidth="1"/>
    <col min="10509" max="10509" width="10.77734375" style="2" customWidth="1"/>
    <col min="10510" max="10510" width="8.21875" style="2" customWidth="1"/>
    <col min="10511" max="10511" width="12.21875" style="2" customWidth="1"/>
    <col min="10512" max="10512" width="10.21875" style="2" customWidth="1"/>
    <col min="10513" max="10513" width="9.21875" style="2" customWidth="1"/>
    <col min="10514" max="10752" width="8.77734375" style="2"/>
    <col min="10753" max="10753" width="4.21875" style="2" customWidth="1"/>
    <col min="10754" max="10754" width="2.5546875" style="2" customWidth="1"/>
    <col min="10755" max="10756" width="8.77734375" style="2"/>
    <col min="10757" max="10757" width="7.21875" style="2" customWidth="1"/>
    <col min="10758" max="10758" width="8.21875" style="2" customWidth="1"/>
    <col min="10759" max="10760" width="10.21875" style="2" customWidth="1"/>
    <col min="10761" max="10761" width="3.77734375" style="2" customWidth="1"/>
    <col min="10762" max="10762" width="8.77734375" style="2"/>
    <col min="10763" max="10763" width="6.21875" style="2" customWidth="1"/>
    <col min="10764" max="10764" width="5.5546875" style="2" customWidth="1"/>
    <col min="10765" max="10765" width="10.77734375" style="2" customWidth="1"/>
    <col min="10766" max="10766" width="8.21875" style="2" customWidth="1"/>
    <col min="10767" max="10767" width="12.21875" style="2" customWidth="1"/>
    <col min="10768" max="10768" width="10.21875" style="2" customWidth="1"/>
    <col min="10769" max="10769" width="9.21875" style="2" customWidth="1"/>
    <col min="10770" max="11008" width="8.77734375" style="2"/>
    <col min="11009" max="11009" width="4.21875" style="2" customWidth="1"/>
    <col min="11010" max="11010" width="2.5546875" style="2" customWidth="1"/>
    <col min="11011" max="11012" width="8.77734375" style="2"/>
    <col min="11013" max="11013" width="7.21875" style="2" customWidth="1"/>
    <col min="11014" max="11014" width="8.21875" style="2" customWidth="1"/>
    <col min="11015" max="11016" width="10.21875" style="2" customWidth="1"/>
    <col min="11017" max="11017" width="3.77734375" style="2" customWidth="1"/>
    <col min="11018" max="11018" width="8.77734375" style="2"/>
    <col min="11019" max="11019" width="6.21875" style="2" customWidth="1"/>
    <col min="11020" max="11020" width="5.5546875" style="2" customWidth="1"/>
    <col min="11021" max="11021" width="10.77734375" style="2" customWidth="1"/>
    <col min="11022" max="11022" width="8.21875" style="2" customWidth="1"/>
    <col min="11023" max="11023" width="12.21875" style="2" customWidth="1"/>
    <col min="11024" max="11024" width="10.21875" style="2" customWidth="1"/>
    <col min="11025" max="11025" width="9.21875" style="2" customWidth="1"/>
    <col min="11026" max="11264" width="8.77734375" style="2"/>
    <col min="11265" max="11265" width="4.21875" style="2" customWidth="1"/>
    <col min="11266" max="11266" width="2.5546875" style="2" customWidth="1"/>
    <col min="11267" max="11268" width="8.77734375" style="2"/>
    <col min="11269" max="11269" width="7.21875" style="2" customWidth="1"/>
    <col min="11270" max="11270" width="8.21875" style="2" customWidth="1"/>
    <col min="11271" max="11272" width="10.21875" style="2" customWidth="1"/>
    <col min="11273" max="11273" width="3.77734375" style="2" customWidth="1"/>
    <col min="11274" max="11274" width="8.77734375" style="2"/>
    <col min="11275" max="11275" width="6.21875" style="2" customWidth="1"/>
    <col min="11276" max="11276" width="5.5546875" style="2" customWidth="1"/>
    <col min="11277" max="11277" width="10.77734375" style="2" customWidth="1"/>
    <col min="11278" max="11278" width="8.21875" style="2" customWidth="1"/>
    <col min="11279" max="11279" width="12.21875" style="2" customWidth="1"/>
    <col min="11280" max="11280" width="10.21875" style="2" customWidth="1"/>
    <col min="11281" max="11281" width="9.21875" style="2" customWidth="1"/>
    <col min="11282" max="11520" width="8.77734375" style="2"/>
    <col min="11521" max="11521" width="4.21875" style="2" customWidth="1"/>
    <col min="11522" max="11522" width="2.5546875" style="2" customWidth="1"/>
    <col min="11523" max="11524" width="8.77734375" style="2"/>
    <col min="11525" max="11525" width="7.21875" style="2" customWidth="1"/>
    <col min="11526" max="11526" width="8.21875" style="2" customWidth="1"/>
    <col min="11527" max="11528" width="10.21875" style="2" customWidth="1"/>
    <col min="11529" max="11529" width="3.77734375" style="2" customWidth="1"/>
    <col min="11530" max="11530" width="8.77734375" style="2"/>
    <col min="11531" max="11531" width="6.21875" style="2" customWidth="1"/>
    <col min="11532" max="11532" width="5.5546875" style="2" customWidth="1"/>
    <col min="11533" max="11533" width="10.77734375" style="2" customWidth="1"/>
    <col min="11534" max="11534" width="8.21875" style="2" customWidth="1"/>
    <col min="11535" max="11535" width="12.21875" style="2" customWidth="1"/>
    <col min="11536" max="11536" width="10.21875" style="2" customWidth="1"/>
    <col min="11537" max="11537" width="9.21875" style="2" customWidth="1"/>
    <col min="11538" max="11776" width="8.77734375" style="2"/>
    <col min="11777" max="11777" width="4.21875" style="2" customWidth="1"/>
    <col min="11778" max="11778" width="2.5546875" style="2" customWidth="1"/>
    <col min="11779" max="11780" width="8.77734375" style="2"/>
    <col min="11781" max="11781" width="7.21875" style="2" customWidth="1"/>
    <col min="11782" max="11782" width="8.21875" style="2" customWidth="1"/>
    <col min="11783" max="11784" width="10.21875" style="2" customWidth="1"/>
    <col min="11785" max="11785" width="3.77734375" style="2" customWidth="1"/>
    <col min="11786" max="11786" width="8.77734375" style="2"/>
    <col min="11787" max="11787" width="6.21875" style="2" customWidth="1"/>
    <col min="11788" max="11788" width="5.5546875" style="2" customWidth="1"/>
    <col min="11789" max="11789" width="10.77734375" style="2" customWidth="1"/>
    <col min="11790" max="11790" width="8.21875" style="2" customWidth="1"/>
    <col min="11791" max="11791" width="12.21875" style="2" customWidth="1"/>
    <col min="11792" max="11792" width="10.21875" style="2" customWidth="1"/>
    <col min="11793" max="11793" width="9.21875" style="2" customWidth="1"/>
    <col min="11794" max="12032" width="8.77734375" style="2"/>
    <col min="12033" max="12033" width="4.21875" style="2" customWidth="1"/>
    <col min="12034" max="12034" width="2.5546875" style="2" customWidth="1"/>
    <col min="12035" max="12036" width="8.77734375" style="2"/>
    <col min="12037" max="12037" width="7.21875" style="2" customWidth="1"/>
    <col min="12038" max="12038" width="8.21875" style="2" customWidth="1"/>
    <col min="12039" max="12040" width="10.21875" style="2" customWidth="1"/>
    <col min="12041" max="12041" width="3.77734375" style="2" customWidth="1"/>
    <col min="12042" max="12042" width="8.77734375" style="2"/>
    <col min="12043" max="12043" width="6.21875" style="2" customWidth="1"/>
    <col min="12044" max="12044" width="5.5546875" style="2" customWidth="1"/>
    <col min="12045" max="12045" width="10.77734375" style="2" customWidth="1"/>
    <col min="12046" max="12046" width="8.21875" style="2" customWidth="1"/>
    <col min="12047" max="12047" width="12.21875" style="2" customWidth="1"/>
    <col min="12048" max="12048" width="10.21875" style="2" customWidth="1"/>
    <col min="12049" max="12049" width="9.21875" style="2" customWidth="1"/>
    <col min="12050" max="12288" width="8.77734375" style="2"/>
    <col min="12289" max="12289" width="4.21875" style="2" customWidth="1"/>
    <col min="12290" max="12290" width="2.5546875" style="2" customWidth="1"/>
    <col min="12291" max="12292" width="8.77734375" style="2"/>
    <col min="12293" max="12293" width="7.21875" style="2" customWidth="1"/>
    <col min="12294" max="12294" width="8.21875" style="2" customWidth="1"/>
    <col min="12295" max="12296" width="10.21875" style="2" customWidth="1"/>
    <col min="12297" max="12297" width="3.77734375" style="2" customWidth="1"/>
    <col min="12298" max="12298" width="8.77734375" style="2"/>
    <col min="12299" max="12299" width="6.21875" style="2" customWidth="1"/>
    <col min="12300" max="12300" width="5.5546875" style="2" customWidth="1"/>
    <col min="12301" max="12301" width="10.77734375" style="2" customWidth="1"/>
    <col min="12302" max="12302" width="8.21875" style="2" customWidth="1"/>
    <col min="12303" max="12303" width="12.21875" style="2" customWidth="1"/>
    <col min="12304" max="12304" width="10.21875" style="2" customWidth="1"/>
    <col min="12305" max="12305" width="9.21875" style="2" customWidth="1"/>
    <col min="12306" max="12544" width="8.77734375" style="2"/>
    <col min="12545" max="12545" width="4.21875" style="2" customWidth="1"/>
    <col min="12546" max="12546" width="2.5546875" style="2" customWidth="1"/>
    <col min="12547" max="12548" width="8.77734375" style="2"/>
    <col min="12549" max="12549" width="7.21875" style="2" customWidth="1"/>
    <col min="12550" max="12550" width="8.21875" style="2" customWidth="1"/>
    <col min="12551" max="12552" width="10.21875" style="2" customWidth="1"/>
    <col min="12553" max="12553" width="3.77734375" style="2" customWidth="1"/>
    <col min="12554" max="12554" width="8.77734375" style="2"/>
    <col min="12555" max="12555" width="6.21875" style="2" customWidth="1"/>
    <col min="12556" max="12556" width="5.5546875" style="2" customWidth="1"/>
    <col min="12557" max="12557" width="10.77734375" style="2" customWidth="1"/>
    <col min="12558" max="12558" width="8.21875" style="2" customWidth="1"/>
    <col min="12559" max="12559" width="12.21875" style="2" customWidth="1"/>
    <col min="12560" max="12560" width="10.21875" style="2" customWidth="1"/>
    <col min="12561" max="12561" width="9.21875" style="2" customWidth="1"/>
    <col min="12562" max="12800" width="8.77734375" style="2"/>
    <col min="12801" max="12801" width="4.21875" style="2" customWidth="1"/>
    <col min="12802" max="12802" width="2.5546875" style="2" customWidth="1"/>
    <col min="12803" max="12804" width="8.77734375" style="2"/>
    <col min="12805" max="12805" width="7.21875" style="2" customWidth="1"/>
    <col min="12806" max="12806" width="8.21875" style="2" customWidth="1"/>
    <col min="12807" max="12808" width="10.21875" style="2" customWidth="1"/>
    <col min="12809" max="12809" width="3.77734375" style="2" customWidth="1"/>
    <col min="12810" max="12810" width="8.77734375" style="2"/>
    <col min="12811" max="12811" width="6.21875" style="2" customWidth="1"/>
    <col min="12812" max="12812" width="5.5546875" style="2" customWidth="1"/>
    <col min="12813" max="12813" width="10.77734375" style="2" customWidth="1"/>
    <col min="12814" max="12814" width="8.21875" style="2" customWidth="1"/>
    <col min="12815" max="12815" width="12.21875" style="2" customWidth="1"/>
    <col min="12816" max="12816" width="10.21875" style="2" customWidth="1"/>
    <col min="12817" max="12817" width="9.21875" style="2" customWidth="1"/>
    <col min="12818" max="13056" width="8.77734375" style="2"/>
    <col min="13057" max="13057" width="4.21875" style="2" customWidth="1"/>
    <col min="13058" max="13058" width="2.5546875" style="2" customWidth="1"/>
    <col min="13059" max="13060" width="8.77734375" style="2"/>
    <col min="13061" max="13061" width="7.21875" style="2" customWidth="1"/>
    <col min="13062" max="13062" width="8.21875" style="2" customWidth="1"/>
    <col min="13063" max="13064" width="10.21875" style="2" customWidth="1"/>
    <col min="13065" max="13065" width="3.77734375" style="2" customWidth="1"/>
    <col min="13066" max="13066" width="8.77734375" style="2"/>
    <col min="13067" max="13067" width="6.21875" style="2" customWidth="1"/>
    <col min="13068" max="13068" width="5.5546875" style="2" customWidth="1"/>
    <col min="13069" max="13069" width="10.77734375" style="2" customWidth="1"/>
    <col min="13070" max="13070" width="8.21875" style="2" customWidth="1"/>
    <col min="13071" max="13071" width="12.21875" style="2" customWidth="1"/>
    <col min="13072" max="13072" width="10.21875" style="2" customWidth="1"/>
    <col min="13073" max="13073" width="9.21875" style="2" customWidth="1"/>
    <col min="13074" max="13312" width="8.77734375" style="2"/>
    <col min="13313" max="13313" width="4.21875" style="2" customWidth="1"/>
    <col min="13314" max="13314" width="2.5546875" style="2" customWidth="1"/>
    <col min="13315" max="13316" width="8.77734375" style="2"/>
    <col min="13317" max="13317" width="7.21875" style="2" customWidth="1"/>
    <col min="13318" max="13318" width="8.21875" style="2" customWidth="1"/>
    <col min="13319" max="13320" width="10.21875" style="2" customWidth="1"/>
    <col min="13321" max="13321" width="3.77734375" style="2" customWidth="1"/>
    <col min="13322" max="13322" width="8.77734375" style="2"/>
    <col min="13323" max="13323" width="6.21875" style="2" customWidth="1"/>
    <col min="13324" max="13324" width="5.5546875" style="2" customWidth="1"/>
    <col min="13325" max="13325" width="10.77734375" style="2" customWidth="1"/>
    <col min="13326" max="13326" width="8.21875" style="2" customWidth="1"/>
    <col min="13327" max="13327" width="12.21875" style="2" customWidth="1"/>
    <col min="13328" max="13328" width="10.21875" style="2" customWidth="1"/>
    <col min="13329" max="13329" width="9.21875" style="2" customWidth="1"/>
    <col min="13330" max="13568" width="8.77734375" style="2"/>
    <col min="13569" max="13569" width="4.21875" style="2" customWidth="1"/>
    <col min="13570" max="13570" width="2.5546875" style="2" customWidth="1"/>
    <col min="13571" max="13572" width="8.77734375" style="2"/>
    <col min="13573" max="13573" width="7.21875" style="2" customWidth="1"/>
    <col min="13574" max="13574" width="8.21875" style="2" customWidth="1"/>
    <col min="13575" max="13576" width="10.21875" style="2" customWidth="1"/>
    <col min="13577" max="13577" width="3.77734375" style="2" customWidth="1"/>
    <col min="13578" max="13578" width="8.77734375" style="2"/>
    <col min="13579" max="13579" width="6.21875" style="2" customWidth="1"/>
    <col min="13580" max="13580" width="5.5546875" style="2" customWidth="1"/>
    <col min="13581" max="13581" width="10.77734375" style="2" customWidth="1"/>
    <col min="13582" max="13582" width="8.21875" style="2" customWidth="1"/>
    <col min="13583" max="13583" width="12.21875" style="2" customWidth="1"/>
    <col min="13584" max="13584" width="10.21875" style="2" customWidth="1"/>
    <col min="13585" max="13585" width="9.21875" style="2" customWidth="1"/>
    <col min="13586" max="13824" width="8.77734375" style="2"/>
    <col min="13825" max="13825" width="4.21875" style="2" customWidth="1"/>
    <col min="13826" max="13826" width="2.5546875" style="2" customWidth="1"/>
    <col min="13827" max="13828" width="8.77734375" style="2"/>
    <col min="13829" max="13829" width="7.21875" style="2" customWidth="1"/>
    <col min="13830" max="13830" width="8.21875" style="2" customWidth="1"/>
    <col min="13831" max="13832" width="10.21875" style="2" customWidth="1"/>
    <col min="13833" max="13833" width="3.77734375" style="2" customWidth="1"/>
    <col min="13834" max="13834" width="8.77734375" style="2"/>
    <col min="13835" max="13835" width="6.21875" style="2" customWidth="1"/>
    <col min="13836" max="13836" width="5.5546875" style="2" customWidth="1"/>
    <col min="13837" max="13837" width="10.77734375" style="2" customWidth="1"/>
    <col min="13838" max="13838" width="8.21875" style="2" customWidth="1"/>
    <col min="13839" max="13839" width="12.21875" style="2" customWidth="1"/>
    <col min="13840" max="13840" width="10.21875" style="2" customWidth="1"/>
    <col min="13841" max="13841" width="9.21875" style="2" customWidth="1"/>
    <col min="13842" max="14080" width="8.77734375" style="2"/>
    <col min="14081" max="14081" width="4.21875" style="2" customWidth="1"/>
    <col min="14082" max="14082" width="2.5546875" style="2" customWidth="1"/>
    <col min="14083" max="14084" width="8.77734375" style="2"/>
    <col min="14085" max="14085" width="7.21875" style="2" customWidth="1"/>
    <col min="14086" max="14086" width="8.21875" style="2" customWidth="1"/>
    <col min="14087" max="14088" width="10.21875" style="2" customWidth="1"/>
    <col min="14089" max="14089" width="3.77734375" style="2" customWidth="1"/>
    <col min="14090" max="14090" width="8.77734375" style="2"/>
    <col min="14091" max="14091" width="6.21875" style="2" customWidth="1"/>
    <col min="14092" max="14092" width="5.5546875" style="2" customWidth="1"/>
    <col min="14093" max="14093" width="10.77734375" style="2" customWidth="1"/>
    <col min="14094" max="14094" width="8.21875" style="2" customWidth="1"/>
    <col min="14095" max="14095" width="12.21875" style="2" customWidth="1"/>
    <col min="14096" max="14096" width="10.21875" style="2" customWidth="1"/>
    <col min="14097" max="14097" width="9.21875" style="2" customWidth="1"/>
    <col min="14098" max="14336" width="8.77734375" style="2"/>
    <col min="14337" max="14337" width="4.21875" style="2" customWidth="1"/>
    <col min="14338" max="14338" width="2.5546875" style="2" customWidth="1"/>
    <col min="14339" max="14340" width="8.77734375" style="2"/>
    <col min="14341" max="14341" width="7.21875" style="2" customWidth="1"/>
    <col min="14342" max="14342" width="8.21875" style="2" customWidth="1"/>
    <col min="14343" max="14344" width="10.21875" style="2" customWidth="1"/>
    <col min="14345" max="14345" width="3.77734375" style="2" customWidth="1"/>
    <col min="14346" max="14346" width="8.77734375" style="2"/>
    <col min="14347" max="14347" width="6.21875" style="2" customWidth="1"/>
    <col min="14348" max="14348" width="5.5546875" style="2" customWidth="1"/>
    <col min="14349" max="14349" width="10.77734375" style="2" customWidth="1"/>
    <col min="14350" max="14350" width="8.21875" style="2" customWidth="1"/>
    <col min="14351" max="14351" width="12.21875" style="2" customWidth="1"/>
    <col min="14352" max="14352" width="10.21875" style="2" customWidth="1"/>
    <col min="14353" max="14353" width="9.21875" style="2" customWidth="1"/>
    <col min="14354" max="14592" width="8.77734375" style="2"/>
    <col min="14593" max="14593" width="4.21875" style="2" customWidth="1"/>
    <col min="14594" max="14594" width="2.5546875" style="2" customWidth="1"/>
    <col min="14595" max="14596" width="8.77734375" style="2"/>
    <col min="14597" max="14597" width="7.21875" style="2" customWidth="1"/>
    <col min="14598" max="14598" width="8.21875" style="2" customWidth="1"/>
    <col min="14599" max="14600" width="10.21875" style="2" customWidth="1"/>
    <col min="14601" max="14601" width="3.77734375" style="2" customWidth="1"/>
    <col min="14602" max="14602" width="8.77734375" style="2"/>
    <col min="14603" max="14603" width="6.21875" style="2" customWidth="1"/>
    <col min="14604" max="14604" width="5.5546875" style="2" customWidth="1"/>
    <col min="14605" max="14605" width="10.77734375" style="2" customWidth="1"/>
    <col min="14606" max="14606" width="8.21875" style="2" customWidth="1"/>
    <col min="14607" max="14607" width="12.21875" style="2" customWidth="1"/>
    <col min="14608" max="14608" width="10.21875" style="2" customWidth="1"/>
    <col min="14609" max="14609" width="9.21875" style="2" customWidth="1"/>
    <col min="14610" max="14848" width="8.77734375" style="2"/>
    <col min="14849" max="14849" width="4.21875" style="2" customWidth="1"/>
    <col min="14850" max="14850" width="2.5546875" style="2" customWidth="1"/>
    <col min="14851" max="14852" width="8.77734375" style="2"/>
    <col min="14853" max="14853" width="7.21875" style="2" customWidth="1"/>
    <col min="14854" max="14854" width="8.21875" style="2" customWidth="1"/>
    <col min="14855" max="14856" width="10.21875" style="2" customWidth="1"/>
    <col min="14857" max="14857" width="3.77734375" style="2" customWidth="1"/>
    <col min="14858" max="14858" width="8.77734375" style="2"/>
    <col min="14859" max="14859" width="6.21875" style="2" customWidth="1"/>
    <col min="14860" max="14860" width="5.5546875" style="2" customWidth="1"/>
    <col min="14861" max="14861" width="10.77734375" style="2" customWidth="1"/>
    <col min="14862" max="14862" width="8.21875" style="2" customWidth="1"/>
    <col min="14863" max="14863" width="12.21875" style="2" customWidth="1"/>
    <col min="14864" max="14864" width="10.21875" style="2" customWidth="1"/>
    <col min="14865" max="14865" width="9.21875" style="2" customWidth="1"/>
    <col min="14866" max="15104" width="8.77734375" style="2"/>
    <col min="15105" max="15105" width="4.21875" style="2" customWidth="1"/>
    <col min="15106" max="15106" width="2.5546875" style="2" customWidth="1"/>
    <col min="15107" max="15108" width="8.77734375" style="2"/>
    <col min="15109" max="15109" width="7.21875" style="2" customWidth="1"/>
    <col min="15110" max="15110" width="8.21875" style="2" customWidth="1"/>
    <col min="15111" max="15112" width="10.21875" style="2" customWidth="1"/>
    <col min="15113" max="15113" width="3.77734375" style="2" customWidth="1"/>
    <col min="15114" max="15114" width="8.77734375" style="2"/>
    <col min="15115" max="15115" width="6.21875" style="2" customWidth="1"/>
    <col min="15116" max="15116" width="5.5546875" style="2" customWidth="1"/>
    <col min="15117" max="15117" width="10.77734375" style="2" customWidth="1"/>
    <col min="15118" max="15118" width="8.21875" style="2" customWidth="1"/>
    <col min="15119" max="15119" width="12.21875" style="2" customWidth="1"/>
    <col min="15120" max="15120" width="10.21875" style="2" customWidth="1"/>
    <col min="15121" max="15121" width="9.21875" style="2" customWidth="1"/>
    <col min="15122" max="15360" width="8.77734375" style="2"/>
    <col min="15361" max="15361" width="4.21875" style="2" customWidth="1"/>
    <col min="15362" max="15362" width="2.5546875" style="2" customWidth="1"/>
    <col min="15363" max="15364" width="8.77734375" style="2"/>
    <col min="15365" max="15365" width="7.21875" style="2" customWidth="1"/>
    <col min="15366" max="15366" width="8.21875" style="2" customWidth="1"/>
    <col min="15367" max="15368" width="10.21875" style="2" customWidth="1"/>
    <col min="15369" max="15369" width="3.77734375" style="2" customWidth="1"/>
    <col min="15370" max="15370" width="8.77734375" style="2"/>
    <col min="15371" max="15371" width="6.21875" style="2" customWidth="1"/>
    <col min="15372" max="15372" width="5.5546875" style="2" customWidth="1"/>
    <col min="15373" max="15373" width="10.77734375" style="2" customWidth="1"/>
    <col min="15374" max="15374" width="8.21875" style="2" customWidth="1"/>
    <col min="15375" max="15375" width="12.21875" style="2" customWidth="1"/>
    <col min="15376" max="15376" width="10.21875" style="2" customWidth="1"/>
    <col min="15377" max="15377" width="9.21875" style="2" customWidth="1"/>
    <col min="15378" max="15616" width="8.77734375" style="2"/>
    <col min="15617" max="15617" width="4.21875" style="2" customWidth="1"/>
    <col min="15618" max="15618" width="2.5546875" style="2" customWidth="1"/>
    <col min="15619" max="15620" width="8.77734375" style="2"/>
    <col min="15621" max="15621" width="7.21875" style="2" customWidth="1"/>
    <col min="15622" max="15622" width="8.21875" style="2" customWidth="1"/>
    <col min="15623" max="15624" width="10.21875" style="2" customWidth="1"/>
    <col min="15625" max="15625" width="3.77734375" style="2" customWidth="1"/>
    <col min="15626" max="15626" width="8.77734375" style="2"/>
    <col min="15627" max="15627" width="6.21875" style="2" customWidth="1"/>
    <col min="15628" max="15628" width="5.5546875" style="2" customWidth="1"/>
    <col min="15629" max="15629" width="10.77734375" style="2" customWidth="1"/>
    <col min="15630" max="15630" width="8.21875" style="2" customWidth="1"/>
    <col min="15631" max="15631" width="12.21875" style="2" customWidth="1"/>
    <col min="15632" max="15632" width="10.21875" style="2" customWidth="1"/>
    <col min="15633" max="15633" width="9.21875" style="2" customWidth="1"/>
    <col min="15634" max="15872" width="8.77734375" style="2"/>
    <col min="15873" max="15873" width="4.21875" style="2" customWidth="1"/>
    <col min="15874" max="15874" width="2.5546875" style="2" customWidth="1"/>
    <col min="15875" max="15876" width="8.77734375" style="2"/>
    <col min="15877" max="15877" width="7.21875" style="2" customWidth="1"/>
    <col min="15878" max="15878" width="8.21875" style="2" customWidth="1"/>
    <col min="15879" max="15880" width="10.21875" style="2" customWidth="1"/>
    <col min="15881" max="15881" width="3.77734375" style="2" customWidth="1"/>
    <col min="15882" max="15882" width="8.77734375" style="2"/>
    <col min="15883" max="15883" width="6.21875" style="2" customWidth="1"/>
    <col min="15884" max="15884" width="5.5546875" style="2" customWidth="1"/>
    <col min="15885" max="15885" width="10.77734375" style="2" customWidth="1"/>
    <col min="15886" max="15886" width="8.21875" style="2" customWidth="1"/>
    <col min="15887" max="15887" width="12.21875" style="2" customWidth="1"/>
    <col min="15888" max="15888" width="10.21875" style="2" customWidth="1"/>
    <col min="15889" max="15889" width="9.21875" style="2" customWidth="1"/>
    <col min="15890" max="16128" width="8.77734375" style="2"/>
    <col min="16129" max="16129" width="4.21875" style="2" customWidth="1"/>
    <col min="16130" max="16130" width="2.5546875" style="2" customWidth="1"/>
    <col min="16131" max="16132" width="8.77734375" style="2"/>
    <col min="16133" max="16133" width="7.21875" style="2" customWidth="1"/>
    <col min="16134" max="16134" width="8.21875" style="2" customWidth="1"/>
    <col min="16135" max="16136" width="10.21875" style="2" customWidth="1"/>
    <col min="16137" max="16137" width="3.77734375" style="2" customWidth="1"/>
    <col min="16138" max="16138" width="8.77734375" style="2"/>
    <col min="16139" max="16139" width="6.21875" style="2" customWidth="1"/>
    <col min="16140" max="16140" width="5.5546875" style="2" customWidth="1"/>
    <col min="16141" max="16141" width="10.77734375" style="2" customWidth="1"/>
    <col min="16142" max="16142" width="8.21875" style="2" customWidth="1"/>
    <col min="16143" max="16143" width="12.21875" style="2" customWidth="1"/>
    <col min="16144" max="16144" width="10.21875" style="2" customWidth="1"/>
    <col min="16145" max="16145" width="9.21875" style="2" customWidth="1"/>
    <col min="16146" max="16384" width="8.77734375" style="2"/>
  </cols>
  <sheetData>
    <row r="1" spans="1:18" ht="15.6">
      <c r="A1" s="1220" t="s">
        <v>20</v>
      </c>
      <c r="B1" s="1220"/>
      <c r="C1" s="1220"/>
      <c r="D1" s="1220"/>
      <c r="E1" s="1220"/>
      <c r="F1" s="1220"/>
      <c r="G1" s="1220"/>
      <c r="H1" s="1220"/>
      <c r="I1" s="1220"/>
      <c r="J1" s="1220"/>
      <c r="K1" s="1220"/>
      <c r="L1" s="1220"/>
      <c r="M1" s="1220"/>
      <c r="N1" s="1220"/>
      <c r="O1" s="1220"/>
      <c r="P1" s="49"/>
      <c r="Q1" s="50"/>
      <c r="R1" s="49"/>
    </row>
    <row r="2" spans="1:18" ht="15.6">
      <c r="A2" s="1220" t="s">
        <v>42</v>
      </c>
      <c r="B2" s="1220"/>
      <c r="C2" s="1220"/>
      <c r="D2" s="1220"/>
      <c r="E2" s="1220"/>
      <c r="F2" s="1220"/>
      <c r="G2" s="1220"/>
      <c r="H2" s="1220"/>
      <c r="I2" s="1220"/>
      <c r="J2" s="1220"/>
      <c r="K2" s="1220"/>
      <c r="L2" s="1220"/>
      <c r="M2" s="1220"/>
      <c r="N2" s="1220"/>
      <c r="O2" s="1220"/>
    </row>
    <row r="3" spans="1:18" ht="9" customHeight="1">
      <c r="A3" s="49"/>
      <c r="B3" s="49"/>
      <c r="C3" s="49"/>
      <c r="D3" s="49"/>
      <c r="E3" s="49"/>
      <c r="F3" s="49"/>
      <c r="G3" s="49"/>
      <c r="H3" s="49"/>
      <c r="I3" s="49"/>
      <c r="J3" s="49"/>
      <c r="K3" s="49"/>
      <c r="L3" s="49"/>
      <c r="M3" s="49"/>
      <c r="N3" s="49"/>
      <c r="O3" s="49"/>
    </row>
    <row r="4" spans="1:18" ht="7.5" customHeight="1"/>
    <row r="5" spans="1:18" ht="39" customHeight="1">
      <c r="A5" s="33" t="s">
        <v>22</v>
      </c>
      <c r="F5" s="34" t="s">
        <v>23</v>
      </c>
      <c r="H5" s="35" t="s">
        <v>24</v>
      </c>
      <c r="I5" s="36"/>
      <c r="J5" s="1221" t="s">
        <v>25</v>
      </c>
      <c r="K5" s="1217"/>
      <c r="M5" s="3" t="s">
        <v>26</v>
      </c>
      <c r="O5" s="37" t="s">
        <v>27</v>
      </c>
    </row>
    <row r="6" spans="1:18" ht="6.75" customHeight="1"/>
    <row r="7" spans="1:18" ht="15">
      <c r="B7" s="5" t="s">
        <v>6</v>
      </c>
      <c r="F7" s="38">
        <f>IF('Input (7)'!$G$4=0," ",'Input (7)'!$G$4)</f>
        <v>19</v>
      </c>
      <c r="G7" s="39"/>
      <c r="J7" s="1222">
        <f>IF('Input (7)'!G4=0,"0",'Input (7)'!G4)</f>
        <v>19</v>
      </c>
      <c r="K7" s="1222"/>
      <c r="L7" s="40" t="s">
        <v>28</v>
      </c>
      <c r="M7" s="41">
        <f>IF('Input (7)'!G4=0,0,LOOKUP(J7,'criteria (7)'!$A$3:$A$10,'criteria (7)'!$B$3:$B$10))</f>
        <v>40</v>
      </c>
      <c r="N7" s="42" t="s">
        <v>29</v>
      </c>
      <c r="O7" s="38">
        <f>IF(Q7=0,0,IF(Q7&lt;LOOKUP(J7,'criteria (7)'!$A$3:$A$10,'criteria (7)'!$C$3:$C$10),LOOKUP(J7,'criteria (7)'!$A$3:$A$10,'criteria (7)'!$C$3:$C$10),IF(LOOKUP(J7,'criteria (7)'!$A$3:$A$10,'criteria (7)'!$C$3:$C$10)=0,0,Q7)))</f>
        <v>0.6</v>
      </c>
      <c r="P7" s="28" t="str">
        <f>IF('Input (7)'!G4=0," ",IF(O7=0,"ADD to 1-6",IF(O7=Q7," ","Minimum")))</f>
        <v>Minimum</v>
      </c>
      <c r="Q7" s="32">
        <f>ROUND(IF('Input (7)'!G4=0,0,IF(M7=0,0,(J7/M7))),2)</f>
        <v>0.48</v>
      </c>
    </row>
    <row r="8" spans="1:18" ht="6.75" customHeight="1">
      <c r="J8" s="43"/>
      <c r="K8" s="43"/>
      <c r="O8" s="43"/>
    </row>
    <row r="9" spans="1:18">
      <c r="B9" s="5" t="s">
        <v>7</v>
      </c>
      <c r="J9" s="43"/>
      <c r="K9" s="43"/>
      <c r="O9" s="43"/>
    </row>
    <row r="10" spans="1:18">
      <c r="B10" s="28" t="s">
        <v>30</v>
      </c>
      <c r="J10" s="43"/>
      <c r="K10" s="43"/>
      <c r="O10" s="43"/>
    </row>
    <row r="11" spans="1:18" ht="16.5" customHeight="1">
      <c r="C11" s="12" t="s">
        <v>8</v>
      </c>
      <c r="F11" s="41" t="str">
        <f>IF(J11=0," ",IF($J$16&gt;300," ",'Input (7)'!G7))</f>
        <v xml:space="preserve"> </v>
      </c>
      <c r="G11" s="44" t="s">
        <v>31</v>
      </c>
      <c r="H11" s="38" t="str">
        <f>IF(J11=0," ",'C (7)'!H25)</f>
        <v xml:space="preserve"> </v>
      </c>
      <c r="I11" s="42" t="s">
        <v>29</v>
      </c>
      <c r="J11" s="1222">
        <f>IF('Input (7)'!G7=0,0,IF(SUM('Input (7)'!G7-'C (7)'!H25)+SUM('Input (7)'!G8-'C (7)'!H26)&gt;299.99,SUM('Input (7)'!G7-'C (7)'!H25),0))</f>
        <v>0</v>
      </c>
      <c r="K11" s="1222"/>
      <c r="L11" s="40" t="s">
        <v>28</v>
      </c>
      <c r="M11" s="41">
        <f>IF(SUM('Input (7)'!$G$7-'C (7)'!$H$25)+SUM('Input (7)'!$G$8-'C (7)'!$H$26)&gt;299.99,20,0)</f>
        <v>0</v>
      </c>
      <c r="N11" s="42" t="s">
        <v>29</v>
      </c>
      <c r="O11" s="38">
        <f>ROUND(IF(SUM('Input (7)'!$G$7-'C (7)'!$H$25)+SUM('Input (7)'!$G$8-'C (7)'!$H$26)&lt;299.99,0,IF(Q11+Q13&lt;15,0,(J11/M11))),2)</f>
        <v>0</v>
      </c>
      <c r="P11" s="2" t="str">
        <f>IF(O11=0," ",IF(O11=Q11," ","Minimum"))</f>
        <v xml:space="preserve"> </v>
      </c>
      <c r="Q11" s="32">
        <f>ROUND(IF(SUM('Input (7)'!$G$7-'C (7)'!$H$25)+SUM('Input (7)'!$G$8-'C (7)'!$H$26)&lt;299.99,0,(J11/M11)),2)</f>
        <v>0</v>
      </c>
    </row>
    <row r="12" spans="1:18" ht="9" customHeight="1">
      <c r="B12" s="12"/>
      <c r="J12" s="43"/>
      <c r="K12" s="43"/>
      <c r="O12" s="43"/>
    </row>
    <row r="13" spans="1:18" ht="15">
      <c r="C13" s="12" t="s">
        <v>9</v>
      </c>
      <c r="F13" s="41" t="str">
        <f>IF(J13=0," ",IF($J$16&gt;300," ",'Input (7)'!G8))</f>
        <v xml:space="preserve"> </v>
      </c>
      <c r="G13" s="44" t="s">
        <v>31</v>
      </c>
      <c r="H13" s="38" t="str">
        <f>IF(J13=0," ",'C (7)'!H26)</f>
        <v xml:space="preserve"> </v>
      </c>
      <c r="I13" s="42" t="s">
        <v>29</v>
      </c>
      <c r="J13" s="1222">
        <f>IF('Input (7)'!G8=0,0,IF(SUM('Input (7)'!G7-'C (7)'!H25)+SUM('Input (7)'!G8-'C (7)'!H26)&gt;299.99,SUM('Input (7)'!G8-'C (7)'!H26),0))</f>
        <v>0</v>
      </c>
      <c r="K13" s="1222"/>
      <c r="L13" s="40" t="s">
        <v>28</v>
      </c>
      <c r="M13" s="41">
        <f>IF(SUM('Input (7)'!$G$7-'C (7)'!$H$25)+SUM('Input (7)'!$G$8-'C (7)'!$H$26)&gt;299.99,23,0)</f>
        <v>0</v>
      </c>
      <c r="N13" s="42" t="s">
        <v>29</v>
      </c>
      <c r="O13" s="38">
        <f>ROUND(IF(SUM('Input (7)'!$G$7-'C (7)'!$H$25)+SUM('Input (7)'!$G$8-'C (7)'!$H$26)&lt;299.99,0,IF(Q11+Q13&lt;15,0,($J$13/$M$13))),2)</f>
        <v>0</v>
      </c>
      <c r="P13" s="2" t="str">
        <f>IF(O13=0," ",IF(O13=Q13," ","Minimum"))</f>
        <v xml:space="preserve"> </v>
      </c>
      <c r="Q13" s="32">
        <f>ROUND(IF(SUM('Input (7)'!$G$7-'C (7)'!$H$25)+SUM('Input (7)'!$G$8-'C (7)'!$H$26)&lt;299.99,0,($J$13/$M$13)),2)</f>
        <v>0</v>
      </c>
    </row>
    <row r="14" spans="1:18" ht="15">
      <c r="B14" s="5" t="s">
        <v>7</v>
      </c>
      <c r="F14" s="36"/>
      <c r="G14" s="44"/>
      <c r="H14" s="39"/>
      <c r="I14" s="42"/>
      <c r="O14" s="39" t="str">
        <f>IF(P14="Minimum",15," ")</f>
        <v xml:space="preserve"> </v>
      </c>
      <c r="P14" s="2" t="str">
        <f>IF(Q11+Q13=0," ",IF(Q11+Q13&lt;15,"Minimum"," "))</f>
        <v xml:space="preserve"> </v>
      </c>
    </row>
    <row r="15" spans="1:18">
      <c r="B15" s="28" t="s">
        <v>32</v>
      </c>
      <c r="O15" s="43"/>
    </row>
    <row r="16" spans="1:18" ht="15">
      <c r="C16" s="12" t="s">
        <v>33</v>
      </c>
      <c r="F16" s="41">
        <f>IF(J16=0," ",IF(J16&lt;300,SUM('Input (7)'!G7+'Input (7)'!G8)," "))</f>
        <v>101.65</v>
      </c>
      <c r="G16" s="44" t="s">
        <v>31</v>
      </c>
      <c r="H16" s="38">
        <f>IF(J16=0," ",'C (7)'!H22)</f>
        <v>7.62</v>
      </c>
      <c r="I16" s="42" t="s">
        <v>29</v>
      </c>
      <c r="J16" s="1222">
        <f>IF('Input (7)'!G9=0,0,IF(SUM('Input (7)'!G7-'C (7)'!H25)+SUM('Input (7)'!G8-'C (7)'!H26)&lt;300,IF(P7="ADD to 1-6",SUM('Input (7)'!G7-'C (7)'!H25)+SUM('Input (7)'!G8-'C (7)'!H26)+'Input (7)'!G4,SUM('Input (7)'!G7-'C (7)'!H25)+SUM('Input (7)'!G8-'C (7)'!H26)),0))</f>
        <v>94.03</v>
      </c>
      <c r="K16" s="1222"/>
      <c r="L16" s="40" t="s">
        <v>28</v>
      </c>
      <c r="M16" s="41">
        <f>IF(SUM('Input (7)'!$G$7-'C (7)'!$H$25)+SUM('Input (7)'!$G$8-'C (7)'!$H$26)&lt;299.99,LOOKUP(J16,'criteria (7)'!$M$3:$M$11,'criteria (7)'!$N$3:$N$11),0)</f>
        <v>16</v>
      </c>
      <c r="N16" s="42" t="s">
        <v>29</v>
      </c>
      <c r="O16" s="38">
        <f>IF(Q16=0,0,IF(Q16&lt;LOOKUP(J16,'criteria (7)'!$M$3:$M$10,'criteria (7)'!$O$3:$O$10),LOOKUP(J16,'criteria (7)'!$M$3:$M$10,'criteria (7)'!$O$3:$O$10),Q16))</f>
        <v>5.88</v>
      </c>
      <c r="P16" s="2" t="str">
        <f>IF(O16=0," ",IF(O16=Q16," ","Minimum"))</f>
        <v xml:space="preserve"> </v>
      </c>
      <c r="Q16" s="32">
        <f>ROUND(IF('Input (7)'!G9=0,0,IF(SUM('Input (7)'!$G$7-'C (7)'!$H$25)+SUM('Input (7)'!$G$8-'C (7)'!$H$26)&gt;299.99,0,(J16/M16))),2)</f>
        <v>5.88</v>
      </c>
    </row>
    <row r="17" spans="1:17" ht="6" customHeight="1">
      <c r="J17" s="43"/>
      <c r="K17" s="43"/>
      <c r="O17" s="43"/>
    </row>
    <row r="18" spans="1:17" ht="15">
      <c r="B18" s="5" t="s">
        <v>10</v>
      </c>
      <c r="F18" s="41">
        <f>IF(J18=0," ",'Input (7)'!G10)</f>
        <v>126.35</v>
      </c>
      <c r="G18" s="44" t="s">
        <v>31</v>
      </c>
      <c r="H18" s="38">
        <f>IF(J18=0," ",'C (7)'!$H$43)</f>
        <v>7.32</v>
      </c>
      <c r="I18" s="42" t="s">
        <v>29</v>
      </c>
      <c r="J18" s="1222">
        <f>IF('Input (7)'!G10=0,0,SUM('Input (7)'!G10-'C (7)'!H43))</f>
        <v>119.03</v>
      </c>
      <c r="K18" s="1222"/>
      <c r="L18" s="40" t="s">
        <v>28</v>
      </c>
      <c r="M18" s="41">
        <f>IF(J18=0,0,IF(J18&gt;99.99,LOOKUP(J18,'criteria (7)'!Q3:Q10,'criteria (7)'!R3:R10),12))</f>
        <v>12</v>
      </c>
      <c r="N18" s="42" t="s">
        <v>29</v>
      </c>
      <c r="O18" s="38">
        <f>ROUND(IF(J18=0,0,IF(J18&lt;99.99,IF(M18=0,8,(J18/M18)),IF(Q18&lt;LOOKUP(J18,'criteria (7)'!$Q$3:$Q$10,'criteria (7)'!$S$3:$S$10),LOOKUP(J18,'criteria (7)'!$Q$3:$Q$10,'criteria (7)'!$S$3:$S$10),Q18))),2)</f>
        <v>9.92</v>
      </c>
      <c r="P18" s="2" t="str">
        <f>IF(O18=0," ",IF(O18=Q18," ","Minimum"))</f>
        <v xml:space="preserve"> </v>
      </c>
      <c r="Q18" s="32">
        <f>ROUND(IF(M18=0,0,(J18/M18)),2)</f>
        <v>9.92</v>
      </c>
    </row>
    <row r="19" spans="1:17">
      <c r="B19" s="5"/>
      <c r="J19" s="39"/>
      <c r="K19" s="39"/>
      <c r="M19" s="36"/>
      <c r="N19" s="42"/>
      <c r="O19" s="36"/>
    </row>
    <row r="20" spans="1:17" ht="15.6">
      <c r="A20" s="48" t="s">
        <v>43</v>
      </c>
      <c r="J20" s="43"/>
      <c r="K20" s="43"/>
    </row>
    <row r="21" spans="1:17" ht="3.75" customHeight="1">
      <c r="J21" s="43"/>
      <c r="K21" s="43"/>
    </row>
    <row r="22" spans="1:17">
      <c r="B22" s="2" t="s">
        <v>44</v>
      </c>
      <c r="J22" s="1222" t="str">
        <f>IF('C (7)'!H55=0," ",'C (7)'!H55)</f>
        <v xml:space="preserve"> </v>
      </c>
      <c r="K22" s="1222"/>
    </row>
    <row r="23" spans="1:17" ht="6" customHeight="1">
      <c r="J23" s="43"/>
      <c r="K23" s="43"/>
    </row>
    <row r="24" spans="1:17">
      <c r="B24" s="2" t="s">
        <v>45</v>
      </c>
      <c r="J24" s="1222">
        <f>IF('C (7)'!H22=0," ",'C (7)'!H22)</f>
        <v>7.62</v>
      </c>
      <c r="K24" s="1222"/>
    </row>
    <row r="25" spans="1:17" ht="6" customHeight="1">
      <c r="J25" s="43"/>
      <c r="K25" s="43"/>
    </row>
    <row r="26" spans="1:17">
      <c r="B26" s="2" t="s">
        <v>46</v>
      </c>
      <c r="J26" s="1222">
        <f>IF('C (7)'!H43=0," ",'C (7)'!H43)</f>
        <v>7.32</v>
      </c>
      <c r="K26" s="1222"/>
    </row>
    <row r="27" spans="1:17" ht="6" customHeight="1">
      <c r="J27" s="43"/>
      <c r="K27" s="43"/>
    </row>
    <row r="28" spans="1:17" ht="6" customHeight="1">
      <c r="J28" s="39"/>
      <c r="K28" s="39"/>
    </row>
    <row r="29" spans="1:17" ht="13.5" customHeight="1" thickBot="1">
      <c r="B29" s="46" t="s">
        <v>47</v>
      </c>
      <c r="J29" s="1219">
        <f>SUM(J22:K27)</f>
        <v>14.940000000000001</v>
      </c>
      <c r="K29" s="1219"/>
      <c r="L29" s="40" t="s">
        <v>28</v>
      </c>
      <c r="M29" s="41">
        <f>IF(SUM('Input (7)'!C4:C10)=0,0,IF(J29&gt;=14,LOOKUP(J29,'criteria (7)'!$U$3:$U$10,'criteria (7)'!$V$3:$V$10),0))</f>
        <v>14.5</v>
      </c>
      <c r="N29" s="42" t="s">
        <v>29</v>
      </c>
      <c r="O29" s="38">
        <f>IF(J29=0,0,IF(Q29&lt;LOOKUP(J29,'criteria (7)'!$U$3:$U$10,'criteria (7)'!$W$3:$W$10),LOOKUP(J29,'criteria (7)'!$U$3:$U$10,'criteria (7)'!$W$3:$W$10),Q29))</f>
        <v>1.03</v>
      </c>
      <c r="P29" s="2" t="str">
        <f>IF(O29=0," ",IF(O29=Q29," ","Minimum"))</f>
        <v xml:space="preserve"> </v>
      </c>
      <c r="Q29" s="32">
        <f>ROUND(IF(SUM('Input (7)'!C4:C10)=0,0,IF(M29=0,0,(J29/M29))),2)</f>
        <v>1.03</v>
      </c>
    </row>
    <row r="30" spans="1:17" ht="12" customHeight="1" thickTop="1">
      <c r="B30" s="1226"/>
      <c r="C30" s="1226"/>
      <c r="D30" s="1226"/>
      <c r="E30" s="1226"/>
      <c r="F30" s="47"/>
      <c r="G30" s="47"/>
      <c r="H30" s="47"/>
      <c r="J30" s="12"/>
      <c r="N30" s="42"/>
      <c r="O30" s="39"/>
      <c r="P30" s="46"/>
    </row>
    <row r="31" spans="1:17" ht="19.5" customHeight="1">
      <c r="A31" s="48" t="s">
        <v>39</v>
      </c>
      <c r="O31" s="43"/>
    </row>
    <row r="32" spans="1:17" ht="15">
      <c r="B32" s="1227" t="str">
        <f>IF('Input (7)'!E14=0," ","Alternative Secondary High School")</f>
        <v xml:space="preserve"> </v>
      </c>
      <c r="C32" s="1227"/>
      <c r="D32" s="1227"/>
      <c r="E32" s="1227"/>
      <c r="F32" s="1227"/>
      <c r="J32" s="1222">
        <f>'Input (7)'!G14</f>
        <v>0</v>
      </c>
      <c r="K32" s="1222"/>
      <c r="L32" s="40" t="s">
        <v>28</v>
      </c>
      <c r="M32" s="41">
        <f>IF(J32=0,0,IF(Q32&lt;1,M18,12))</f>
        <v>0</v>
      </c>
      <c r="N32" s="42" t="s">
        <v>29</v>
      </c>
      <c r="O32" s="38">
        <f>ROUND(IF(J32=0,0,J32/M32),2)</f>
        <v>0</v>
      </c>
      <c r="P32" s="45"/>
      <c r="Q32" s="32">
        <f>ROUND(IF(J32=0,0,J32/12),2)</f>
        <v>0</v>
      </c>
    </row>
    <row r="33" spans="1:17" ht="11.25" customHeight="1">
      <c r="J33" s="43"/>
      <c r="K33" s="43"/>
      <c r="O33" s="43"/>
    </row>
    <row r="34" spans="1:17" ht="11.25" customHeight="1">
      <c r="B34" s="1227" t="str">
        <f>IF('Input (7)'!E15=0," ","Summer Alternative Secondary High School")</f>
        <v xml:space="preserve"> </v>
      </c>
      <c r="C34" s="1227"/>
      <c r="D34" s="1227"/>
      <c r="E34" s="1227"/>
      <c r="F34" s="1227"/>
      <c r="J34" s="1222">
        <f>'Input (7)'!E15</f>
        <v>0</v>
      </c>
      <c r="K34" s="1222"/>
      <c r="L34" s="40" t="s">
        <v>28</v>
      </c>
      <c r="M34" s="41">
        <f>IF(J34=0,0,40)</f>
        <v>0</v>
      </c>
      <c r="N34" s="42" t="s">
        <v>29</v>
      </c>
      <c r="O34" s="38">
        <f>ROUND(IF(J34=0,0,J34/M34),2)</f>
        <v>0</v>
      </c>
      <c r="P34" s="45"/>
      <c r="Q34" s="32">
        <f>ROUND(IF(J34=0,0,J34/12),2)</f>
        <v>0</v>
      </c>
    </row>
    <row r="35" spans="1:17" ht="13.5" customHeight="1">
      <c r="J35" s="36"/>
      <c r="K35" s="36"/>
      <c r="L35" s="40"/>
      <c r="M35" s="36"/>
      <c r="N35" s="42"/>
      <c r="O35" s="36"/>
      <c r="P35" s="46"/>
    </row>
    <row r="36" spans="1:17" ht="18.75" customHeight="1" thickBot="1">
      <c r="A36" s="45"/>
      <c r="B36" s="12" t="s">
        <v>40</v>
      </c>
      <c r="C36" s="46"/>
      <c r="D36" s="46"/>
      <c r="E36" s="46"/>
      <c r="F36" s="46"/>
      <c r="G36" s="46"/>
      <c r="H36" s="46"/>
      <c r="I36" s="46"/>
      <c r="J36" s="46"/>
      <c r="K36" s="46"/>
      <c r="M36" s="36"/>
      <c r="O36" s="52">
        <f>ROUND(IF(SUM(O7:O34)=0,0,SUM(O7:O34)),2)</f>
        <v>17.43</v>
      </c>
    </row>
    <row r="37" spans="1:17" ht="13.8" thickTop="1"/>
  </sheetData>
  <sheetProtection password="CDD6" sheet="1" objects="1" scenarios="1"/>
  <mergeCells count="17">
    <mergeCell ref="B30:E30"/>
    <mergeCell ref="B32:F32"/>
    <mergeCell ref="J32:K32"/>
    <mergeCell ref="B34:F34"/>
    <mergeCell ref="J34:K34"/>
    <mergeCell ref="J29:K29"/>
    <mergeCell ref="A1:O1"/>
    <mergeCell ref="A2:O2"/>
    <mergeCell ref="J5:K5"/>
    <mergeCell ref="J7:K7"/>
    <mergeCell ref="J11:K11"/>
    <mergeCell ref="J13:K13"/>
    <mergeCell ref="J16:K16"/>
    <mergeCell ref="J18:K18"/>
    <mergeCell ref="J22:K22"/>
    <mergeCell ref="J24:K24"/>
    <mergeCell ref="J26:K26"/>
  </mergeCells>
  <pageMargins left="0.5" right="0.5" top="0.5" bottom="0.5" header="0.25" footer="0.25"/>
  <pageSetup scale="76" orientation="portrait" r:id="rId1"/>
  <headerFooter alignWithMargins="0">
    <oddFooter>&amp;L&amp;F</oddFooter>
  </headerFooter>
  <colBreaks count="1" manualBreakCount="1">
    <brk id="16" max="1048575"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2"/>
  <dimension ref="A1:R37"/>
  <sheetViews>
    <sheetView showGridLines="0" zoomScale="90" zoomScaleNormal="100" workbookViewId="0">
      <selection activeCell="C4" sqref="C4"/>
    </sheetView>
  </sheetViews>
  <sheetFormatPr defaultRowHeight="13.2"/>
  <cols>
    <col min="1" max="1" width="4.21875" style="30" customWidth="1"/>
    <col min="2" max="2" width="2.5546875" style="2" customWidth="1"/>
    <col min="3" max="4" width="8.77734375" style="2"/>
    <col min="5" max="5" width="7.21875" style="2" customWidth="1"/>
    <col min="6" max="6" width="8.21875" style="2" customWidth="1"/>
    <col min="7" max="8" width="10.21875" style="2" customWidth="1"/>
    <col min="9" max="9" width="3.77734375" style="2" customWidth="1"/>
    <col min="10" max="10" width="8.77734375" style="2"/>
    <col min="11" max="11" width="6.21875" style="2" customWidth="1"/>
    <col min="12" max="12" width="5.5546875" style="2" customWidth="1"/>
    <col min="13" max="13" width="10.77734375" style="2" customWidth="1"/>
    <col min="14" max="14" width="8.21875" style="2" customWidth="1"/>
    <col min="15" max="15" width="12.21875" style="2" customWidth="1"/>
    <col min="16" max="16" width="10.21875" style="2" customWidth="1"/>
    <col min="17" max="17" width="9.21875" style="32" customWidth="1"/>
    <col min="18" max="256" width="8.77734375" style="2"/>
    <col min="257" max="257" width="4.21875" style="2" customWidth="1"/>
    <col min="258" max="258" width="2.5546875" style="2" customWidth="1"/>
    <col min="259" max="260" width="8.77734375" style="2"/>
    <col min="261" max="261" width="7.21875" style="2" customWidth="1"/>
    <col min="262" max="262" width="8.21875" style="2" customWidth="1"/>
    <col min="263" max="264" width="10.21875" style="2" customWidth="1"/>
    <col min="265" max="265" width="3.77734375" style="2" customWidth="1"/>
    <col min="266" max="266" width="8.77734375" style="2"/>
    <col min="267" max="267" width="6.21875" style="2" customWidth="1"/>
    <col min="268" max="268" width="5.5546875" style="2" customWidth="1"/>
    <col min="269" max="269" width="10.77734375" style="2" customWidth="1"/>
    <col min="270" max="270" width="8.21875" style="2" customWidth="1"/>
    <col min="271" max="271" width="12.21875" style="2" customWidth="1"/>
    <col min="272" max="272" width="10.21875" style="2" customWidth="1"/>
    <col min="273" max="273" width="9.21875" style="2" customWidth="1"/>
    <col min="274" max="512" width="8.77734375" style="2"/>
    <col min="513" max="513" width="4.21875" style="2" customWidth="1"/>
    <col min="514" max="514" width="2.5546875" style="2" customWidth="1"/>
    <col min="515" max="516" width="8.77734375" style="2"/>
    <col min="517" max="517" width="7.21875" style="2" customWidth="1"/>
    <col min="518" max="518" width="8.21875" style="2" customWidth="1"/>
    <col min="519" max="520" width="10.21875" style="2" customWidth="1"/>
    <col min="521" max="521" width="3.77734375" style="2" customWidth="1"/>
    <col min="522" max="522" width="8.77734375" style="2"/>
    <col min="523" max="523" width="6.21875" style="2" customWidth="1"/>
    <col min="524" max="524" width="5.5546875" style="2" customWidth="1"/>
    <col min="525" max="525" width="10.77734375" style="2" customWidth="1"/>
    <col min="526" max="526" width="8.21875" style="2" customWidth="1"/>
    <col min="527" max="527" width="12.21875" style="2" customWidth="1"/>
    <col min="528" max="528" width="10.21875" style="2" customWidth="1"/>
    <col min="529" max="529" width="9.21875" style="2" customWidth="1"/>
    <col min="530" max="768" width="8.77734375" style="2"/>
    <col min="769" max="769" width="4.21875" style="2" customWidth="1"/>
    <col min="770" max="770" width="2.5546875" style="2" customWidth="1"/>
    <col min="771" max="772" width="8.77734375" style="2"/>
    <col min="773" max="773" width="7.21875" style="2" customWidth="1"/>
    <col min="774" max="774" width="8.21875" style="2" customWidth="1"/>
    <col min="775" max="776" width="10.21875" style="2" customWidth="1"/>
    <col min="777" max="777" width="3.77734375" style="2" customWidth="1"/>
    <col min="778" max="778" width="8.77734375" style="2"/>
    <col min="779" max="779" width="6.21875" style="2" customWidth="1"/>
    <col min="780" max="780" width="5.5546875" style="2" customWidth="1"/>
    <col min="781" max="781" width="10.77734375" style="2" customWidth="1"/>
    <col min="782" max="782" width="8.21875" style="2" customWidth="1"/>
    <col min="783" max="783" width="12.21875" style="2" customWidth="1"/>
    <col min="784" max="784" width="10.21875" style="2" customWidth="1"/>
    <col min="785" max="785" width="9.21875" style="2" customWidth="1"/>
    <col min="786" max="1024" width="8.77734375" style="2"/>
    <col min="1025" max="1025" width="4.21875" style="2" customWidth="1"/>
    <col min="1026" max="1026" width="2.5546875" style="2" customWidth="1"/>
    <col min="1027" max="1028" width="8.77734375" style="2"/>
    <col min="1029" max="1029" width="7.21875" style="2" customWidth="1"/>
    <col min="1030" max="1030" width="8.21875" style="2" customWidth="1"/>
    <col min="1031" max="1032" width="10.21875" style="2" customWidth="1"/>
    <col min="1033" max="1033" width="3.77734375" style="2" customWidth="1"/>
    <col min="1034" max="1034" width="8.77734375" style="2"/>
    <col min="1035" max="1035" width="6.21875" style="2" customWidth="1"/>
    <col min="1036" max="1036" width="5.5546875" style="2" customWidth="1"/>
    <col min="1037" max="1037" width="10.77734375" style="2" customWidth="1"/>
    <col min="1038" max="1038" width="8.21875" style="2" customWidth="1"/>
    <col min="1039" max="1039" width="12.21875" style="2" customWidth="1"/>
    <col min="1040" max="1040" width="10.21875" style="2" customWidth="1"/>
    <col min="1041" max="1041" width="9.21875" style="2" customWidth="1"/>
    <col min="1042" max="1280" width="8.77734375" style="2"/>
    <col min="1281" max="1281" width="4.21875" style="2" customWidth="1"/>
    <col min="1282" max="1282" width="2.5546875" style="2" customWidth="1"/>
    <col min="1283" max="1284" width="8.77734375" style="2"/>
    <col min="1285" max="1285" width="7.21875" style="2" customWidth="1"/>
    <col min="1286" max="1286" width="8.21875" style="2" customWidth="1"/>
    <col min="1287" max="1288" width="10.21875" style="2" customWidth="1"/>
    <col min="1289" max="1289" width="3.77734375" style="2" customWidth="1"/>
    <col min="1290" max="1290" width="8.77734375" style="2"/>
    <col min="1291" max="1291" width="6.21875" style="2" customWidth="1"/>
    <col min="1292" max="1292" width="5.5546875" style="2" customWidth="1"/>
    <col min="1293" max="1293" width="10.77734375" style="2" customWidth="1"/>
    <col min="1294" max="1294" width="8.21875" style="2" customWidth="1"/>
    <col min="1295" max="1295" width="12.21875" style="2" customWidth="1"/>
    <col min="1296" max="1296" width="10.21875" style="2" customWidth="1"/>
    <col min="1297" max="1297" width="9.21875" style="2" customWidth="1"/>
    <col min="1298" max="1536" width="8.77734375" style="2"/>
    <col min="1537" max="1537" width="4.21875" style="2" customWidth="1"/>
    <col min="1538" max="1538" width="2.5546875" style="2" customWidth="1"/>
    <col min="1539" max="1540" width="8.77734375" style="2"/>
    <col min="1541" max="1541" width="7.21875" style="2" customWidth="1"/>
    <col min="1542" max="1542" width="8.21875" style="2" customWidth="1"/>
    <col min="1543" max="1544" width="10.21875" style="2" customWidth="1"/>
    <col min="1545" max="1545" width="3.77734375" style="2" customWidth="1"/>
    <col min="1546" max="1546" width="8.77734375" style="2"/>
    <col min="1547" max="1547" width="6.21875" style="2" customWidth="1"/>
    <col min="1548" max="1548" width="5.5546875" style="2" customWidth="1"/>
    <col min="1549" max="1549" width="10.77734375" style="2" customWidth="1"/>
    <col min="1550" max="1550" width="8.21875" style="2" customWidth="1"/>
    <col min="1551" max="1551" width="12.21875" style="2" customWidth="1"/>
    <col min="1552" max="1552" width="10.21875" style="2" customWidth="1"/>
    <col min="1553" max="1553" width="9.21875" style="2" customWidth="1"/>
    <col min="1554" max="1792" width="8.77734375" style="2"/>
    <col min="1793" max="1793" width="4.21875" style="2" customWidth="1"/>
    <col min="1794" max="1794" width="2.5546875" style="2" customWidth="1"/>
    <col min="1795" max="1796" width="8.77734375" style="2"/>
    <col min="1797" max="1797" width="7.21875" style="2" customWidth="1"/>
    <col min="1798" max="1798" width="8.21875" style="2" customWidth="1"/>
    <col min="1799" max="1800" width="10.21875" style="2" customWidth="1"/>
    <col min="1801" max="1801" width="3.77734375" style="2" customWidth="1"/>
    <col min="1802" max="1802" width="8.77734375" style="2"/>
    <col min="1803" max="1803" width="6.21875" style="2" customWidth="1"/>
    <col min="1804" max="1804" width="5.5546875" style="2" customWidth="1"/>
    <col min="1805" max="1805" width="10.77734375" style="2" customWidth="1"/>
    <col min="1806" max="1806" width="8.21875" style="2" customWidth="1"/>
    <col min="1807" max="1807" width="12.21875" style="2" customWidth="1"/>
    <col min="1808" max="1808" width="10.21875" style="2" customWidth="1"/>
    <col min="1809" max="1809" width="9.21875" style="2" customWidth="1"/>
    <col min="1810" max="2048" width="8.77734375" style="2"/>
    <col min="2049" max="2049" width="4.21875" style="2" customWidth="1"/>
    <col min="2050" max="2050" width="2.5546875" style="2" customWidth="1"/>
    <col min="2051" max="2052" width="8.77734375" style="2"/>
    <col min="2053" max="2053" width="7.21875" style="2" customWidth="1"/>
    <col min="2054" max="2054" width="8.21875" style="2" customWidth="1"/>
    <col min="2055" max="2056" width="10.21875" style="2" customWidth="1"/>
    <col min="2057" max="2057" width="3.77734375" style="2" customWidth="1"/>
    <col min="2058" max="2058" width="8.77734375" style="2"/>
    <col min="2059" max="2059" width="6.21875" style="2" customWidth="1"/>
    <col min="2060" max="2060" width="5.5546875" style="2" customWidth="1"/>
    <col min="2061" max="2061" width="10.77734375" style="2" customWidth="1"/>
    <col min="2062" max="2062" width="8.21875" style="2" customWidth="1"/>
    <col min="2063" max="2063" width="12.21875" style="2" customWidth="1"/>
    <col min="2064" max="2064" width="10.21875" style="2" customWidth="1"/>
    <col min="2065" max="2065" width="9.21875" style="2" customWidth="1"/>
    <col min="2066" max="2304" width="8.77734375" style="2"/>
    <col min="2305" max="2305" width="4.21875" style="2" customWidth="1"/>
    <col min="2306" max="2306" width="2.5546875" style="2" customWidth="1"/>
    <col min="2307" max="2308" width="8.77734375" style="2"/>
    <col min="2309" max="2309" width="7.21875" style="2" customWidth="1"/>
    <col min="2310" max="2310" width="8.21875" style="2" customWidth="1"/>
    <col min="2311" max="2312" width="10.21875" style="2" customWidth="1"/>
    <col min="2313" max="2313" width="3.77734375" style="2" customWidth="1"/>
    <col min="2314" max="2314" width="8.77734375" style="2"/>
    <col min="2315" max="2315" width="6.21875" style="2" customWidth="1"/>
    <col min="2316" max="2316" width="5.5546875" style="2" customWidth="1"/>
    <col min="2317" max="2317" width="10.77734375" style="2" customWidth="1"/>
    <col min="2318" max="2318" width="8.21875" style="2" customWidth="1"/>
    <col min="2319" max="2319" width="12.21875" style="2" customWidth="1"/>
    <col min="2320" max="2320" width="10.21875" style="2" customWidth="1"/>
    <col min="2321" max="2321" width="9.21875" style="2" customWidth="1"/>
    <col min="2322" max="2560" width="8.77734375" style="2"/>
    <col min="2561" max="2561" width="4.21875" style="2" customWidth="1"/>
    <col min="2562" max="2562" width="2.5546875" style="2" customWidth="1"/>
    <col min="2563" max="2564" width="8.77734375" style="2"/>
    <col min="2565" max="2565" width="7.21875" style="2" customWidth="1"/>
    <col min="2566" max="2566" width="8.21875" style="2" customWidth="1"/>
    <col min="2567" max="2568" width="10.21875" style="2" customWidth="1"/>
    <col min="2569" max="2569" width="3.77734375" style="2" customWidth="1"/>
    <col min="2570" max="2570" width="8.77734375" style="2"/>
    <col min="2571" max="2571" width="6.21875" style="2" customWidth="1"/>
    <col min="2572" max="2572" width="5.5546875" style="2" customWidth="1"/>
    <col min="2573" max="2573" width="10.77734375" style="2" customWidth="1"/>
    <col min="2574" max="2574" width="8.21875" style="2" customWidth="1"/>
    <col min="2575" max="2575" width="12.21875" style="2" customWidth="1"/>
    <col min="2576" max="2576" width="10.21875" style="2" customWidth="1"/>
    <col min="2577" max="2577" width="9.21875" style="2" customWidth="1"/>
    <col min="2578" max="2816" width="8.77734375" style="2"/>
    <col min="2817" max="2817" width="4.21875" style="2" customWidth="1"/>
    <col min="2818" max="2818" width="2.5546875" style="2" customWidth="1"/>
    <col min="2819" max="2820" width="8.77734375" style="2"/>
    <col min="2821" max="2821" width="7.21875" style="2" customWidth="1"/>
    <col min="2822" max="2822" width="8.21875" style="2" customWidth="1"/>
    <col min="2823" max="2824" width="10.21875" style="2" customWidth="1"/>
    <col min="2825" max="2825" width="3.77734375" style="2" customWidth="1"/>
    <col min="2826" max="2826" width="8.77734375" style="2"/>
    <col min="2827" max="2827" width="6.21875" style="2" customWidth="1"/>
    <col min="2828" max="2828" width="5.5546875" style="2" customWidth="1"/>
    <col min="2829" max="2829" width="10.77734375" style="2" customWidth="1"/>
    <col min="2830" max="2830" width="8.21875" style="2" customWidth="1"/>
    <col min="2831" max="2831" width="12.21875" style="2" customWidth="1"/>
    <col min="2832" max="2832" width="10.21875" style="2" customWidth="1"/>
    <col min="2833" max="2833" width="9.21875" style="2" customWidth="1"/>
    <col min="2834" max="3072" width="8.77734375" style="2"/>
    <col min="3073" max="3073" width="4.21875" style="2" customWidth="1"/>
    <col min="3074" max="3074" width="2.5546875" style="2" customWidth="1"/>
    <col min="3075" max="3076" width="8.77734375" style="2"/>
    <col min="3077" max="3077" width="7.21875" style="2" customWidth="1"/>
    <col min="3078" max="3078" width="8.21875" style="2" customWidth="1"/>
    <col min="3079" max="3080" width="10.21875" style="2" customWidth="1"/>
    <col min="3081" max="3081" width="3.77734375" style="2" customWidth="1"/>
    <col min="3082" max="3082" width="8.77734375" style="2"/>
    <col min="3083" max="3083" width="6.21875" style="2" customWidth="1"/>
    <col min="3084" max="3084" width="5.5546875" style="2" customWidth="1"/>
    <col min="3085" max="3085" width="10.77734375" style="2" customWidth="1"/>
    <col min="3086" max="3086" width="8.21875" style="2" customWidth="1"/>
    <col min="3087" max="3087" width="12.21875" style="2" customWidth="1"/>
    <col min="3088" max="3088" width="10.21875" style="2" customWidth="1"/>
    <col min="3089" max="3089" width="9.21875" style="2" customWidth="1"/>
    <col min="3090" max="3328" width="8.77734375" style="2"/>
    <col min="3329" max="3329" width="4.21875" style="2" customWidth="1"/>
    <col min="3330" max="3330" width="2.5546875" style="2" customWidth="1"/>
    <col min="3331" max="3332" width="8.77734375" style="2"/>
    <col min="3333" max="3333" width="7.21875" style="2" customWidth="1"/>
    <col min="3334" max="3334" width="8.21875" style="2" customWidth="1"/>
    <col min="3335" max="3336" width="10.21875" style="2" customWidth="1"/>
    <col min="3337" max="3337" width="3.77734375" style="2" customWidth="1"/>
    <col min="3338" max="3338" width="8.77734375" style="2"/>
    <col min="3339" max="3339" width="6.21875" style="2" customWidth="1"/>
    <col min="3340" max="3340" width="5.5546875" style="2" customWidth="1"/>
    <col min="3341" max="3341" width="10.77734375" style="2" customWidth="1"/>
    <col min="3342" max="3342" width="8.21875" style="2" customWidth="1"/>
    <col min="3343" max="3343" width="12.21875" style="2" customWidth="1"/>
    <col min="3344" max="3344" width="10.21875" style="2" customWidth="1"/>
    <col min="3345" max="3345" width="9.21875" style="2" customWidth="1"/>
    <col min="3346" max="3584" width="8.77734375" style="2"/>
    <col min="3585" max="3585" width="4.21875" style="2" customWidth="1"/>
    <col min="3586" max="3586" width="2.5546875" style="2" customWidth="1"/>
    <col min="3587" max="3588" width="8.77734375" style="2"/>
    <col min="3589" max="3589" width="7.21875" style="2" customWidth="1"/>
    <col min="3590" max="3590" width="8.21875" style="2" customWidth="1"/>
    <col min="3591" max="3592" width="10.21875" style="2" customWidth="1"/>
    <col min="3593" max="3593" width="3.77734375" style="2" customWidth="1"/>
    <col min="3594" max="3594" width="8.77734375" style="2"/>
    <col min="3595" max="3595" width="6.21875" style="2" customWidth="1"/>
    <col min="3596" max="3596" width="5.5546875" style="2" customWidth="1"/>
    <col min="3597" max="3597" width="10.77734375" style="2" customWidth="1"/>
    <col min="3598" max="3598" width="8.21875" style="2" customWidth="1"/>
    <col min="3599" max="3599" width="12.21875" style="2" customWidth="1"/>
    <col min="3600" max="3600" width="10.21875" style="2" customWidth="1"/>
    <col min="3601" max="3601" width="9.21875" style="2" customWidth="1"/>
    <col min="3602" max="3840" width="8.77734375" style="2"/>
    <col min="3841" max="3841" width="4.21875" style="2" customWidth="1"/>
    <col min="3842" max="3842" width="2.5546875" style="2" customWidth="1"/>
    <col min="3843" max="3844" width="8.77734375" style="2"/>
    <col min="3845" max="3845" width="7.21875" style="2" customWidth="1"/>
    <col min="3846" max="3846" width="8.21875" style="2" customWidth="1"/>
    <col min="3847" max="3848" width="10.21875" style="2" customWidth="1"/>
    <col min="3849" max="3849" width="3.77734375" style="2" customWidth="1"/>
    <col min="3850" max="3850" width="8.77734375" style="2"/>
    <col min="3851" max="3851" width="6.21875" style="2" customWidth="1"/>
    <col min="3852" max="3852" width="5.5546875" style="2" customWidth="1"/>
    <col min="3853" max="3853" width="10.77734375" style="2" customWidth="1"/>
    <col min="3854" max="3854" width="8.21875" style="2" customWidth="1"/>
    <col min="3855" max="3855" width="12.21875" style="2" customWidth="1"/>
    <col min="3856" max="3856" width="10.21875" style="2" customWidth="1"/>
    <col min="3857" max="3857" width="9.21875" style="2" customWidth="1"/>
    <col min="3858" max="4096" width="8.77734375" style="2"/>
    <col min="4097" max="4097" width="4.21875" style="2" customWidth="1"/>
    <col min="4098" max="4098" width="2.5546875" style="2" customWidth="1"/>
    <col min="4099" max="4100" width="8.77734375" style="2"/>
    <col min="4101" max="4101" width="7.21875" style="2" customWidth="1"/>
    <col min="4102" max="4102" width="8.21875" style="2" customWidth="1"/>
    <col min="4103" max="4104" width="10.21875" style="2" customWidth="1"/>
    <col min="4105" max="4105" width="3.77734375" style="2" customWidth="1"/>
    <col min="4106" max="4106" width="8.77734375" style="2"/>
    <col min="4107" max="4107" width="6.21875" style="2" customWidth="1"/>
    <col min="4108" max="4108" width="5.5546875" style="2" customWidth="1"/>
    <col min="4109" max="4109" width="10.77734375" style="2" customWidth="1"/>
    <col min="4110" max="4110" width="8.21875" style="2" customWidth="1"/>
    <col min="4111" max="4111" width="12.21875" style="2" customWidth="1"/>
    <col min="4112" max="4112" width="10.21875" style="2" customWidth="1"/>
    <col min="4113" max="4113" width="9.21875" style="2" customWidth="1"/>
    <col min="4114" max="4352" width="8.77734375" style="2"/>
    <col min="4353" max="4353" width="4.21875" style="2" customWidth="1"/>
    <col min="4354" max="4354" width="2.5546875" style="2" customWidth="1"/>
    <col min="4355" max="4356" width="8.77734375" style="2"/>
    <col min="4357" max="4357" width="7.21875" style="2" customWidth="1"/>
    <col min="4358" max="4358" width="8.21875" style="2" customWidth="1"/>
    <col min="4359" max="4360" width="10.21875" style="2" customWidth="1"/>
    <col min="4361" max="4361" width="3.77734375" style="2" customWidth="1"/>
    <col min="4362" max="4362" width="8.77734375" style="2"/>
    <col min="4363" max="4363" width="6.21875" style="2" customWidth="1"/>
    <col min="4364" max="4364" width="5.5546875" style="2" customWidth="1"/>
    <col min="4365" max="4365" width="10.77734375" style="2" customWidth="1"/>
    <col min="4366" max="4366" width="8.21875" style="2" customWidth="1"/>
    <col min="4367" max="4367" width="12.21875" style="2" customWidth="1"/>
    <col min="4368" max="4368" width="10.21875" style="2" customWidth="1"/>
    <col min="4369" max="4369" width="9.21875" style="2" customWidth="1"/>
    <col min="4370" max="4608" width="8.77734375" style="2"/>
    <col min="4609" max="4609" width="4.21875" style="2" customWidth="1"/>
    <col min="4610" max="4610" width="2.5546875" style="2" customWidth="1"/>
    <col min="4611" max="4612" width="8.77734375" style="2"/>
    <col min="4613" max="4613" width="7.21875" style="2" customWidth="1"/>
    <col min="4614" max="4614" width="8.21875" style="2" customWidth="1"/>
    <col min="4615" max="4616" width="10.21875" style="2" customWidth="1"/>
    <col min="4617" max="4617" width="3.77734375" style="2" customWidth="1"/>
    <col min="4618" max="4618" width="8.77734375" style="2"/>
    <col min="4619" max="4619" width="6.21875" style="2" customWidth="1"/>
    <col min="4620" max="4620" width="5.5546875" style="2" customWidth="1"/>
    <col min="4621" max="4621" width="10.77734375" style="2" customWidth="1"/>
    <col min="4622" max="4622" width="8.21875" style="2" customWidth="1"/>
    <col min="4623" max="4623" width="12.21875" style="2" customWidth="1"/>
    <col min="4624" max="4624" width="10.21875" style="2" customWidth="1"/>
    <col min="4625" max="4625" width="9.21875" style="2" customWidth="1"/>
    <col min="4626" max="4864" width="8.77734375" style="2"/>
    <col min="4865" max="4865" width="4.21875" style="2" customWidth="1"/>
    <col min="4866" max="4866" width="2.5546875" style="2" customWidth="1"/>
    <col min="4867" max="4868" width="8.77734375" style="2"/>
    <col min="4869" max="4869" width="7.21875" style="2" customWidth="1"/>
    <col min="4870" max="4870" width="8.21875" style="2" customWidth="1"/>
    <col min="4871" max="4872" width="10.21875" style="2" customWidth="1"/>
    <col min="4873" max="4873" width="3.77734375" style="2" customWidth="1"/>
    <col min="4874" max="4874" width="8.77734375" style="2"/>
    <col min="4875" max="4875" width="6.21875" style="2" customWidth="1"/>
    <col min="4876" max="4876" width="5.5546875" style="2" customWidth="1"/>
    <col min="4877" max="4877" width="10.77734375" style="2" customWidth="1"/>
    <col min="4878" max="4878" width="8.21875" style="2" customWidth="1"/>
    <col min="4879" max="4879" width="12.21875" style="2" customWidth="1"/>
    <col min="4880" max="4880" width="10.21875" style="2" customWidth="1"/>
    <col min="4881" max="4881" width="9.21875" style="2" customWidth="1"/>
    <col min="4882" max="5120" width="8.77734375" style="2"/>
    <col min="5121" max="5121" width="4.21875" style="2" customWidth="1"/>
    <col min="5122" max="5122" width="2.5546875" style="2" customWidth="1"/>
    <col min="5123" max="5124" width="8.77734375" style="2"/>
    <col min="5125" max="5125" width="7.21875" style="2" customWidth="1"/>
    <col min="5126" max="5126" width="8.21875" style="2" customWidth="1"/>
    <col min="5127" max="5128" width="10.21875" style="2" customWidth="1"/>
    <col min="5129" max="5129" width="3.77734375" style="2" customWidth="1"/>
    <col min="5130" max="5130" width="8.77734375" style="2"/>
    <col min="5131" max="5131" width="6.21875" style="2" customWidth="1"/>
    <col min="5132" max="5132" width="5.5546875" style="2" customWidth="1"/>
    <col min="5133" max="5133" width="10.77734375" style="2" customWidth="1"/>
    <col min="5134" max="5134" width="8.21875" style="2" customWidth="1"/>
    <col min="5135" max="5135" width="12.21875" style="2" customWidth="1"/>
    <col min="5136" max="5136" width="10.21875" style="2" customWidth="1"/>
    <col min="5137" max="5137" width="9.21875" style="2" customWidth="1"/>
    <col min="5138" max="5376" width="8.77734375" style="2"/>
    <col min="5377" max="5377" width="4.21875" style="2" customWidth="1"/>
    <col min="5378" max="5378" width="2.5546875" style="2" customWidth="1"/>
    <col min="5379" max="5380" width="8.77734375" style="2"/>
    <col min="5381" max="5381" width="7.21875" style="2" customWidth="1"/>
    <col min="5382" max="5382" width="8.21875" style="2" customWidth="1"/>
    <col min="5383" max="5384" width="10.21875" style="2" customWidth="1"/>
    <col min="5385" max="5385" width="3.77734375" style="2" customWidth="1"/>
    <col min="5386" max="5386" width="8.77734375" style="2"/>
    <col min="5387" max="5387" width="6.21875" style="2" customWidth="1"/>
    <col min="5388" max="5388" width="5.5546875" style="2" customWidth="1"/>
    <col min="5389" max="5389" width="10.77734375" style="2" customWidth="1"/>
    <col min="5390" max="5390" width="8.21875" style="2" customWidth="1"/>
    <col min="5391" max="5391" width="12.21875" style="2" customWidth="1"/>
    <col min="5392" max="5392" width="10.21875" style="2" customWidth="1"/>
    <col min="5393" max="5393" width="9.21875" style="2" customWidth="1"/>
    <col min="5394" max="5632" width="8.77734375" style="2"/>
    <col min="5633" max="5633" width="4.21875" style="2" customWidth="1"/>
    <col min="5634" max="5634" width="2.5546875" style="2" customWidth="1"/>
    <col min="5635" max="5636" width="8.77734375" style="2"/>
    <col min="5637" max="5637" width="7.21875" style="2" customWidth="1"/>
    <col min="5638" max="5638" width="8.21875" style="2" customWidth="1"/>
    <col min="5639" max="5640" width="10.21875" style="2" customWidth="1"/>
    <col min="5641" max="5641" width="3.77734375" style="2" customWidth="1"/>
    <col min="5642" max="5642" width="8.77734375" style="2"/>
    <col min="5643" max="5643" width="6.21875" style="2" customWidth="1"/>
    <col min="5644" max="5644" width="5.5546875" style="2" customWidth="1"/>
    <col min="5645" max="5645" width="10.77734375" style="2" customWidth="1"/>
    <col min="5646" max="5646" width="8.21875" style="2" customWidth="1"/>
    <col min="5647" max="5647" width="12.21875" style="2" customWidth="1"/>
    <col min="5648" max="5648" width="10.21875" style="2" customWidth="1"/>
    <col min="5649" max="5649" width="9.21875" style="2" customWidth="1"/>
    <col min="5650" max="5888" width="8.77734375" style="2"/>
    <col min="5889" max="5889" width="4.21875" style="2" customWidth="1"/>
    <col min="5890" max="5890" width="2.5546875" style="2" customWidth="1"/>
    <col min="5891" max="5892" width="8.77734375" style="2"/>
    <col min="5893" max="5893" width="7.21875" style="2" customWidth="1"/>
    <col min="5894" max="5894" width="8.21875" style="2" customWidth="1"/>
    <col min="5895" max="5896" width="10.21875" style="2" customWidth="1"/>
    <col min="5897" max="5897" width="3.77734375" style="2" customWidth="1"/>
    <col min="5898" max="5898" width="8.77734375" style="2"/>
    <col min="5899" max="5899" width="6.21875" style="2" customWidth="1"/>
    <col min="5900" max="5900" width="5.5546875" style="2" customWidth="1"/>
    <col min="5901" max="5901" width="10.77734375" style="2" customWidth="1"/>
    <col min="5902" max="5902" width="8.21875" style="2" customWidth="1"/>
    <col min="5903" max="5903" width="12.21875" style="2" customWidth="1"/>
    <col min="5904" max="5904" width="10.21875" style="2" customWidth="1"/>
    <col min="5905" max="5905" width="9.21875" style="2" customWidth="1"/>
    <col min="5906" max="6144" width="8.77734375" style="2"/>
    <col min="6145" max="6145" width="4.21875" style="2" customWidth="1"/>
    <col min="6146" max="6146" width="2.5546875" style="2" customWidth="1"/>
    <col min="6147" max="6148" width="8.77734375" style="2"/>
    <col min="6149" max="6149" width="7.21875" style="2" customWidth="1"/>
    <col min="6150" max="6150" width="8.21875" style="2" customWidth="1"/>
    <col min="6151" max="6152" width="10.21875" style="2" customWidth="1"/>
    <col min="6153" max="6153" width="3.77734375" style="2" customWidth="1"/>
    <col min="6154" max="6154" width="8.77734375" style="2"/>
    <col min="6155" max="6155" width="6.21875" style="2" customWidth="1"/>
    <col min="6156" max="6156" width="5.5546875" style="2" customWidth="1"/>
    <col min="6157" max="6157" width="10.77734375" style="2" customWidth="1"/>
    <col min="6158" max="6158" width="8.21875" style="2" customWidth="1"/>
    <col min="6159" max="6159" width="12.21875" style="2" customWidth="1"/>
    <col min="6160" max="6160" width="10.21875" style="2" customWidth="1"/>
    <col min="6161" max="6161" width="9.21875" style="2" customWidth="1"/>
    <col min="6162" max="6400" width="8.77734375" style="2"/>
    <col min="6401" max="6401" width="4.21875" style="2" customWidth="1"/>
    <col min="6402" max="6402" width="2.5546875" style="2" customWidth="1"/>
    <col min="6403" max="6404" width="8.77734375" style="2"/>
    <col min="6405" max="6405" width="7.21875" style="2" customWidth="1"/>
    <col min="6406" max="6406" width="8.21875" style="2" customWidth="1"/>
    <col min="6407" max="6408" width="10.21875" style="2" customWidth="1"/>
    <col min="6409" max="6409" width="3.77734375" style="2" customWidth="1"/>
    <col min="6410" max="6410" width="8.77734375" style="2"/>
    <col min="6411" max="6411" width="6.21875" style="2" customWidth="1"/>
    <col min="6412" max="6412" width="5.5546875" style="2" customWidth="1"/>
    <col min="6413" max="6413" width="10.77734375" style="2" customWidth="1"/>
    <col min="6414" max="6414" width="8.21875" style="2" customWidth="1"/>
    <col min="6415" max="6415" width="12.21875" style="2" customWidth="1"/>
    <col min="6416" max="6416" width="10.21875" style="2" customWidth="1"/>
    <col min="6417" max="6417" width="9.21875" style="2" customWidth="1"/>
    <col min="6418" max="6656" width="8.77734375" style="2"/>
    <col min="6657" max="6657" width="4.21875" style="2" customWidth="1"/>
    <col min="6658" max="6658" width="2.5546875" style="2" customWidth="1"/>
    <col min="6659" max="6660" width="8.77734375" style="2"/>
    <col min="6661" max="6661" width="7.21875" style="2" customWidth="1"/>
    <col min="6662" max="6662" width="8.21875" style="2" customWidth="1"/>
    <col min="6663" max="6664" width="10.21875" style="2" customWidth="1"/>
    <col min="6665" max="6665" width="3.77734375" style="2" customWidth="1"/>
    <col min="6666" max="6666" width="8.77734375" style="2"/>
    <col min="6667" max="6667" width="6.21875" style="2" customWidth="1"/>
    <col min="6668" max="6668" width="5.5546875" style="2" customWidth="1"/>
    <col min="6669" max="6669" width="10.77734375" style="2" customWidth="1"/>
    <col min="6670" max="6670" width="8.21875" style="2" customWidth="1"/>
    <col min="6671" max="6671" width="12.21875" style="2" customWidth="1"/>
    <col min="6672" max="6672" width="10.21875" style="2" customWidth="1"/>
    <col min="6673" max="6673" width="9.21875" style="2" customWidth="1"/>
    <col min="6674" max="6912" width="8.77734375" style="2"/>
    <col min="6913" max="6913" width="4.21875" style="2" customWidth="1"/>
    <col min="6914" max="6914" width="2.5546875" style="2" customWidth="1"/>
    <col min="6915" max="6916" width="8.77734375" style="2"/>
    <col min="6917" max="6917" width="7.21875" style="2" customWidth="1"/>
    <col min="6918" max="6918" width="8.21875" style="2" customWidth="1"/>
    <col min="6919" max="6920" width="10.21875" style="2" customWidth="1"/>
    <col min="6921" max="6921" width="3.77734375" style="2" customWidth="1"/>
    <col min="6922" max="6922" width="8.77734375" style="2"/>
    <col min="6923" max="6923" width="6.21875" style="2" customWidth="1"/>
    <col min="6924" max="6924" width="5.5546875" style="2" customWidth="1"/>
    <col min="6925" max="6925" width="10.77734375" style="2" customWidth="1"/>
    <col min="6926" max="6926" width="8.21875" style="2" customWidth="1"/>
    <col min="6927" max="6927" width="12.21875" style="2" customWidth="1"/>
    <col min="6928" max="6928" width="10.21875" style="2" customWidth="1"/>
    <col min="6929" max="6929" width="9.21875" style="2" customWidth="1"/>
    <col min="6930" max="7168" width="8.77734375" style="2"/>
    <col min="7169" max="7169" width="4.21875" style="2" customWidth="1"/>
    <col min="7170" max="7170" width="2.5546875" style="2" customWidth="1"/>
    <col min="7171" max="7172" width="8.77734375" style="2"/>
    <col min="7173" max="7173" width="7.21875" style="2" customWidth="1"/>
    <col min="7174" max="7174" width="8.21875" style="2" customWidth="1"/>
    <col min="7175" max="7176" width="10.21875" style="2" customWidth="1"/>
    <col min="7177" max="7177" width="3.77734375" style="2" customWidth="1"/>
    <col min="7178" max="7178" width="8.77734375" style="2"/>
    <col min="7179" max="7179" width="6.21875" style="2" customWidth="1"/>
    <col min="7180" max="7180" width="5.5546875" style="2" customWidth="1"/>
    <col min="7181" max="7181" width="10.77734375" style="2" customWidth="1"/>
    <col min="7182" max="7182" width="8.21875" style="2" customWidth="1"/>
    <col min="7183" max="7183" width="12.21875" style="2" customWidth="1"/>
    <col min="7184" max="7184" width="10.21875" style="2" customWidth="1"/>
    <col min="7185" max="7185" width="9.21875" style="2" customWidth="1"/>
    <col min="7186" max="7424" width="8.77734375" style="2"/>
    <col min="7425" max="7425" width="4.21875" style="2" customWidth="1"/>
    <col min="7426" max="7426" width="2.5546875" style="2" customWidth="1"/>
    <col min="7427" max="7428" width="8.77734375" style="2"/>
    <col min="7429" max="7429" width="7.21875" style="2" customWidth="1"/>
    <col min="7430" max="7430" width="8.21875" style="2" customWidth="1"/>
    <col min="7431" max="7432" width="10.21875" style="2" customWidth="1"/>
    <col min="7433" max="7433" width="3.77734375" style="2" customWidth="1"/>
    <col min="7434" max="7434" width="8.77734375" style="2"/>
    <col min="7435" max="7435" width="6.21875" style="2" customWidth="1"/>
    <col min="7436" max="7436" width="5.5546875" style="2" customWidth="1"/>
    <col min="7437" max="7437" width="10.77734375" style="2" customWidth="1"/>
    <col min="7438" max="7438" width="8.21875" style="2" customWidth="1"/>
    <col min="7439" max="7439" width="12.21875" style="2" customWidth="1"/>
    <col min="7440" max="7440" width="10.21875" style="2" customWidth="1"/>
    <col min="7441" max="7441" width="9.21875" style="2" customWidth="1"/>
    <col min="7442" max="7680" width="8.77734375" style="2"/>
    <col min="7681" max="7681" width="4.21875" style="2" customWidth="1"/>
    <col min="7682" max="7682" width="2.5546875" style="2" customWidth="1"/>
    <col min="7683" max="7684" width="8.77734375" style="2"/>
    <col min="7685" max="7685" width="7.21875" style="2" customWidth="1"/>
    <col min="7686" max="7686" width="8.21875" style="2" customWidth="1"/>
    <col min="7687" max="7688" width="10.21875" style="2" customWidth="1"/>
    <col min="7689" max="7689" width="3.77734375" style="2" customWidth="1"/>
    <col min="7690" max="7690" width="8.77734375" style="2"/>
    <col min="7691" max="7691" width="6.21875" style="2" customWidth="1"/>
    <col min="7692" max="7692" width="5.5546875" style="2" customWidth="1"/>
    <col min="7693" max="7693" width="10.77734375" style="2" customWidth="1"/>
    <col min="7694" max="7694" width="8.21875" style="2" customWidth="1"/>
    <col min="7695" max="7695" width="12.21875" style="2" customWidth="1"/>
    <col min="7696" max="7696" width="10.21875" style="2" customWidth="1"/>
    <col min="7697" max="7697" width="9.21875" style="2" customWidth="1"/>
    <col min="7698" max="7936" width="8.77734375" style="2"/>
    <col min="7937" max="7937" width="4.21875" style="2" customWidth="1"/>
    <col min="7938" max="7938" width="2.5546875" style="2" customWidth="1"/>
    <col min="7939" max="7940" width="8.77734375" style="2"/>
    <col min="7941" max="7941" width="7.21875" style="2" customWidth="1"/>
    <col min="7942" max="7942" width="8.21875" style="2" customWidth="1"/>
    <col min="7943" max="7944" width="10.21875" style="2" customWidth="1"/>
    <col min="7945" max="7945" width="3.77734375" style="2" customWidth="1"/>
    <col min="7946" max="7946" width="8.77734375" style="2"/>
    <col min="7947" max="7947" width="6.21875" style="2" customWidth="1"/>
    <col min="7948" max="7948" width="5.5546875" style="2" customWidth="1"/>
    <col min="7949" max="7949" width="10.77734375" style="2" customWidth="1"/>
    <col min="7950" max="7950" width="8.21875" style="2" customWidth="1"/>
    <col min="7951" max="7951" width="12.21875" style="2" customWidth="1"/>
    <col min="7952" max="7952" width="10.21875" style="2" customWidth="1"/>
    <col min="7953" max="7953" width="9.21875" style="2" customWidth="1"/>
    <col min="7954" max="8192" width="8.77734375" style="2"/>
    <col min="8193" max="8193" width="4.21875" style="2" customWidth="1"/>
    <col min="8194" max="8194" width="2.5546875" style="2" customWidth="1"/>
    <col min="8195" max="8196" width="8.77734375" style="2"/>
    <col min="8197" max="8197" width="7.21875" style="2" customWidth="1"/>
    <col min="8198" max="8198" width="8.21875" style="2" customWidth="1"/>
    <col min="8199" max="8200" width="10.21875" style="2" customWidth="1"/>
    <col min="8201" max="8201" width="3.77734375" style="2" customWidth="1"/>
    <col min="8202" max="8202" width="8.77734375" style="2"/>
    <col min="8203" max="8203" width="6.21875" style="2" customWidth="1"/>
    <col min="8204" max="8204" width="5.5546875" style="2" customWidth="1"/>
    <col min="8205" max="8205" width="10.77734375" style="2" customWidth="1"/>
    <col min="8206" max="8206" width="8.21875" style="2" customWidth="1"/>
    <col min="8207" max="8207" width="12.21875" style="2" customWidth="1"/>
    <col min="8208" max="8208" width="10.21875" style="2" customWidth="1"/>
    <col min="8209" max="8209" width="9.21875" style="2" customWidth="1"/>
    <col min="8210" max="8448" width="8.77734375" style="2"/>
    <col min="8449" max="8449" width="4.21875" style="2" customWidth="1"/>
    <col min="8450" max="8450" width="2.5546875" style="2" customWidth="1"/>
    <col min="8451" max="8452" width="8.77734375" style="2"/>
    <col min="8453" max="8453" width="7.21875" style="2" customWidth="1"/>
    <col min="8454" max="8454" width="8.21875" style="2" customWidth="1"/>
    <col min="8455" max="8456" width="10.21875" style="2" customWidth="1"/>
    <col min="8457" max="8457" width="3.77734375" style="2" customWidth="1"/>
    <col min="8458" max="8458" width="8.77734375" style="2"/>
    <col min="8459" max="8459" width="6.21875" style="2" customWidth="1"/>
    <col min="8460" max="8460" width="5.5546875" style="2" customWidth="1"/>
    <col min="8461" max="8461" width="10.77734375" style="2" customWidth="1"/>
    <col min="8462" max="8462" width="8.21875" style="2" customWidth="1"/>
    <col min="8463" max="8463" width="12.21875" style="2" customWidth="1"/>
    <col min="8464" max="8464" width="10.21875" style="2" customWidth="1"/>
    <col min="8465" max="8465" width="9.21875" style="2" customWidth="1"/>
    <col min="8466" max="8704" width="8.77734375" style="2"/>
    <col min="8705" max="8705" width="4.21875" style="2" customWidth="1"/>
    <col min="8706" max="8706" width="2.5546875" style="2" customWidth="1"/>
    <col min="8707" max="8708" width="8.77734375" style="2"/>
    <col min="8709" max="8709" width="7.21875" style="2" customWidth="1"/>
    <col min="8710" max="8710" width="8.21875" style="2" customWidth="1"/>
    <col min="8711" max="8712" width="10.21875" style="2" customWidth="1"/>
    <col min="8713" max="8713" width="3.77734375" style="2" customWidth="1"/>
    <col min="8714" max="8714" width="8.77734375" style="2"/>
    <col min="8715" max="8715" width="6.21875" style="2" customWidth="1"/>
    <col min="8716" max="8716" width="5.5546875" style="2" customWidth="1"/>
    <col min="8717" max="8717" width="10.77734375" style="2" customWidth="1"/>
    <col min="8718" max="8718" width="8.21875" style="2" customWidth="1"/>
    <col min="8719" max="8719" width="12.21875" style="2" customWidth="1"/>
    <col min="8720" max="8720" width="10.21875" style="2" customWidth="1"/>
    <col min="8721" max="8721" width="9.21875" style="2" customWidth="1"/>
    <col min="8722" max="8960" width="8.77734375" style="2"/>
    <col min="8961" max="8961" width="4.21875" style="2" customWidth="1"/>
    <col min="8962" max="8962" width="2.5546875" style="2" customWidth="1"/>
    <col min="8963" max="8964" width="8.77734375" style="2"/>
    <col min="8965" max="8965" width="7.21875" style="2" customWidth="1"/>
    <col min="8966" max="8966" width="8.21875" style="2" customWidth="1"/>
    <col min="8967" max="8968" width="10.21875" style="2" customWidth="1"/>
    <col min="8969" max="8969" width="3.77734375" style="2" customWidth="1"/>
    <col min="8970" max="8970" width="8.77734375" style="2"/>
    <col min="8971" max="8971" width="6.21875" style="2" customWidth="1"/>
    <col min="8972" max="8972" width="5.5546875" style="2" customWidth="1"/>
    <col min="8973" max="8973" width="10.77734375" style="2" customWidth="1"/>
    <col min="8974" max="8974" width="8.21875" style="2" customWidth="1"/>
    <col min="8975" max="8975" width="12.21875" style="2" customWidth="1"/>
    <col min="8976" max="8976" width="10.21875" style="2" customWidth="1"/>
    <col min="8977" max="8977" width="9.21875" style="2" customWidth="1"/>
    <col min="8978" max="9216" width="8.77734375" style="2"/>
    <col min="9217" max="9217" width="4.21875" style="2" customWidth="1"/>
    <col min="9218" max="9218" width="2.5546875" style="2" customWidth="1"/>
    <col min="9219" max="9220" width="8.77734375" style="2"/>
    <col min="9221" max="9221" width="7.21875" style="2" customWidth="1"/>
    <col min="9222" max="9222" width="8.21875" style="2" customWidth="1"/>
    <col min="9223" max="9224" width="10.21875" style="2" customWidth="1"/>
    <col min="9225" max="9225" width="3.77734375" style="2" customWidth="1"/>
    <col min="9226" max="9226" width="8.77734375" style="2"/>
    <col min="9227" max="9227" width="6.21875" style="2" customWidth="1"/>
    <col min="9228" max="9228" width="5.5546875" style="2" customWidth="1"/>
    <col min="9229" max="9229" width="10.77734375" style="2" customWidth="1"/>
    <col min="9230" max="9230" width="8.21875" style="2" customWidth="1"/>
    <col min="9231" max="9231" width="12.21875" style="2" customWidth="1"/>
    <col min="9232" max="9232" width="10.21875" style="2" customWidth="1"/>
    <col min="9233" max="9233" width="9.21875" style="2" customWidth="1"/>
    <col min="9234" max="9472" width="8.77734375" style="2"/>
    <col min="9473" max="9473" width="4.21875" style="2" customWidth="1"/>
    <col min="9474" max="9474" width="2.5546875" style="2" customWidth="1"/>
    <col min="9475" max="9476" width="8.77734375" style="2"/>
    <col min="9477" max="9477" width="7.21875" style="2" customWidth="1"/>
    <col min="9478" max="9478" width="8.21875" style="2" customWidth="1"/>
    <col min="9479" max="9480" width="10.21875" style="2" customWidth="1"/>
    <col min="9481" max="9481" width="3.77734375" style="2" customWidth="1"/>
    <col min="9482" max="9482" width="8.77734375" style="2"/>
    <col min="9483" max="9483" width="6.21875" style="2" customWidth="1"/>
    <col min="9484" max="9484" width="5.5546875" style="2" customWidth="1"/>
    <col min="9485" max="9485" width="10.77734375" style="2" customWidth="1"/>
    <col min="9486" max="9486" width="8.21875" style="2" customWidth="1"/>
    <col min="9487" max="9487" width="12.21875" style="2" customWidth="1"/>
    <col min="9488" max="9488" width="10.21875" style="2" customWidth="1"/>
    <col min="9489" max="9489" width="9.21875" style="2" customWidth="1"/>
    <col min="9490" max="9728" width="8.77734375" style="2"/>
    <col min="9729" max="9729" width="4.21875" style="2" customWidth="1"/>
    <col min="9730" max="9730" width="2.5546875" style="2" customWidth="1"/>
    <col min="9731" max="9732" width="8.77734375" style="2"/>
    <col min="9733" max="9733" width="7.21875" style="2" customWidth="1"/>
    <col min="9734" max="9734" width="8.21875" style="2" customWidth="1"/>
    <col min="9735" max="9736" width="10.21875" style="2" customWidth="1"/>
    <col min="9737" max="9737" width="3.77734375" style="2" customWidth="1"/>
    <col min="9738" max="9738" width="8.77734375" style="2"/>
    <col min="9739" max="9739" width="6.21875" style="2" customWidth="1"/>
    <col min="9740" max="9740" width="5.5546875" style="2" customWidth="1"/>
    <col min="9741" max="9741" width="10.77734375" style="2" customWidth="1"/>
    <col min="9742" max="9742" width="8.21875" style="2" customWidth="1"/>
    <col min="9743" max="9743" width="12.21875" style="2" customWidth="1"/>
    <col min="9744" max="9744" width="10.21875" style="2" customWidth="1"/>
    <col min="9745" max="9745" width="9.21875" style="2" customWidth="1"/>
    <col min="9746" max="9984" width="8.77734375" style="2"/>
    <col min="9985" max="9985" width="4.21875" style="2" customWidth="1"/>
    <col min="9986" max="9986" width="2.5546875" style="2" customWidth="1"/>
    <col min="9987" max="9988" width="8.77734375" style="2"/>
    <col min="9989" max="9989" width="7.21875" style="2" customWidth="1"/>
    <col min="9990" max="9990" width="8.21875" style="2" customWidth="1"/>
    <col min="9991" max="9992" width="10.21875" style="2" customWidth="1"/>
    <col min="9993" max="9993" width="3.77734375" style="2" customWidth="1"/>
    <col min="9994" max="9994" width="8.77734375" style="2"/>
    <col min="9995" max="9995" width="6.21875" style="2" customWidth="1"/>
    <col min="9996" max="9996" width="5.5546875" style="2" customWidth="1"/>
    <col min="9997" max="9997" width="10.77734375" style="2" customWidth="1"/>
    <col min="9998" max="9998" width="8.21875" style="2" customWidth="1"/>
    <col min="9999" max="9999" width="12.21875" style="2" customWidth="1"/>
    <col min="10000" max="10000" width="10.21875" style="2" customWidth="1"/>
    <col min="10001" max="10001" width="9.21875" style="2" customWidth="1"/>
    <col min="10002" max="10240" width="8.77734375" style="2"/>
    <col min="10241" max="10241" width="4.21875" style="2" customWidth="1"/>
    <col min="10242" max="10242" width="2.5546875" style="2" customWidth="1"/>
    <col min="10243" max="10244" width="8.77734375" style="2"/>
    <col min="10245" max="10245" width="7.21875" style="2" customWidth="1"/>
    <col min="10246" max="10246" width="8.21875" style="2" customWidth="1"/>
    <col min="10247" max="10248" width="10.21875" style="2" customWidth="1"/>
    <col min="10249" max="10249" width="3.77734375" style="2" customWidth="1"/>
    <col min="10250" max="10250" width="8.77734375" style="2"/>
    <col min="10251" max="10251" width="6.21875" style="2" customWidth="1"/>
    <col min="10252" max="10252" width="5.5546875" style="2" customWidth="1"/>
    <col min="10253" max="10253" width="10.77734375" style="2" customWidth="1"/>
    <col min="10254" max="10254" width="8.21875" style="2" customWidth="1"/>
    <col min="10255" max="10255" width="12.21875" style="2" customWidth="1"/>
    <col min="10256" max="10256" width="10.21875" style="2" customWidth="1"/>
    <col min="10257" max="10257" width="9.21875" style="2" customWidth="1"/>
    <col min="10258" max="10496" width="8.77734375" style="2"/>
    <col min="10497" max="10497" width="4.21875" style="2" customWidth="1"/>
    <col min="10498" max="10498" width="2.5546875" style="2" customWidth="1"/>
    <col min="10499" max="10500" width="8.77734375" style="2"/>
    <col min="10501" max="10501" width="7.21875" style="2" customWidth="1"/>
    <col min="10502" max="10502" width="8.21875" style="2" customWidth="1"/>
    <col min="10503" max="10504" width="10.21875" style="2" customWidth="1"/>
    <col min="10505" max="10505" width="3.77734375" style="2" customWidth="1"/>
    <col min="10506" max="10506" width="8.77734375" style="2"/>
    <col min="10507" max="10507" width="6.21875" style="2" customWidth="1"/>
    <col min="10508" max="10508" width="5.5546875" style="2" customWidth="1"/>
    <col min="10509" max="10509" width="10.77734375" style="2" customWidth="1"/>
    <col min="10510" max="10510" width="8.21875" style="2" customWidth="1"/>
    <col min="10511" max="10511" width="12.21875" style="2" customWidth="1"/>
    <col min="10512" max="10512" width="10.21875" style="2" customWidth="1"/>
    <col min="10513" max="10513" width="9.21875" style="2" customWidth="1"/>
    <col min="10514" max="10752" width="8.77734375" style="2"/>
    <col min="10753" max="10753" width="4.21875" style="2" customWidth="1"/>
    <col min="10754" max="10754" width="2.5546875" style="2" customWidth="1"/>
    <col min="10755" max="10756" width="8.77734375" style="2"/>
    <col min="10757" max="10757" width="7.21875" style="2" customWidth="1"/>
    <col min="10758" max="10758" width="8.21875" style="2" customWidth="1"/>
    <col min="10759" max="10760" width="10.21875" style="2" customWidth="1"/>
    <col min="10761" max="10761" width="3.77734375" style="2" customWidth="1"/>
    <col min="10762" max="10762" width="8.77734375" style="2"/>
    <col min="10763" max="10763" width="6.21875" style="2" customWidth="1"/>
    <col min="10764" max="10764" width="5.5546875" style="2" customWidth="1"/>
    <col min="10765" max="10765" width="10.77734375" style="2" customWidth="1"/>
    <col min="10766" max="10766" width="8.21875" style="2" customWidth="1"/>
    <col min="10767" max="10767" width="12.21875" style="2" customWidth="1"/>
    <col min="10768" max="10768" width="10.21875" style="2" customWidth="1"/>
    <col min="10769" max="10769" width="9.21875" style="2" customWidth="1"/>
    <col min="10770" max="11008" width="8.77734375" style="2"/>
    <col min="11009" max="11009" width="4.21875" style="2" customWidth="1"/>
    <col min="11010" max="11010" width="2.5546875" style="2" customWidth="1"/>
    <col min="11011" max="11012" width="8.77734375" style="2"/>
    <col min="11013" max="11013" width="7.21875" style="2" customWidth="1"/>
    <col min="11014" max="11014" width="8.21875" style="2" customWidth="1"/>
    <col min="11015" max="11016" width="10.21875" style="2" customWidth="1"/>
    <col min="11017" max="11017" width="3.77734375" style="2" customWidth="1"/>
    <col min="11018" max="11018" width="8.77734375" style="2"/>
    <col min="11019" max="11019" width="6.21875" style="2" customWidth="1"/>
    <col min="11020" max="11020" width="5.5546875" style="2" customWidth="1"/>
    <col min="11021" max="11021" width="10.77734375" style="2" customWidth="1"/>
    <col min="11022" max="11022" width="8.21875" style="2" customWidth="1"/>
    <col min="11023" max="11023" width="12.21875" style="2" customWidth="1"/>
    <col min="11024" max="11024" width="10.21875" style="2" customWidth="1"/>
    <col min="11025" max="11025" width="9.21875" style="2" customWidth="1"/>
    <col min="11026" max="11264" width="8.77734375" style="2"/>
    <col min="11265" max="11265" width="4.21875" style="2" customWidth="1"/>
    <col min="11266" max="11266" width="2.5546875" style="2" customWidth="1"/>
    <col min="11267" max="11268" width="8.77734375" style="2"/>
    <col min="11269" max="11269" width="7.21875" style="2" customWidth="1"/>
    <col min="11270" max="11270" width="8.21875" style="2" customWidth="1"/>
    <col min="11271" max="11272" width="10.21875" style="2" customWidth="1"/>
    <col min="11273" max="11273" width="3.77734375" style="2" customWidth="1"/>
    <col min="11274" max="11274" width="8.77734375" style="2"/>
    <col min="11275" max="11275" width="6.21875" style="2" customWidth="1"/>
    <col min="11276" max="11276" width="5.5546875" style="2" customWidth="1"/>
    <col min="11277" max="11277" width="10.77734375" style="2" customWidth="1"/>
    <col min="11278" max="11278" width="8.21875" style="2" customWidth="1"/>
    <col min="11279" max="11279" width="12.21875" style="2" customWidth="1"/>
    <col min="11280" max="11280" width="10.21875" style="2" customWidth="1"/>
    <col min="11281" max="11281" width="9.21875" style="2" customWidth="1"/>
    <col min="11282" max="11520" width="8.77734375" style="2"/>
    <col min="11521" max="11521" width="4.21875" style="2" customWidth="1"/>
    <col min="11522" max="11522" width="2.5546875" style="2" customWidth="1"/>
    <col min="11523" max="11524" width="8.77734375" style="2"/>
    <col min="11525" max="11525" width="7.21875" style="2" customWidth="1"/>
    <col min="11526" max="11526" width="8.21875" style="2" customWidth="1"/>
    <col min="11527" max="11528" width="10.21875" style="2" customWidth="1"/>
    <col min="11529" max="11529" width="3.77734375" style="2" customWidth="1"/>
    <col min="11530" max="11530" width="8.77734375" style="2"/>
    <col min="11531" max="11531" width="6.21875" style="2" customWidth="1"/>
    <col min="11532" max="11532" width="5.5546875" style="2" customWidth="1"/>
    <col min="11533" max="11533" width="10.77734375" style="2" customWidth="1"/>
    <col min="11534" max="11534" width="8.21875" style="2" customWidth="1"/>
    <col min="11535" max="11535" width="12.21875" style="2" customWidth="1"/>
    <col min="11536" max="11536" width="10.21875" style="2" customWidth="1"/>
    <col min="11537" max="11537" width="9.21875" style="2" customWidth="1"/>
    <col min="11538" max="11776" width="8.77734375" style="2"/>
    <col min="11777" max="11777" width="4.21875" style="2" customWidth="1"/>
    <col min="11778" max="11778" width="2.5546875" style="2" customWidth="1"/>
    <col min="11779" max="11780" width="8.77734375" style="2"/>
    <col min="11781" max="11781" width="7.21875" style="2" customWidth="1"/>
    <col min="11782" max="11782" width="8.21875" style="2" customWidth="1"/>
    <col min="11783" max="11784" width="10.21875" style="2" customWidth="1"/>
    <col min="11785" max="11785" width="3.77734375" style="2" customWidth="1"/>
    <col min="11786" max="11786" width="8.77734375" style="2"/>
    <col min="11787" max="11787" width="6.21875" style="2" customWidth="1"/>
    <col min="11788" max="11788" width="5.5546875" style="2" customWidth="1"/>
    <col min="11789" max="11789" width="10.77734375" style="2" customWidth="1"/>
    <col min="11790" max="11790" width="8.21875" style="2" customWidth="1"/>
    <col min="11791" max="11791" width="12.21875" style="2" customWidth="1"/>
    <col min="11792" max="11792" width="10.21875" style="2" customWidth="1"/>
    <col min="11793" max="11793" width="9.21875" style="2" customWidth="1"/>
    <col min="11794" max="12032" width="8.77734375" style="2"/>
    <col min="12033" max="12033" width="4.21875" style="2" customWidth="1"/>
    <col min="12034" max="12034" width="2.5546875" style="2" customWidth="1"/>
    <col min="12035" max="12036" width="8.77734375" style="2"/>
    <col min="12037" max="12037" width="7.21875" style="2" customWidth="1"/>
    <col min="12038" max="12038" width="8.21875" style="2" customWidth="1"/>
    <col min="12039" max="12040" width="10.21875" style="2" customWidth="1"/>
    <col min="12041" max="12041" width="3.77734375" style="2" customWidth="1"/>
    <col min="12042" max="12042" width="8.77734375" style="2"/>
    <col min="12043" max="12043" width="6.21875" style="2" customWidth="1"/>
    <col min="12044" max="12044" width="5.5546875" style="2" customWidth="1"/>
    <col min="12045" max="12045" width="10.77734375" style="2" customWidth="1"/>
    <col min="12046" max="12046" width="8.21875" style="2" customWidth="1"/>
    <col min="12047" max="12047" width="12.21875" style="2" customWidth="1"/>
    <col min="12048" max="12048" width="10.21875" style="2" customWidth="1"/>
    <col min="12049" max="12049" width="9.21875" style="2" customWidth="1"/>
    <col min="12050" max="12288" width="8.77734375" style="2"/>
    <col min="12289" max="12289" width="4.21875" style="2" customWidth="1"/>
    <col min="12290" max="12290" width="2.5546875" style="2" customWidth="1"/>
    <col min="12291" max="12292" width="8.77734375" style="2"/>
    <col min="12293" max="12293" width="7.21875" style="2" customWidth="1"/>
    <col min="12294" max="12294" width="8.21875" style="2" customWidth="1"/>
    <col min="12295" max="12296" width="10.21875" style="2" customWidth="1"/>
    <col min="12297" max="12297" width="3.77734375" style="2" customWidth="1"/>
    <col min="12298" max="12298" width="8.77734375" style="2"/>
    <col min="12299" max="12299" width="6.21875" style="2" customWidth="1"/>
    <col min="12300" max="12300" width="5.5546875" style="2" customWidth="1"/>
    <col min="12301" max="12301" width="10.77734375" style="2" customWidth="1"/>
    <col min="12302" max="12302" width="8.21875" style="2" customWidth="1"/>
    <col min="12303" max="12303" width="12.21875" style="2" customWidth="1"/>
    <col min="12304" max="12304" width="10.21875" style="2" customWidth="1"/>
    <col min="12305" max="12305" width="9.21875" style="2" customWidth="1"/>
    <col min="12306" max="12544" width="8.77734375" style="2"/>
    <col min="12545" max="12545" width="4.21875" style="2" customWidth="1"/>
    <col min="12546" max="12546" width="2.5546875" style="2" customWidth="1"/>
    <col min="12547" max="12548" width="8.77734375" style="2"/>
    <col min="12549" max="12549" width="7.21875" style="2" customWidth="1"/>
    <col min="12550" max="12550" width="8.21875" style="2" customWidth="1"/>
    <col min="12551" max="12552" width="10.21875" style="2" customWidth="1"/>
    <col min="12553" max="12553" width="3.77734375" style="2" customWidth="1"/>
    <col min="12554" max="12554" width="8.77734375" style="2"/>
    <col min="12555" max="12555" width="6.21875" style="2" customWidth="1"/>
    <col min="12556" max="12556" width="5.5546875" style="2" customWidth="1"/>
    <col min="12557" max="12557" width="10.77734375" style="2" customWidth="1"/>
    <col min="12558" max="12558" width="8.21875" style="2" customWidth="1"/>
    <col min="12559" max="12559" width="12.21875" style="2" customWidth="1"/>
    <col min="12560" max="12560" width="10.21875" style="2" customWidth="1"/>
    <col min="12561" max="12561" width="9.21875" style="2" customWidth="1"/>
    <col min="12562" max="12800" width="8.77734375" style="2"/>
    <col min="12801" max="12801" width="4.21875" style="2" customWidth="1"/>
    <col min="12802" max="12802" width="2.5546875" style="2" customWidth="1"/>
    <col min="12803" max="12804" width="8.77734375" style="2"/>
    <col min="12805" max="12805" width="7.21875" style="2" customWidth="1"/>
    <col min="12806" max="12806" width="8.21875" style="2" customWidth="1"/>
    <col min="12807" max="12808" width="10.21875" style="2" customWidth="1"/>
    <col min="12809" max="12809" width="3.77734375" style="2" customWidth="1"/>
    <col min="12810" max="12810" width="8.77734375" style="2"/>
    <col min="12811" max="12811" width="6.21875" style="2" customWidth="1"/>
    <col min="12812" max="12812" width="5.5546875" style="2" customWidth="1"/>
    <col min="12813" max="12813" width="10.77734375" style="2" customWidth="1"/>
    <col min="12814" max="12814" width="8.21875" style="2" customWidth="1"/>
    <col min="12815" max="12815" width="12.21875" style="2" customWidth="1"/>
    <col min="12816" max="12816" width="10.21875" style="2" customWidth="1"/>
    <col min="12817" max="12817" width="9.21875" style="2" customWidth="1"/>
    <col min="12818" max="13056" width="8.77734375" style="2"/>
    <col min="13057" max="13057" width="4.21875" style="2" customWidth="1"/>
    <col min="13058" max="13058" width="2.5546875" style="2" customWidth="1"/>
    <col min="13059" max="13060" width="8.77734375" style="2"/>
    <col min="13061" max="13061" width="7.21875" style="2" customWidth="1"/>
    <col min="13062" max="13062" width="8.21875" style="2" customWidth="1"/>
    <col min="13063" max="13064" width="10.21875" style="2" customWidth="1"/>
    <col min="13065" max="13065" width="3.77734375" style="2" customWidth="1"/>
    <col min="13066" max="13066" width="8.77734375" style="2"/>
    <col min="13067" max="13067" width="6.21875" style="2" customWidth="1"/>
    <col min="13068" max="13068" width="5.5546875" style="2" customWidth="1"/>
    <col min="13069" max="13069" width="10.77734375" style="2" customWidth="1"/>
    <col min="13070" max="13070" width="8.21875" style="2" customWidth="1"/>
    <col min="13071" max="13071" width="12.21875" style="2" customWidth="1"/>
    <col min="13072" max="13072" width="10.21875" style="2" customWidth="1"/>
    <col min="13073" max="13073" width="9.21875" style="2" customWidth="1"/>
    <col min="13074" max="13312" width="8.77734375" style="2"/>
    <col min="13313" max="13313" width="4.21875" style="2" customWidth="1"/>
    <col min="13314" max="13314" width="2.5546875" style="2" customWidth="1"/>
    <col min="13315" max="13316" width="8.77734375" style="2"/>
    <col min="13317" max="13317" width="7.21875" style="2" customWidth="1"/>
    <col min="13318" max="13318" width="8.21875" style="2" customWidth="1"/>
    <col min="13319" max="13320" width="10.21875" style="2" customWidth="1"/>
    <col min="13321" max="13321" width="3.77734375" style="2" customWidth="1"/>
    <col min="13322" max="13322" width="8.77734375" style="2"/>
    <col min="13323" max="13323" width="6.21875" style="2" customWidth="1"/>
    <col min="13324" max="13324" width="5.5546875" style="2" customWidth="1"/>
    <col min="13325" max="13325" width="10.77734375" style="2" customWidth="1"/>
    <col min="13326" max="13326" width="8.21875" style="2" customWidth="1"/>
    <col min="13327" max="13327" width="12.21875" style="2" customWidth="1"/>
    <col min="13328" max="13328" width="10.21875" style="2" customWidth="1"/>
    <col min="13329" max="13329" width="9.21875" style="2" customWidth="1"/>
    <col min="13330" max="13568" width="8.77734375" style="2"/>
    <col min="13569" max="13569" width="4.21875" style="2" customWidth="1"/>
    <col min="13570" max="13570" width="2.5546875" style="2" customWidth="1"/>
    <col min="13571" max="13572" width="8.77734375" style="2"/>
    <col min="13573" max="13573" width="7.21875" style="2" customWidth="1"/>
    <col min="13574" max="13574" width="8.21875" style="2" customWidth="1"/>
    <col min="13575" max="13576" width="10.21875" style="2" customWidth="1"/>
    <col min="13577" max="13577" width="3.77734375" style="2" customWidth="1"/>
    <col min="13578" max="13578" width="8.77734375" style="2"/>
    <col min="13579" max="13579" width="6.21875" style="2" customWidth="1"/>
    <col min="13580" max="13580" width="5.5546875" style="2" customWidth="1"/>
    <col min="13581" max="13581" width="10.77734375" style="2" customWidth="1"/>
    <col min="13582" max="13582" width="8.21875" style="2" customWidth="1"/>
    <col min="13583" max="13583" width="12.21875" style="2" customWidth="1"/>
    <col min="13584" max="13584" width="10.21875" style="2" customWidth="1"/>
    <col min="13585" max="13585" width="9.21875" style="2" customWidth="1"/>
    <col min="13586" max="13824" width="8.77734375" style="2"/>
    <col min="13825" max="13825" width="4.21875" style="2" customWidth="1"/>
    <col min="13826" max="13826" width="2.5546875" style="2" customWidth="1"/>
    <col min="13827" max="13828" width="8.77734375" style="2"/>
    <col min="13829" max="13829" width="7.21875" style="2" customWidth="1"/>
    <col min="13830" max="13830" width="8.21875" style="2" customWidth="1"/>
    <col min="13831" max="13832" width="10.21875" style="2" customWidth="1"/>
    <col min="13833" max="13833" width="3.77734375" style="2" customWidth="1"/>
    <col min="13834" max="13834" width="8.77734375" style="2"/>
    <col min="13835" max="13835" width="6.21875" style="2" customWidth="1"/>
    <col min="13836" max="13836" width="5.5546875" style="2" customWidth="1"/>
    <col min="13837" max="13837" width="10.77734375" style="2" customWidth="1"/>
    <col min="13838" max="13838" width="8.21875" style="2" customWidth="1"/>
    <col min="13839" max="13839" width="12.21875" style="2" customWidth="1"/>
    <col min="13840" max="13840" width="10.21875" style="2" customWidth="1"/>
    <col min="13841" max="13841" width="9.21875" style="2" customWidth="1"/>
    <col min="13842" max="14080" width="8.77734375" style="2"/>
    <col min="14081" max="14081" width="4.21875" style="2" customWidth="1"/>
    <col min="14082" max="14082" width="2.5546875" style="2" customWidth="1"/>
    <col min="14083" max="14084" width="8.77734375" style="2"/>
    <col min="14085" max="14085" width="7.21875" style="2" customWidth="1"/>
    <col min="14086" max="14086" width="8.21875" style="2" customWidth="1"/>
    <col min="14087" max="14088" width="10.21875" style="2" customWidth="1"/>
    <col min="14089" max="14089" width="3.77734375" style="2" customWidth="1"/>
    <col min="14090" max="14090" width="8.77734375" style="2"/>
    <col min="14091" max="14091" width="6.21875" style="2" customWidth="1"/>
    <col min="14092" max="14092" width="5.5546875" style="2" customWidth="1"/>
    <col min="14093" max="14093" width="10.77734375" style="2" customWidth="1"/>
    <col min="14094" max="14094" width="8.21875" style="2" customWidth="1"/>
    <col min="14095" max="14095" width="12.21875" style="2" customWidth="1"/>
    <col min="14096" max="14096" width="10.21875" style="2" customWidth="1"/>
    <col min="14097" max="14097" width="9.21875" style="2" customWidth="1"/>
    <col min="14098" max="14336" width="8.77734375" style="2"/>
    <col min="14337" max="14337" width="4.21875" style="2" customWidth="1"/>
    <col min="14338" max="14338" width="2.5546875" style="2" customWidth="1"/>
    <col min="14339" max="14340" width="8.77734375" style="2"/>
    <col min="14341" max="14341" width="7.21875" style="2" customWidth="1"/>
    <col min="14342" max="14342" width="8.21875" style="2" customWidth="1"/>
    <col min="14343" max="14344" width="10.21875" style="2" customWidth="1"/>
    <col min="14345" max="14345" width="3.77734375" style="2" customWidth="1"/>
    <col min="14346" max="14346" width="8.77734375" style="2"/>
    <col min="14347" max="14347" width="6.21875" style="2" customWidth="1"/>
    <col min="14348" max="14348" width="5.5546875" style="2" customWidth="1"/>
    <col min="14349" max="14349" width="10.77734375" style="2" customWidth="1"/>
    <col min="14350" max="14350" width="8.21875" style="2" customWidth="1"/>
    <col min="14351" max="14351" width="12.21875" style="2" customWidth="1"/>
    <col min="14352" max="14352" width="10.21875" style="2" customWidth="1"/>
    <col min="14353" max="14353" width="9.21875" style="2" customWidth="1"/>
    <col min="14354" max="14592" width="8.77734375" style="2"/>
    <col min="14593" max="14593" width="4.21875" style="2" customWidth="1"/>
    <col min="14594" max="14594" width="2.5546875" style="2" customWidth="1"/>
    <col min="14595" max="14596" width="8.77734375" style="2"/>
    <col min="14597" max="14597" width="7.21875" style="2" customWidth="1"/>
    <col min="14598" max="14598" width="8.21875" style="2" customWidth="1"/>
    <col min="14599" max="14600" width="10.21875" style="2" customWidth="1"/>
    <col min="14601" max="14601" width="3.77734375" style="2" customWidth="1"/>
    <col min="14602" max="14602" width="8.77734375" style="2"/>
    <col min="14603" max="14603" width="6.21875" style="2" customWidth="1"/>
    <col min="14604" max="14604" width="5.5546875" style="2" customWidth="1"/>
    <col min="14605" max="14605" width="10.77734375" style="2" customWidth="1"/>
    <col min="14606" max="14606" width="8.21875" style="2" customWidth="1"/>
    <col min="14607" max="14607" width="12.21875" style="2" customWidth="1"/>
    <col min="14608" max="14608" width="10.21875" style="2" customWidth="1"/>
    <col min="14609" max="14609" width="9.21875" style="2" customWidth="1"/>
    <col min="14610" max="14848" width="8.77734375" style="2"/>
    <col min="14849" max="14849" width="4.21875" style="2" customWidth="1"/>
    <col min="14850" max="14850" width="2.5546875" style="2" customWidth="1"/>
    <col min="14851" max="14852" width="8.77734375" style="2"/>
    <col min="14853" max="14853" width="7.21875" style="2" customWidth="1"/>
    <col min="14854" max="14854" width="8.21875" style="2" customWidth="1"/>
    <col min="14855" max="14856" width="10.21875" style="2" customWidth="1"/>
    <col min="14857" max="14857" width="3.77734375" style="2" customWidth="1"/>
    <col min="14858" max="14858" width="8.77734375" style="2"/>
    <col min="14859" max="14859" width="6.21875" style="2" customWidth="1"/>
    <col min="14860" max="14860" width="5.5546875" style="2" customWidth="1"/>
    <col min="14861" max="14861" width="10.77734375" style="2" customWidth="1"/>
    <col min="14862" max="14862" width="8.21875" style="2" customWidth="1"/>
    <col min="14863" max="14863" width="12.21875" style="2" customWidth="1"/>
    <col min="14864" max="14864" width="10.21875" style="2" customWidth="1"/>
    <col min="14865" max="14865" width="9.21875" style="2" customWidth="1"/>
    <col min="14866" max="15104" width="8.77734375" style="2"/>
    <col min="15105" max="15105" width="4.21875" style="2" customWidth="1"/>
    <col min="15106" max="15106" width="2.5546875" style="2" customWidth="1"/>
    <col min="15107" max="15108" width="8.77734375" style="2"/>
    <col min="15109" max="15109" width="7.21875" style="2" customWidth="1"/>
    <col min="15110" max="15110" width="8.21875" style="2" customWidth="1"/>
    <col min="15111" max="15112" width="10.21875" style="2" customWidth="1"/>
    <col min="15113" max="15113" width="3.77734375" style="2" customWidth="1"/>
    <col min="15114" max="15114" width="8.77734375" style="2"/>
    <col min="15115" max="15115" width="6.21875" style="2" customWidth="1"/>
    <col min="15116" max="15116" width="5.5546875" style="2" customWidth="1"/>
    <col min="15117" max="15117" width="10.77734375" style="2" customWidth="1"/>
    <col min="15118" max="15118" width="8.21875" style="2" customWidth="1"/>
    <col min="15119" max="15119" width="12.21875" style="2" customWidth="1"/>
    <col min="15120" max="15120" width="10.21875" style="2" customWidth="1"/>
    <col min="15121" max="15121" width="9.21875" style="2" customWidth="1"/>
    <col min="15122" max="15360" width="8.77734375" style="2"/>
    <col min="15361" max="15361" width="4.21875" style="2" customWidth="1"/>
    <col min="15362" max="15362" width="2.5546875" style="2" customWidth="1"/>
    <col min="15363" max="15364" width="8.77734375" style="2"/>
    <col min="15365" max="15365" width="7.21875" style="2" customWidth="1"/>
    <col min="15366" max="15366" width="8.21875" style="2" customWidth="1"/>
    <col min="15367" max="15368" width="10.21875" style="2" customWidth="1"/>
    <col min="15369" max="15369" width="3.77734375" style="2" customWidth="1"/>
    <col min="15370" max="15370" width="8.77734375" style="2"/>
    <col min="15371" max="15371" width="6.21875" style="2" customWidth="1"/>
    <col min="15372" max="15372" width="5.5546875" style="2" customWidth="1"/>
    <col min="15373" max="15373" width="10.77734375" style="2" customWidth="1"/>
    <col min="15374" max="15374" width="8.21875" style="2" customWidth="1"/>
    <col min="15375" max="15375" width="12.21875" style="2" customWidth="1"/>
    <col min="15376" max="15376" width="10.21875" style="2" customWidth="1"/>
    <col min="15377" max="15377" width="9.21875" style="2" customWidth="1"/>
    <col min="15378" max="15616" width="8.77734375" style="2"/>
    <col min="15617" max="15617" width="4.21875" style="2" customWidth="1"/>
    <col min="15618" max="15618" width="2.5546875" style="2" customWidth="1"/>
    <col min="15619" max="15620" width="8.77734375" style="2"/>
    <col min="15621" max="15621" width="7.21875" style="2" customWidth="1"/>
    <col min="15622" max="15622" width="8.21875" style="2" customWidth="1"/>
    <col min="15623" max="15624" width="10.21875" style="2" customWidth="1"/>
    <col min="15625" max="15625" width="3.77734375" style="2" customWidth="1"/>
    <col min="15626" max="15626" width="8.77734375" style="2"/>
    <col min="15627" max="15627" width="6.21875" style="2" customWidth="1"/>
    <col min="15628" max="15628" width="5.5546875" style="2" customWidth="1"/>
    <col min="15629" max="15629" width="10.77734375" style="2" customWidth="1"/>
    <col min="15630" max="15630" width="8.21875" style="2" customWidth="1"/>
    <col min="15631" max="15631" width="12.21875" style="2" customWidth="1"/>
    <col min="15632" max="15632" width="10.21875" style="2" customWidth="1"/>
    <col min="15633" max="15633" width="9.21875" style="2" customWidth="1"/>
    <col min="15634" max="15872" width="8.77734375" style="2"/>
    <col min="15873" max="15873" width="4.21875" style="2" customWidth="1"/>
    <col min="15874" max="15874" width="2.5546875" style="2" customWidth="1"/>
    <col min="15875" max="15876" width="8.77734375" style="2"/>
    <col min="15877" max="15877" width="7.21875" style="2" customWidth="1"/>
    <col min="15878" max="15878" width="8.21875" style="2" customWidth="1"/>
    <col min="15879" max="15880" width="10.21875" style="2" customWidth="1"/>
    <col min="15881" max="15881" width="3.77734375" style="2" customWidth="1"/>
    <col min="15882" max="15882" width="8.77734375" style="2"/>
    <col min="15883" max="15883" width="6.21875" style="2" customWidth="1"/>
    <col min="15884" max="15884" width="5.5546875" style="2" customWidth="1"/>
    <col min="15885" max="15885" width="10.77734375" style="2" customWidth="1"/>
    <col min="15886" max="15886" width="8.21875" style="2" customWidth="1"/>
    <col min="15887" max="15887" width="12.21875" style="2" customWidth="1"/>
    <col min="15888" max="15888" width="10.21875" style="2" customWidth="1"/>
    <col min="15889" max="15889" width="9.21875" style="2" customWidth="1"/>
    <col min="15890" max="16128" width="8.77734375" style="2"/>
    <col min="16129" max="16129" width="4.21875" style="2" customWidth="1"/>
    <col min="16130" max="16130" width="2.5546875" style="2" customWidth="1"/>
    <col min="16131" max="16132" width="8.77734375" style="2"/>
    <col min="16133" max="16133" width="7.21875" style="2" customWidth="1"/>
    <col min="16134" max="16134" width="8.21875" style="2" customWidth="1"/>
    <col min="16135" max="16136" width="10.21875" style="2" customWidth="1"/>
    <col min="16137" max="16137" width="3.77734375" style="2" customWidth="1"/>
    <col min="16138" max="16138" width="8.77734375" style="2"/>
    <col min="16139" max="16139" width="6.21875" style="2" customWidth="1"/>
    <col min="16140" max="16140" width="5.5546875" style="2" customWidth="1"/>
    <col min="16141" max="16141" width="10.77734375" style="2" customWidth="1"/>
    <col min="16142" max="16142" width="8.21875" style="2" customWidth="1"/>
    <col min="16143" max="16143" width="12.21875" style="2" customWidth="1"/>
    <col min="16144" max="16144" width="10.21875" style="2" customWidth="1"/>
    <col min="16145" max="16145" width="9.21875" style="2" customWidth="1"/>
    <col min="16146" max="16384" width="8.77734375" style="2"/>
  </cols>
  <sheetData>
    <row r="1" spans="1:18" ht="15.6">
      <c r="A1" s="1220" t="s">
        <v>20</v>
      </c>
      <c r="B1" s="1220"/>
      <c r="C1" s="1220"/>
      <c r="D1" s="1220"/>
      <c r="E1" s="1220"/>
      <c r="F1" s="1220"/>
      <c r="G1" s="1220"/>
      <c r="H1" s="1220"/>
      <c r="I1" s="1220"/>
      <c r="J1" s="1220"/>
      <c r="K1" s="1220"/>
      <c r="L1" s="1220"/>
      <c r="M1" s="1220"/>
      <c r="N1" s="1220"/>
      <c r="O1" s="1220"/>
      <c r="P1" s="49"/>
      <c r="Q1" s="50"/>
      <c r="R1" s="49"/>
    </row>
    <row r="2" spans="1:18" ht="15.6">
      <c r="A2" s="1220" t="s">
        <v>42</v>
      </c>
      <c r="B2" s="1220"/>
      <c r="C2" s="1220"/>
      <c r="D2" s="1220"/>
      <c r="E2" s="1220"/>
      <c r="F2" s="1220"/>
      <c r="G2" s="1220"/>
      <c r="H2" s="1220"/>
      <c r="I2" s="1220"/>
      <c r="J2" s="1220"/>
      <c r="K2" s="1220"/>
      <c r="L2" s="1220"/>
      <c r="M2" s="1220"/>
      <c r="N2" s="1220"/>
      <c r="O2" s="1220"/>
    </row>
    <row r="3" spans="1:18" ht="15" customHeight="1">
      <c r="A3" s="1225" t="s">
        <v>48</v>
      </c>
      <c r="B3" s="1225"/>
      <c r="C3" s="1225"/>
      <c r="D3" s="1225"/>
      <c r="E3" s="1225"/>
      <c r="F3" s="1225"/>
      <c r="G3" s="1225"/>
      <c r="H3" s="1225"/>
      <c r="I3" s="1225"/>
      <c r="J3" s="1225"/>
      <c r="K3" s="1225"/>
      <c r="L3" s="1225"/>
      <c r="M3" s="1225"/>
      <c r="N3" s="1225"/>
      <c r="O3" s="1225"/>
    </row>
    <row r="4" spans="1:18" ht="7.5" customHeight="1"/>
    <row r="5" spans="1:18" ht="39" customHeight="1">
      <c r="A5" s="33" t="s">
        <v>22</v>
      </c>
      <c r="F5" s="34" t="s">
        <v>23</v>
      </c>
      <c r="H5" s="35" t="s">
        <v>24</v>
      </c>
      <c r="I5" s="36"/>
      <c r="J5" s="1221" t="s">
        <v>25</v>
      </c>
      <c r="K5" s="1217"/>
      <c r="M5" s="3" t="s">
        <v>26</v>
      </c>
      <c r="O5" s="37" t="s">
        <v>27</v>
      </c>
    </row>
    <row r="6" spans="1:18" ht="6.75" customHeight="1"/>
    <row r="7" spans="1:18" ht="15">
      <c r="B7" s="5" t="s">
        <v>6</v>
      </c>
      <c r="F7" s="38">
        <f>IF('Input (7)'!$G$4=0," ",'Input (7)'!$G$4)</f>
        <v>19</v>
      </c>
      <c r="G7" s="39"/>
      <c r="J7" s="1222">
        <f>IF('Input (7)'!G4=0,"0",'Input (7)'!G4)</f>
        <v>19</v>
      </c>
      <c r="K7" s="1222"/>
      <c r="L7" s="40" t="s">
        <v>28</v>
      </c>
      <c r="M7" s="41">
        <f>IF('Input (7)'!G4=0,0,LOOKUP(J7,'criteria (7)'!$A$3:$A$10,'criteria (7)'!$B$3:$B$10))</f>
        <v>40</v>
      </c>
      <c r="N7" s="42" t="s">
        <v>29</v>
      </c>
      <c r="O7" s="38">
        <f>IF(Q7=0,0,IF(Q7&lt;LOOKUP(J7,'criteria (7)'!$A$3:$A$10,'criteria (7)'!$C$3:$C$10),LOOKUP(J7,'criteria (7)'!$A$3:$A$10,'criteria (7)'!$C$3:$C$10),IF(LOOKUP(J7,'criteria (7)'!$A$3:$A$10,'criteria (7)'!$C$3:$C$10)=0,0,Q7)))</f>
        <v>0.6</v>
      </c>
      <c r="P7" s="28" t="str">
        <f>IF('Input (7)'!G4=0," ",IF(O7=0,"ADD to 1-6",IF(O7=Q7," ","Minimum")))</f>
        <v>Minimum</v>
      </c>
      <c r="Q7" s="32">
        <f>ROUND(IF('Input (7)'!G4=0,0,IF(M7=0,0,(J7/M7))),2)</f>
        <v>0.48</v>
      </c>
    </row>
    <row r="8" spans="1:18" ht="6.75" customHeight="1">
      <c r="J8" s="43"/>
      <c r="K8" s="43"/>
      <c r="O8" s="43"/>
    </row>
    <row r="9" spans="1:18">
      <c r="B9" s="5" t="s">
        <v>7</v>
      </c>
      <c r="J9" s="43"/>
      <c r="K9" s="43"/>
      <c r="O9" s="43"/>
    </row>
    <row r="10" spans="1:18">
      <c r="B10" s="28" t="s">
        <v>30</v>
      </c>
      <c r="J10" s="43"/>
      <c r="K10" s="43"/>
      <c r="O10" s="43"/>
    </row>
    <row r="11" spans="1:18" ht="16.5" customHeight="1">
      <c r="C11" s="12" t="s">
        <v>8</v>
      </c>
      <c r="F11" s="41" t="str">
        <f>IF(J11=0," ",IF($J$16&gt;300," ",'Input (7)'!G7))</f>
        <v xml:space="preserve"> </v>
      </c>
      <c r="G11" s="44" t="s">
        <v>31</v>
      </c>
      <c r="H11" s="38" t="str">
        <f>IF(J11=0," ",'C (7)'!H25)</f>
        <v xml:space="preserve"> </v>
      </c>
      <c r="I11" s="42" t="s">
        <v>29</v>
      </c>
      <c r="J11" s="1222">
        <f>IF('Input (7)'!G7=0,0,IF(SUM('Input (7)'!G7-'C (7)'!H25)+SUM('Input (7)'!G8-'C (7)'!H26)&gt;299.99,SUM('Input (7)'!G7-'C (7)'!H25),0))</f>
        <v>0</v>
      </c>
      <c r="K11" s="1222"/>
      <c r="L11" s="40" t="s">
        <v>28</v>
      </c>
      <c r="M11" s="41">
        <f>IF(SUM('Input (7)'!$G$7-'C (7)'!$H$25)+SUM('Input (7)'!$G$8-'C (7)'!$H$26)&gt;299.99,20,0)</f>
        <v>0</v>
      </c>
      <c r="N11" s="42" t="s">
        <v>29</v>
      </c>
      <c r="O11" s="38">
        <f>ROUND(IF(SUM('Input (7)'!$G$7-'C (7)'!$H$25)+SUM('Input (7)'!$G$8-'C (7)'!$H$26)&lt;299.99,0,IF(Q11+Q13&lt;15,0,(J11/M11))),2)</f>
        <v>0</v>
      </c>
      <c r="P11" s="2" t="str">
        <f>IF(O11=0," ",IF(O11=Q11," ","Minimum"))</f>
        <v xml:space="preserve"> </v>
      </c>
      <c r="Q11" s="32">
        <f>ROUND(IF(SUM('Input (7)'!$G$7-'C (7)'!$H$25)+SUM('Input (7)'!$G$8-'C (7)'!$H$26)&lt;299.99,0,(J11/M11)),2)</f>
        <v>0</v>
      </c>
    </row>
    <row r="12" spans="1:18" ht="9" customHeight="1">
      <c r="B12" s="12"/>
      <c r="J12" s="43"/>
      <c r="K12" s="43"/>
      <c r="O12" s="43"/>
    </row>
    <row r="13" spans="1:18" ht="15">
      <c r="C13" s="12" t="s">
        <v>9</v>
      </c>
      <c r="F13" s="41" t="str">
        <f>IF(J13=0," ",IF($J$16&gt;300," ",'Input (7)'!G8))</f>
        <v xml:space="preserve"> </v>
      </c>
      <c r="G13" s="44" t="s">
        <v>31</v>
      </c>
      <c r="H13" s="38" t="str">
        <f>IF(J13=0," ",'C (7)'!H26)</f>
        <v xml:space="preserve"> </v>
      </c>
      <c r="I13" s="42" t="s">
        <v>29</v>
      </c>
      <c r="J13" s="1222">
        <f>IF('Input (7)'!G8=0,0,IF(SUM('Input (7)'!G7-'C (7)'!H25)+SUM('Input (7)'!G8-'C (7)'!H26)&gt;299.99,SUM('Input (7)'!G8-'C (7)'!H26),0))</f>
        <v>0</v>
      </c>
      <c r="K13" s="1222"/>
      <c r="L13" s="40" t="s">
        <v>28</v>
      </c>
      <c r="M13" s="41">
        <f>IF(SUM('Input (7)'!$G$7-'C (7)'!$H$25)+SUM('Input (7)'!$G$8-'C (7)'!$H$26)&gt;299.99,23,0)</f>
        <v>0</v>
      </c>
      <c r="N13" s="42" t="s">
        <v>29</v>
      </c>
      <c r="O13" s="38">
        <f>ROUND(IF(SUM('Input (7)'!$G$7-'C (7)'!$H$25)+SUM('Input (7)'!$G$8-'C (7)'!$H$26)&lt;299.99,0,IF(Q11+Q13&lt;15,0,($J$13/$M$13))),2)</f>
        <v>0</v>
      </c>
      <c r="P13" s="2" t="str">
        <f>IF(O13=0," ",IF(O13=Q13," ","Minimum"))</f>
        <v xml:space="preserve"> </v>
      </c>
      <c r="Q13" s="32">
        <f>ROUND(IF(SUM('Input (7)'!$G$7-'C (7)'!$H$25)+SUM('Input (7)'!$G$8-'C (7)'!$H$26)&lt;299.99,0,($J$13/$M$13)),2)</f>
        <v>0</v>
      </c>
    </row>
    <row r="14" spans="1:18" ht="15">
      <c r="B14" s="5" t="s">
        <v>7</v>
      </c>
      <c r="F14" s="36"/>
      <c r="G14" s="44"/>
      <c r="H14" s="39"/>
      <c r="I14" s="42"/>
      <c r="O14" s="39" t="str">
        <f>IF(P14="Minimum",15," ")</f>
        <v xml:space="preserve"> </v>
      </c>
      <c r="P14" s="2" t="str">
        <f>IF(Q11+Q13=0," ",IF(Q11+Q13&lt;15,"Minimum"," "))</f>
        <v xml:space="preserve"> </v>
      </c>
    </row>
    <row r="15" spans="1:18">
      <c r="B15" s="28" t="s">
        <v>32</v>
      </c>
      <c r="O15" s="43"/>
    </row>
    <row r="16" spans="1:18" ht="15">
      <c r="C16" s="12" t="s">
        <v>33</v>
      </c>
      <c r="F16" s="41">
        <f>IF(J16=0," ",IF(J16&lt;300,SUM('Input (7)'!G7+'Input (7)'!G8)," "))</f>
        <v>101.65</v>
      </c>
      <c r="G16" s="44" t="s">
        <v>31</v>
      </c>
      <c r="H16" s="38">
        <f>IF(J16=0," ",'C (7)'!H22)</f>
        <v>7.62</v>
      </c>
      <c r="I16" s="42" t="s">
        <v>29</v>
      </c>
      <c r="J16" s="1222">
        <f>IF('Input (7)'!G9=0,0,IF(SUM('Input (7)'!G7-'C (7)'!H25)+SUM('Input (7)'!G8-'C (7)'!H26)&lt;300,IF(P7="ADD to 1-6",SUM('Input (7)'!G7-'C (7)'!H25)+SUM('Input (7)'!G8-'C (7)'!H26)+'Input (7)'!G4,SUM('Input (7)'!G7-'C (7)'!H25)+SUM('Input (7)'!G8-'C (7)'!H26)),0))</f>
        <v>94.03</v>
      </c>
      <c r="K16" s="1222"/>
      <c r="L16" s="40" t="s">
        <v>28</v>
      </c>
      <c r="M16" s="41">
        <f>IF(SUM('Input (7)'!$G$7-'C (7)'!$H$25)+SUM('Input (7)'!$G$8-'C (7)'!$H$26)&lt;299.99,LOOKUP(J16,'criteria (7)'!$M$3:$M$11,'criteria (7)'!$N$3:$N$11),0)</f>
        <v>16</v>
      </c>
      <c r="N16" s="42" t="s">
        <v>29</v>
      </c>
      <c r="O16" s="38">
        <f>IF(Q16=0,0,IF(Q16&lt;LOOKUP(J16,'criteria (7)'!$M$3:$M$10,'criteria (7)'!$O$3:$O$10),LOOKUP(J16,'criteria (7)'!$M$3:$M$10,'criteria (7)'!$O$3:$O$10),Q16))</f>
        <v>5.88</v>
      </c>
      <c r="P16" s="2" t="str">
        <f>IF(O16=0," ",IF(O16=Q16," ","Minimum"))</f>
        <v xml:space="preserve"> </v>
      </c>
      <c r="Q16" s="32">
        <f>ROUND(IF('Input (7)'!G9=0,0,IF(SUM('Input (7)'!$G$7-'C (7)'!$H$25)+SUM('Input (7)'!$G$8-'C (7)'!$H$26)&gt;299.99,0,(J16/M16))),2)</f>
        <v>5.88</v>
      </c>
    </row>
    <row r="17" spans="1:17" ht="6" customHeight="1">
      <c r="J17" s="43"/>
      <c r="K17" s="43"/>
      <c r="O17" s="43"/>
    </row>
    <row r="18" spans="1:17" ht="15">
      <c r="B18" s="5" t="s">
        <v>10</v>
      </c>
      <c r="F18" s="41">
        <f>IF(J18=0," ",'Input (7)'!G10)</f>
        <v>126.35</v>
      </c>
      <c r="G18" s="44" t="s">
        <v>31</v>
      </c>
      <c r="H18" s="38"/>
      <c r="I18" s="42" t="s">
        <v>29</v>
      </c>
      <c r="J18" s="1222">
        <f>IF('Input (7)'!G10=0,0,'Input (7)'!G10)</f>
        <v>126.35</v>
      </c>
      <c r="K18" s="1222"/>
      <c r="L18" s="40" t="s">
        <v>28</v>
      </c>
      <c r="M18" s="41">
        <f>IF(J18=0,0,IF(J18&gt;99.99,LOOKUP(J18,'criteria (7)'!Q3:Q10,'criteria (7)'!R3:R10),12))</f>
        <v>12</v>
      </c>
      <c r="N18" s="42" t="s">
        <v>29</v>
      </c>
      <c r="O18" s="38">
        <f>ROUND(IF(J18=0,0,IF(J18&lt;99.99,IF(M18=0,8,(J18/M18)),IF(Q18&lt;LOOKUP(J18,'criteria (7)'!$Q$3:$Q$10,'criteria (7)'!$S$3:$S$10),LOOKUP(J18,'criteria (7)'!$Q$3:$Q$10,'criteria (7)'!$S$3:$S$10),Q18))),2)</f>
        <v>10.53</v>
      </c>
      <c r="P18" s="2" t="str">
        <f>IF(O18=0," ",IF(O18=Q18," ","Minimum"))</f>
        <v xml:space="preserve"> </v>
      </c>
      <c r="Q18" s="32">
        <f>ROUND(IF(M18=0,0,(J18/M18)),2)</f>
        <v>10.53</v>
      </c>
    </row>
    <row r="19" spans="1:17">
      <c r="B19" s="5"/>
      <c r="J19" s="39"/>
      <c r="K19" s="39"/>
      <c r="M19" s="36"/>
      <c r="N19" s="42"/>
      <c r="O19" s="36"/>
    </row>
    <row r="20" spans="1:17" ht="15.6">
      <c r="A20" s="48" t="s">
        <v>43</v>
      </c>
      <c r="J20" s="43"/>
      <c r="K20" s="43"/>
    </row>
    <row r="21" spans="1:17" ht="3.75" customHeight="1">
      <c r="J21" s="43"/>
      <c r="K21" s="43"/>
    </row>
    <row r="22" spans="1:17">
      <c r="B22" s="2" t="s">
        <v>44</v>
      </c>
      <c r="J22" s="1222" t="str">
        <f>IF('C (7)'!H55=0," ",'C (7)'!H55)</f>
        <v xml:space="preserve"> </v>
      </c>
      <c r="K22" s="1222"/>
    </row>
    <row r="23" spans="1:17" ht="6" customHeight="1">
      <c r="J23" s="43"/>
      <c r="K23" s="43"/>
    </row>
    <row r="24" spans="1:17">
      <c r="B24" s="2" t="s">
        <v>45</v>
      </c>
      <c r="J24" s="1222">
        <f>IF('C (7)'!H22=0," ",'C (7)'!H22)</f>
        <v>7.62</v>
      </c>
      <c r="K24" s="1222"/>
    </row>
    <row r="25" spans="1:17" ht="6" customHeight="1">
      <c r="J25" s="43"/>
      <c r="K25" s="43"/>
    </row>
    <row r="26" spans="1:17">
      <c r="B26" s="2" t="s">
        <v>46</v>
      </c>
      <c r="J26" s="1222">
        <f>0</f>
        <v>0</v>
      </c>
      <c r="K26" s="1222"/>
    </row>
    <row r="27" spans="1:17" ht="6" customHeight="1">
      <c r="J27" s="43"/>
      <c r="K27" s="43"/>
    </row>
    <row r="28" spans="1:17" ht="6" customHeight="1">
      <c r="J28" s="39"/>
      <c r="K28" s="39"/>
    </row>
    <row r="29" spans="1:17" ht="13.5" customHeight="1" thickBot="1">
      <c r="B29" s="46" t="s">
        <v>47</v>
      </c>
      <c r="J29" s="1219">
        <f>SUM(J22:K27)</f>
        <v>7.62</v>
      </c>
      <c r="K29" s="1219"/>
      <c r="L29" s="40" t="s">
        <v>28</v>
      </c>
      <c r="M29" s="41">
        <f>IF(SUM('Input (7)'!C4:C10)=0,0,IF(J29&gt;=14,LOOKUP(J29,'criteria (7)'!$U$3:$U$10,'criteria (7)'!$V$3:$V$10),0))</f>
        <v>0</v>
      </c>
      <c r="N29" s="42" t="s">
        <v>29</v>
      </c>
      <c r="O29" s="38">
        <f>IF(J29=0,0,IF(Q29&lt;LOOKUP(J29,'criteria (7)'!$U$3:$U$10,'criteria (7)'!$W$3:$W$10),LOOKUP(J29,'criteria (7)'!$U$3:$U$10,'criteria (7)'!$W$3:$W$10),Q29))</f>
        <v>0.5</v>
      </c>
      <c r="P29" s="2" t="str">
        <f>IF(O29=0," ",IF(O29=Q29," ","Minimum"))</f>
        <v>Minimum</v>
      </c>
      <c r="Q29" s="32">
        <f>ROUND(IF(SUM('Input (7)'!C4:C10)=0,0,IF(M29=0,0,(J29/M29))),2)</f>
        <v>0</v>
      </c>
    </row>
    <row r="30" spans="1:17" ht="12" customHeight="1" thickTop="1">
      <c r="B30" s="1226"/>
      <c r="C30" s="1226"/>
      <c r="D30" s="1226"/>
      <c r="E30" s="1226"/>
      <c r="F30" s="47"/>
      <c r="G30" s="47"/>
      <c r="H30" s="47"/>
      <c r="J30" s="12"/>
      <c r="N30" s="42"/>
      <c r="O30" s="39"/>
      <c r="P30" s="46"/>
    </row>
    <row r="31" spans="1:17" ht="19.5" customHeight="1">
      <c r="A31" s="48" t="s">
        <v>39</v>
      </c>
      <c r="O31" s="43"/>
    </row>
    <row r="32" spans="1:17" ht="15">
      <c r="B32" s="1227" t="str">
        <f>IF('Input (7)'!E14=0," ","Alternative Secondary High School")</f>
        <v xml:space="preserve"> </v>
      </c>
      <c r="C32" s="1227"/>
      <c r="D32" s="1227"/>
      <c r="E32" s="1227"/>
      <c r="F32" s="1227"/>
      <c r="J32" s="1222">
        <f>'Input (7)'!G14</f>
        <v>0</v>
      </c>
      <c r="K32" s="1222"/>
      <c r="L32" s="40" t="s">
        <v>28</v>
      </c>
      <c r="M32" s="41">
        <f>IF(J32=0,0,IF(Q32&lt;1,M18,12))</f>
        <v>0</v>
      </c>
      <c r="N32" s="42" t="s">
        <v>29</v>
      </c>
      <c r="O32" s="38">
        <f>ROUND(IF(J32=0,0,J32/M32),2)</f>
        <v>0</v>
      </c>
      <c r="P32" s="45"/>
      <c r="Q32" s="32">
        <f>ROUND(IF(J32=0,0,J32/12),2)</f>
        <v>0</v>
      </c>
    </row>
    <row r="33" spans="1:17" ht="11.25" customHeight="1">
      <c r="J33" s="43"/>
      <c r="K33" s="43"/>
      <c r="O33" s="43"/>
    </row>
    <row r="34" spans="1:17" ht="11.25" customHeight="1">
      <c r="B34" s="1227" t="str">
        <f>IF('Input (7)'!E15=0," ","Summer Alternative Secondary High School")</f>
        <v xml:space="preserve"> </v>
      </c>
      <c r="C34" s="1227"/>
      <c r="D34" s="1227"/>
      <c r="E34" s="1227"/>
      <c r="F34" s="1227"/>
      <c r="J34" s="1222">
        <f>'Input (7)'!E15</f>
        <v>0</v>
      </c>
      <c r="K34" s="1222"/>
      <c r="L34" s="40" t="s">
        <v>28</v>
      </c>
      <c r="M34" s="41">
        <f>IF(J34=0,0,40)</f>
        <v>0</v>
      </c>
      <c r="N34" s="42" t="s">
        <v>29</v>
      </c>
      <c r="O34" s="38">
        <f>ROUND(IF(J34=0,0,J34/M34),2)</f>
        <v>0</v>
      </c>
      <c r="P34" s="45"/>
      <c r="Q34" s="32">
        <f>ROUND(IF(J34=0,0,J34/12),2)</f>
        <v>0</v>
      </c>
    </row>
    <row r="35" spans="1:17" ht="13.5" customHeight="1">
      <c r="J35" s="36"/>
      <c r="K35" s="36"/>
      <c r="L35" s="40"/>
      <c r="M35" s="36"/>
      <c r="N35" s="42"/>
      <c r="O35" s="36"/>
      <c r="P35" s="46"/>
    </row>
    <row r="36" spans="1:17" ht="18.75" customHeight="1" thickBot="1">
      <c r="A36" s="45"/>
      <c r="B36" s="12" t="s">
        <v>40</v>
      </c>
      <c r="C36" s="46"/>
      <c r="D36" s="46"/>
      <c r="E36" s="46"/>
      <c r="F36" s="46"/>
      <c r="G36" s="46"/>
      <c r="H36" s="46"/>
      <c r="I36" s="46"/>
      <c r="J36" s="46"/>
      <c r="K36" s="46"/>
      <c r="M36" s="36"/>
      <c r="O36" s="52">
        <f>ROUND(IF(SUM(O7:O34)=0,0,SUM(O7:O34)),2)</f>
        <v>17.510000000000002</v>
      </c>
    </row>
    <row r="37" spans="1:17" ht="13.8" thickTop="1">
      <c r="M37" s="1218" t="str">
        <f>IF(O36=0," ",IF(O36&lt;'Best 28 (7)'!O36,"Do Not Use","You May Use this Calculation"))</f>
        <v>You May Use this Calculation</v>
      </c>
      <c r="N37" s="1218"/>
      <c r="O37" s="1218"/>
      <c r="P37" s="1218"/>
    </row>
  </sheetData>
  <sheetProtection password="CDD6" sheet="1" objects="1" scenarios="1"/>
  <mergeCells count="19">
    <mergeCell ref="M37:P37"/>
    <mergeCell ref="J29:K29"/>
    <mergeCell ref="B30:E30"/>
    <mergeCell ref="B32:F32"/>
    <mergeCell ref="J32:K32"/>
    <mergeCell ref="B34:F34"/>
    <mergeCell ref="J34:K34"/>
    <mergeCell ref="J26:K26"/>
    <mergeCell ref="A1:O1"/>
    <mergeCell ref="A2:O2"/>
    <mergeCell ref="A3:O3"/>
    <mergeCell ref="J5:K5"/>
    <mergeCell ref="J7:K7"/>
    <mergeCell ref="J11:K11"/>
    <mergeCell ref="J13:K13"/>
    <mergeCell ref="J16:K16"/>
    <mergeCell ref="J18:K18"/>
    <mergeCell ref="J22:K22"/>
    <mergeCell ref="J24:K24"/>
  </mergeCells>
  <conditionalFormatting sqref="M37:P37">
    <cfRule type="cellIs" dxfId="8" priority="1" stopIfTrue="1" operator="equal">
      <formula>"Do Not Use"</formula>
    </cfRule>
    <cfRule type="cellIs" dxfId="7" priority="2" stopIfTrue="1" operator="equal">
      <formula>"You May Use this Calculation"</formula>
    </cfRule>
  </conditionalFormatting>
  <pageMargins left="0.5" right="0.5" top="0.5" bottom="0.5" header="0.25" footer="0.25"/>
  <pageSetup scale="76" orientation="portrait" r:id="rId1"/>
  <headerFooter alignWithMargins="0">
    <oddFooter>&amp;L&amp;F</oddFooter>
  </headerFooter>
  <colBreaks count="1" manualBreakCount="1">
    <brk id="16" max="1048575"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3"/>
  <dimension ref="A1:K57"/>
  <sheetViews>
    <sheetView showGridLines="0" zoomScaleNormal="100" workbookViewId="0">
      <selection activeCell="C4" sqref="C4"/>
    </sheetView>
  </sheetViews>
  <sheetFormatPr defaultRowHeight="13.2"/>
  <cols>
    <col min="1" max="1" width="6" style="30" customWidth="1"/>
    <col min="2" max="5" width="8.77734375" style="2"/>
    <col min="6" max="6" width="17.21875" style="2" customWidth="1"/>
    <col min="7" max="7" width="2.77734375" style="30" customWidth="1"/>
    <col min="8" max="9" width="8.77734375" style="2"/>
    <col min="10" max="10" width="6.5546875" style="2" customWidth="1"/>
    <col min="11" max="11" width="10.21875" style="2" customWidth="1"/>
    <col min="12" max="256" width="8.77734375" style="2"/>
    <col min="257" max="257" width="6" style="2" customWidth="1"/>
    <col min="258" max="261" width="8.77734375" style="2"/>
    <col min="262" max="262" width="17.21875" style="2" customWidth="1"/>
    <col min="263" max="263" width="2.77734375" style="2" customWidth="1"/>
    <col min="264" max="265" width="8.77734375" style="2"/>
    <col min="266" max="266" width="6.5546875" style="2" customWidth="1"/>
    <col min="267" max="267" width="10.21875" style="2" customWidth="1"/>
    <col min="268" max="512" width="8.77734375" style="2"/>
    <col min="513" max="513" width="6" style="2" customWidth="1"/>
    <col min="514" max="517" width="8.77734375" style="2"/>
    <col min="518" max="518" width="17.21875" style="2" customWidth="1"/>
    <col min="519" max="519" width="2.77734375" style="2" customWidth="1"/>
    <col min="520" max="521" width="8.77734375" style="2"/>
    <col min="522" max="522" width="6.5546875" style="2" customWidth="1"/>
    <col min="523" max="523" width="10.21875" style="2" customWidth="1"/>
    <col min="524" max="768" width="8.77734375" style="2"/>
    <col min="769" max="769" width="6" style="2" customWidth="1"/>
    <col min="770" max="773" width="8.77734375" style="2"/>
    <col min="774" max="774" width="17.21875" style="2" customWidth="1"/>
    <col min="775" max="775" width="2.77734375" style="2" customWidth="1"/>
    <col min="776" max="777" width="8.77734375" style="2"/>
    <col min="778" max="778" width="6.5546875" style="2" customWidth="1"/>
    <col min="779" max="779" width="10.21875" style="2" customWidth="1"/>
    <col min="780" max="1024" width="8.77734375" style="2"/>
    <col min="1025" max="1025" width="6" style="2" customWidth="1"/>
    <col min="1026" max="1029" width="8.77734375" style="2"/>
    <col min="1030" max="1030" width="17.21875" style="2" customWidth="1"/>
    <col min="1031" max="1031" width="2.77734375" style="2" customWidth="1"/>
    <col min="1032" max="1033" width="8.77734375" style="2"/>
    <col min="1034" max="1034" width="6.5546875" style="2" customWidth="1"/>
    <col min="1035" max="1035" width="10.21875" style="2" customWidth="1"/>
    <col min="1036" max="1280" width="8.77734375" style="2"/>
    <col min="1281" max="1281" width="6" style="2" customWidth="1"/>
    <col min="1282" max="1285" width="8.77734375" style="2"/>
    <col min="1286" max="1286" width="17.21875" style="2" customWidth="1"/>
    <col min="1287" max="1287" width="2.77734375" style="2" customWidth="1"/>
    <col min="1288" max="1289" width="8.77734375" style="2"/>
    <col min="1290" max="1290" width="6.5546875" style="2" customWidth="1"/>
    <col min="1291" max="1291" width="10.21875" style="2" customWidth="1"/>
    <col min="1292" max="1536" width="8.77734375" style="2"/>
    <col min="1537" max="1537" width="6" style="2" customWidth="1"/>
    <col min="1538" max="1541" width="8.77734375" style="2"/>
    <col min="1542" max="1542" width="17.21875" style="2" customWidth="1"/>
    <col min="1543" max="1543" width="2.77734375" style="2" customWidth="1"/>
    <col min="1544" max="1545" width="8.77734375" style="2"/>
    <col min="1546" max="1546" width="6.5546875" style="2" customWidth="1"/>
    <col min="1547" max="1547" width="10.21875" style="2" customWidth="1"/>
    <col min="1548" max="1792" width="8.77734375" style="2"/>
    <col min="1793" max="1793" width="6" style="2" customWidth="1"/>
    <col min="1794" max="1797" width="8.77734375" style="2"/>
    <col min="1798" max="1798" width="17.21875" style="2" customWidth="1"/>
    <col min="1799" max="1799" width="2.77734375" style="2" customWidth="1"/>
    <col min="1800" max="1801" width="8.77734375" style="2"/>
    <col min="1802" max="1802" width="6.5546875" style="2" customWidth="1"/>
    <col min="1803" max="1803" width="10.21875" style="2" customWidth="1"/>
    <col min="1804" max="2048" width="8.77734375" style="2"/>
    <col min="2049" max="2049" width="6" style="2" customWidth="1"/>
    <col min="2050" max="2053" width="8.77734375" style="2"/>
    <col min="2054" max="2054" width="17.21875" style="2" customWidth="1"/>
    <col min="2055" max="2055" width="2.77734375" style="2" customWidth="1"/>
    <col min="2056" max="2057" width="8.77734375" style="2"/>
    <col min="2058" max="2058" width="6.5546875" style="2" customWidth="1"/>
    <col min="2059" max="2059" width="10.21875" style="2" customWidth="1"/>
    <col min="2060" max="2304" width="8.77734375" style="2"/>
    <col min="2305" max="2305" width="6" style="2" customWidth="1"/>
    <col min="2306" max="2309" width="8.77734375" style="2"/>
    <col min="2310" max="2310" width="17.21875" style="2" customWidth="1"/>
    <col min="2311" max="2311" width="2.77734375" style="2" customWidth="1"/>
    <col min="2312" max="2313" width="8.77734375" style="2"/>
    <col min="2314" max="2314" width="6.5546875" style="2" customWidth="1"/>
    <col min="2315" max="2315" width="10.21875" style="2" customWidth="1"/>
    <col min="2316" max="2560" width="8.77734375" style="2"/>
    <col min="2561" max="2561" width="6" style="2" customWidth="1"/>
    <col min="2562" max="2565" width="8.77734375" style="2"/>
    <col min="2566" max="2566" width="17.21875" style="2" customWidth="1"/>
    <col min="2567" max="2567" width="2.77734375" style="2" customWidth="1"/>
    <col min="2568" max="2569" width="8.77734375" style="2"/>
    <col min="2570" max="2570" width="6.5546875" style="2" customWidth="1"/>
    <col min="2571" max="2571" width="10.21875" style="2" customWidth="1"/>
    <col min="2572" max="2816" width="8.77734375" style="2"/>
    <col min="2817" max="2817" width="6" style="2" customWidth="1"/>
    <col min="2818" max="2821" width="8.77734375" style="2"/>
    <col min="2822" max="2822" width="17.21875" style="2" customWidth="1"/>
    <col min="2823" max="2823" width="2.77734375" style="2" customWidth="1"/>
    <col min="2824" max="2825" width="8.77734375" style="2"/>
    <col min="2826" max="2826" width="6.5546875" style="2" customWidth="1"/>
    <col min="2827" max="2827" width="10.21875" style="2" customWidth="1"/>
    <col min="2828" max="3072" width="8.77734375" style="2"/>
    <col min="3073" max="3073" width="6" style="2" customWidth="1"/>
    <col min="3074" max="3077" width="8.77734375" style="2"/>
    <col min="3078" max="3078" width="17.21875" style="2" customWidth="1"/>
    <col min="3079" max="3079" width="2.77734375" style="2" customWidth="1"/>
    <col min="3080" max="3081" width="8.77734375" style="2"/>
    <col min="3082" max="3082" width="6.5546875" style="2" customWidth="1"/>
    <col min="3083" max="3083" width="10.21875" style="2" customWidth="1"/>
    <col min="3084" max="3328" width="8.77734375" style="2"/>
    <col min="3329" max="3329" width="6" style="2" customWidth="1"/>
    <col min="3330" max="3333" width="8.77734375" style="2"/>
    <col min="3334" max="3334" width="17.21875" style="2" customWidth="1"/>
    <col min="3335" max="3335" width="2.77734375" style="2" customWidth="1"/>
    <col min="3336" max="3337" width="8.77734375" style="2"/>
    <col min="3338" max="3338" width="6.5546875" style="2" customWidth="1"/>
    <col min="3339" max="3339" width="10.21875" style="2" customWidth="1"/>
    <col min="3340" max="3584" width="8.77734375" style="2"/>
    <col min="3585" max="3585" width="6" style="2" customWidth="1"/>
    <col min="3586" max="3589" width="8.77734375" style="2"/>
    <col min="3590" max="3590" width="17.21875" style="2" customWidth="1"/>
    <col min="3591" max="3591" width="2.77734375" style="2" customWidth="1"/>
    <col min="3592" max="3593" width="8.77734375" style="2"/>
    <col min="3594" max="3594" width="6.5546875" style="2" customWidth="1"/>
    <col min="3595" max="3595" width="10.21875" style="2" customWidth="1"/>
    <col min="3596" max="3840" width="8.77734375" style="2"/>
    <col min="3841" max="3841" width="6" style="2" customWidth="1"/>
    <col min="3842" max="3845" width="8.77734375" style="2"/>
    <col min="3846" max="3846" width="17.21875" style="2" customWidth="1"/>
    <col min="3847" max="3847" width="2.77734375" style="2" customWidth="1"/>
    <col min="3848" max="3849" width="8.77734375" style="2"/>
    <col min="3850" max="3850" width="6.5546875" style="2" customWidth="1"/>
    <col min="3851" max="3851" width="10.21875" style="2" customWidth="1"/>
    <col min="3852" max="4096" width="8.77734375" style="2"/>
    <col min="4097" max="4097" width="6" style="2" customWidth="1"/>
    <col min="4098" max="4101" width="8.77734375" style="2"/>
    <col min="4102" max="4102" width="17.21875" style="2" customWidth="1"/>
    <col min="4103" max="4103" width="2.77734375" style="2" customWidth="1"/>
    <col min="4104" max="4105" width="8.77734375" style="2"/>
    <col min="4106" max="4106" width="6.5546875" style="2" customWidth="1"/>
    <col min="4107" max="4107" width="10.21875" style="2" customWidth="1"/>
    <col min="4108" max="4352" width="8.77734375" style="2"/>
    <col min="4353" max="4353" width="6" style="2" customWidth="1"/>
    <col min="4354" max="4357" width="8.77734375" style="2"/>
    <col min="4358" max="4358" width="17.21875" style="2" customWidth="1"/>
    <col min="4359" max="4359" width="2.77734375" style="2" customWidth="1"/>
    <col min="4360" max="4361" width="8.77734375" style="2"/>
    <col min="4362" max="4362" width="6.5546875" style="2" customWidth="1"/>
    <col min="4363" max="4363" width="10.21875" style="2" customWidth="1"/>
    <col min="4364" max="4608" width="8.77734375" style="2"/>
    <col min="4609" max="4609" width="6" style="2" customWidth="1"/>
    <col min="4610" max="4613" width="8.77734375" style="2"/>
    <col min="4614" max="4614" width="17.21875" style="2" customWidth="1"/>
    <col min="4615" max="4615" width="2.77734375" style="2" customWidth="1"/>
    <col min="4616" max="4617" width="8.77734375" style="2"/>
    <col min="4618" max="4618" width="6.5546875" style="2" customWidth="1"/>
    <col min="4619" max="4619" width="10.21875" style="2" customWidth="1"/>
    <col min="4620" max="4864" width="8.77734375" style="2"/>
    <col min="4865" max="4865" width="6" style="2" customWidth="1"/>
    <col min="4866" max="4869" width="8.77734375" style="2"/>
    <col min="4870" max="4870" width="17.21875" style="2" customWidth="1"/>
    <col min="4871" max="4871" width="2.77734375" style="2" customWidth="1"/>
    <col min="4872" max="4873" width="8.77734375" style="2"/>
    <col min="4874" max="4874" width="6.5546875" style="2" customWidth="1"/>
    <col min="4875" max="4875" width="10.21875" style="2" customWidth="1"/>
    <col min="4876" max="5120" width="8.77734375" style="2"/>
    <col min="5121" max="5121" width="6" style="2" customWidth="1"/>
    <col min="5122" max="5125" width="8.77734375" style="2"/>
    <col min="5126" max="5126" width="17.21875" style="2" customWidth="1"/>
    <col min="5127" max="5127" width="2.77734375" style="2" customWidth="1"/>
    <col min="5128" max="5129" width="8.77734375" style="2"/>
    <col min="5130" max="5130" width="6.5546875" style="2" customWidth="1"/>
    <col min="5131" max="5131" width="10.21875" style="2" customWidth="1"/>
    <col min="5132" max="5376" width="8.77734375" style="2"/>
    <col min="5377" max="5377" width="6" style="2" customWidth="1"/>
    <col min="5378" max="5381" width="8.77734375" style="2"/>
    <col min="5382" max="5382" width="17.21875" style="2" customWidth="1"/>
    <col min="5383" max="5383" width="2.77734375" style="2" customWidth="1"/>
    <col min="5384" max="5385" width="8.77734375" style="2"/>
    <col min="5386" max="5386" width="6.5546875" style="2" customWidth="1"/>
    <col min="5387" max="5387" width="10.21875" style="2" customWidth="1"/>
    <col min="5388" max="5632" width="8.77734375" style="2"/>
    <col min="5633" max="5633" width="6" style="2" customWidth="1"/>
    <col min="5634" max="5637" width="8.77734375" style="2"/>
    <col min="5638" max="5638" width="17.21875" style="2" customWidth="1"/>
    <col min="5639" max="5639" width="2.77734375" style="2" customWidth="1"/>
    <col min="5640" max="5641" width="8.77734375" style="2"/>
    <col min="5642" max="5642" width="6.5546875" style="2" customWidth="1"/>
    <col min="5643" max="5643" width="10.21875" style="2" customWidth="1"/>
    <col min="5644" max="5888" width="8.77734375" style="2"/>
    <col min="5889" max="5889" width="6" style="2" customWidth="1"/>
    <col min="5890" max="5893" width="8.77734375" style="2"/>
    <col min="5894" max="5894" width="17.21875" style="2" customWidth="1"/>
    <col min="5895" max="5895" width="2.77734375" style="2" customWidth="1"/>
    <col min="5896" max="5897" width="8.77734375" style="2"/>
    <col min="5898" max="5898" width="6.5546875" style="2" customWidth="1"/>
    <col min="5899" max="5899" width="10.21875" style="2" customWidth="1"/>
    <col min="5900" max="6144" width="8.77734375" style="2"/>
    <col min="6145" max="6145" width="6" style="2" customWidth="1"/>
    <col min="6146" max="6149" width="8.77734375" style="2"/>
    <col min="6150" max="6150" width="17.21875" style="2" customWidth="1"/>
    <col min="6151" max="6151" width="2.77734375" style="2" customWidth="1"/>
    <col min="6152" max="6153" width="8.77734375" style="2"/>
    <col min="6154" max="6154" width="6.5546875" style="2" customWidth="1"/>
    <col min="6155" max="6155" width="10.21875" style="2" customWidth="1"/>
    <col min="6156" max="6400" width="8.77734375" style="2"/>
    <col min="6401" max="6401" width="6" style="2" customWidth="1"/>
    <col min="6402" max="6405" width="8.77734375" style="2"/>
    <col min="6406" max="6406" width="17.21875" style="2" customWidth="1"/>
    <col min="6407" max="6407" width="2.77734375" style="2" customWidth="1"/>
    <col min="6408" max="6409" width="8.77734375" style="2"/>
    <col min="6410" max="6410" width="6.5546875" style="2" customWidth="1"/>
    <col min="6411" max="6411" width="10.21875" style="2" customWidth="1"/>
    <col min="6412" max="6656" width="8.77734375" style="2"/>
    <col min="6657" max="6657" width="6" style="2" customWidth="1"/>
    <col min="6658" max="6661" width="8.77734375" style="2"/>
    <col min="6662" max="6662" width="17.21875" style="2" customWidth="1"/>
    <col min="6663" max="6663" width="2.77734375" style="2" customWidth="1"/>
    <col min="6664" max="6665" width="8.77734375" style="2"/>
    <col min="6666" max="6666" width="6.5546875" style="2" customWidth="1"/>
    <col min="6667" max="6667" width="10.21875" style="2" customWidth="1"/>
    <col min="6668" max="6912" width="8.77734375" style="2"/>
    <col min="6913" max="6913" width="6" style="2" customWidth="1"/>
    <col min="6914" max="6917" width="8.77734375" style="2"/>
    <col min="6918" max="6918" width="17.21875" style="2" customWidth="1"/>
    <col min="6919" max="6919" width="2.77734375" style="2" customWidth="1"/>
    <col min="6920" max="6921" width="8.77734375" style="2"/>
    <col min="6922" max="6922" width="6.5546875" style="2" customWidth="1"/>
    <col min="6923" max="6923" width="10.21875" style="2" customWidth="1"/>
    <col min="6924" max="7168" width="8.77734375" style="2"/>
    <col min="7169" max="7169" width="6" style="2" customWidth="1"/>
    <col min="7170" max="7173" width="8.77734375" style="2"/>
    <col min="7174" max="7174" width="17.21875" style="2" customWidth="1"/>
    <col min="7175" max="7175" width="2.77734375" style="2" customWidth="1"/>
    <col min="7176" max="7177" width="8.77734375" style="2"/>
    <col min="7178" max="7178" width="6.5546875" style="2" customWidth="1"/>
    <col min="7179" max="7179" width="10.21875" style="2" customWidth="1"/>
    <col min="7180" max="7424" width="8.77734375" style="2"/>
    <col min="7425" max="7425" width="6" style="2" customWidth="1"/>
    <col min="7426" max="7429" width="8.77734375" style="2"/>
    <col min="7430" max="7430" width="17.21875" style="2" customWidth="1"/>
    <col min="7431" max="7431" width="2.77734375" style="2" customWidth="1"/>
    <col min="7432" max="7433" width="8.77734375" style="2"/>
    <col min="7434" max="7434" width="6.5546875" style="2" customWidth="1"/>
    <col min="7435" max="7435" width="10.21875" style="2" customWidth="1"/>
    <col min="7436" max="7680" width="8.77734375" style="2"/>
    <col min="7681" max="7681" width="6" style="2" customWidth="1"/>
    <col min="7682" max="7685" width="8.77734375" style="2"/>
    <col min="7686" max="7686" width="17.21875" style="2" customWidth="1"/>
    <col min="7687" max="7687" width="2.77734375" style="2" customWidth="1"/>
    <col min="7688" max="7689" width="8.77734375" style="2"/>
    <col min="7690" max="7690" width="6.5546875" style="2" customWidth="1"/>
    <col min="7691" max="7691" width="10.21875" style="2" customWidth="1"/>
    <col min="7692" max="7936" width="8.77734375" style="2"/>
    <col min="7937" max="7937" width="6" style="2" customWidth="1"/>
    <col min="7938" max="7941" width="8.77734375" style="2"/>
    <col min="7942" max="7942" width="17.21875" style="2" customWidth="1"/>
    <col min="7943" max="7943" width="2.77734375" style="2" customWidth="1"/>
    <col min="7944" max="7945" width="8.77734375" style="2"/>
    <col min="7946" max="7946" width="6.5546875" style="2" customWidth="1"/>
    <col min="7947" max="7947" width="10.21875" style="2" customWidth="1"/>
    <col min="7948" max="8192" width="8.77734375" style="2"/>
    <col min="8193" max="8193" width="6" style="2" customWidth="1"/>
    <col min="8194" max="8197" width="8.77734375" style="2"/>
    <col min="8198" max="8198" width="17.21875" style="2" customWidth="1"/>
    <col min="8199" max="8199" width="2.77734375" style="2" customWidth="1"/>
    <col min="8200" max="8201" width="8.77734375" style="2"/>
    <col min="8202" max="8202" width="6.5546875" style="2" customWidth="1"/>
    <col min="8203" max="8203" width="10.21875" style="2" customWidth="1"/>
    <col min="8204" max="8448" width="8.77734375" style="2"/>
    <col min="8449" max="8449" width="6" style="2" customWidth="1"/>
    <col min="8450" max="8453" width="8.77734375" style="2"/>
    <col min="8454" max="8454" width="17.21875" style="2" customWidth="1"/>
    <col min="8455" max="8455" width="2.77734375" style="2" customWidth="1"/>
    <col min="8456" max="8457" width="8.77734375" style="2"/>
    <col min="8458" max="8458" width="6.5546875" style="2" customWidth="1"/>
    <col min="8459" max="8459" width="10.21875" style="2" customWidth="1"/>
    <col min="8460" max="8704" width="8.77734375" style="2"/>
    <col min="8705" max="8705" width="6" style="2" customWidth="1"/>
    <col min="8706" max="8709" width="8.77734375" style="2"/>
    <col min="8710" max="8710" width="17.21875" style="2" customWidth="1"/>
    <col min="8711" max="8711" width="2.77734375" style="2" customWidth="1"/>
    <col min="8712" max="8713" width="8.77734375" style="2"/>
    <col min="8714" max="8714" width="6.5546875" style="2" customWidth="1"/>
    <col min="8715" max="8715" width="10.21875" style="2" customWidth="1"/>
    <col min="8716" max="8960" width="8.77734375" style="2"/>
    <col min="8961" max="8961" width="6" style="2" customWidth="1"/>
    <col min="8962" max="8965" width="8.77734375" style="2"/>
    <col min="8966" max="8966" width="17.21875" style="2" customWidth="1"/>
    <col min="8967" max="8967" width="2.77734375" style="2" customWidth="1"/>
    <col min="8968" max="8969" width="8.77734375" style="2"/>
    <col min="8970" max="8970" width="6.5546875" style="2" customWidth="1"/>
    <col min="8971" max="8971" width="10.21875" style="2" customWidth="1"/>
    <col min="8972" max="9216" width="8.77734375" style="2"/>
    <col min="9217" max="9217" width="6" style="2" customWidth="1"/>
    <col min="9218" max="9221" width="8.77734375" style="2"/>
    <col min="9222" max="9222" width="17.21875" style="2" customWidth="1"/>
    <col min="9223" max="9223" width="2.77734375" style="2" customWidth="1"/>
    <col min="9224" max="9225" width="8.77734375" style="2"/>
    <col min="9226" max="9226" width="6.5546875" style="2" customWidth="1"/>
    <col min="9227" max="9227" width="10.21875" style="2" customWidth="1"/>
    <col min="9228" max="9472" width="8.77734375" style="2"/>
    <col min="9473" max="9473" width="6" style="2" customWidth="1"/>
    <col min="9474" max="9477" width="8.77734375" style="2"/>
    <col min="9478" max="9478" width="17.21875" style="2" customWidth="1"/>
    <col min="9479" max="9479" width="2.77734375" style="2" customWidth="1"/>
    <col min="9480" max="9481" width="8.77734375" style="2"/>
    <col min="9482" max="9482" width="6.5546875" style="2" customWidth="1"/>
    <col min="9483" max="9483" width="10.21875" style="2" customWidth="1"/>
    <col min="9484" max="9728" width="8.77734375" style="2"/>
    <col min="9729" max="9729" width="6" style="2" customWidth="1"/>
    <col min="9730" max="9733" width="8.77734375" style="2"/>
    <col min="9734" max="9734" width="17.21875" style="2" customWidth="1"/>
    <col min="9735" max="9735" width="2.77734375" style="2" customWidth="1"/>
    <col min="9736" max="9737" width="8.77734375" style="2"/>
    <col min="9738" max="9738" width="6.5546875" style="2" customWidth="1"/>
    <col min="9739" max="9739" width="10.21875" style="2" customWidth="1"/>
    <col min="9740" max="9984" width="8.77734375" style="2"/>
    <col min="9985" max="9985" width="6" style="2" customWidth="1"/>
    <col min="9986" max="9989" width="8.77734375" style="2"/>
    <col min="9990" max="9990" width="17.21875" style="2" customWidth="1"/>
    <col min="9991" max="9991" width="2.77734375" style="2" customWidth="1"/>
    <col min="9992" max="9993" width="8.77734375" style="2"/>
    <col min="9994" max="9994" width="6.5546875" style="2" customWidth="1"/>
    <col min="9995" max="9995" width="10.21875" style="2" customWidth="1"/>
    <col min="9996" max="10240" width="8.77734375" style="2"/>
    <col min="10241" max="10241" width="6" style="2" customWidth="1"/>
    <col min="10242" max="10245" width="8.77734375" style="2"/>
    <col min="10246" max="10246" width="17.21875" style="2" customWidth="1"/>
    <col min="10247" max="10247" width="2.77734375" style="2" customWidth="1"/>
    <col min="10248" max="10249" width="8.77734375" style="2"/>
    <col min="10250" max="10250" width="6.5546875" style="2" customWidth="1"/>
    <col min="10251" max="10251" width="10.21875" style="2" customWidth="1"/>
    <col min="10252" max="10496" width="8.77734375" style="2"/>
    <col min="10497" max="10497" width="6" style="2" customWidth="1"/>
    <col min="10498" max="10501" width="8.77734375" style="2"/>
    <col min="10502" max="10502" width="17.21875" style="2" customWidth="1"/>
    <col min="10503" max="10503" width="2.77734375" style="2" customWidth="1"/>
    <col min="10504" max="10505" width="8.77734375" style="2"/>
    <col min="10506" max="10506" width="6.5546875" style="2" customWidth="1"/>
    <col min="10507" max="10507" width="10.21875" style="2" customWidth="1"/>
    <col min="10508" max="10752" width="8.77734375" style="2"/>
    <col min="10753" max="10753" width="6" style="2" customWidth="1"/>
    <col min="10754" max="10757" width="8.77734375" style="2"/>
    <col min="10758" max="10758" width="17.21875" style="2" customWidth="1"/>
    <col min="10759" max="10759" width="2.77734375" style="2" customWidth="1"/>
    <col min="10760" max="10761" width="8.77734375" style="2"/>
    <col min="10762" max="10762" width="6.5546875" style="2" customWidth="1"/>
    <col min="10763" max="10763" width="10.21875" style="2" customWidth="1"/>
    <col min="10764" max="11008" width="8.77734375" style="2"/>
    <col min="11009" max="11009" width="6" style="2" customWidth="1"/>
    <col min="11010" max="11013" width="8.77734375" style="2"/>
    <col min="11014" max="11014" width="17.21875" style="2" customWidth="1"/>
    <col min="11015" max="11015" width="2.77734375" style="2" customWidth="1"/>
    <col min="11016" max="11017" width="8.77734375" style="2"/>
    <col min="11018" max="11018" width="6.5546875" style="2" customWidth="1"/>
    <col min="11019" max="11019" width="10.21875" style="2" customWidth="1"/>
    <col min="11020" max="11264" width="8.77734375" style="2"/>
    <col min="11265" max="11265" width="6" style="2" customWidth="1"/>
    <col min="11266" max="11269" width="8.77734375" style="2"/>
    <col min="11270" max="11270" width="17.21875" style="2" customWidth="1"/>
    <col min="11271" max="11271" width="2.77734375" style="2" customWidth="1"/>
    <col min="11272" max="11273" width="8.77734375" style="2"/>
    <col min="11274" max="11274" width="6.5546875" style="2" customWidth="1"/>
    <col min="11275" max="11275" width="10.21875" style="2" customWidth="1"/>
    <col min="11276" max="11520" width="8.77734375" style="2"/>
    <col min="11521" max="11521" width="6" style="2" customWidth="1"/>
    <col min="11522" max="11525" width="8.77734375" style="2"/>
    <col min="11526" max="11526" width="17.21875" style="2" customWidth="1"/>
    <col min="11527" max="11527" width="2.77734375" style="2" customWidth="1"/>
    <col min="11528" max="11529" width="8.77734375" style="2"/>
    <col min="11530" max="11530" width="6.5546875" style="2" customWidth="1"/>
    <col min="11531" max="11531" width="10.21875" style="2" customWidth="1"/>
    <col min="11532" max="11776" width="8.77734375" style="2"/>
    <col min="11777" max="11777" width="6" style="2" customWidth="1"/>
    <col min="11778" max="11781" width="8.77734375" style="2"/>
    <col min="11782" max="11782" width="17.21875" style="2" customWidth="1"/>
    <col min="11783" max="11783" width="2.77734375" style="2" customWidth="1"/>
    <col min="11784" max="11785" width="8.77734375" style="2"/>
    <col min="11786" max="11786" width="6.5546875" style="2" customWidth="1"/>
    <col min="11787" max="11787" width="10.21875" style="2" customWidth="1"/>
    <col min="11788" max="12032" width="8.77734375" style="2"/>
    <col min="12033" max="12033" width="6" style="2" customWidth="1"/>
    <col min="12034" max="12037" width="8.77734375" style="2"/>
    <col min="12038" max="12038" width="17.21875" style="2" customWidth="1"/>
    <col min="12039" max="12039" width="2.77734375" style="2" customWidth="1"/>
    <col min="12040" max="12041" width="8.77734375" style="2"/>
    <col min="12042" max="12042" width="6.5546875" style="2" customWidth="1"/>
    <col min="12043" max="12043" width="10.21875" style="2" customWidth="1"/>
    <col min="12044" max="12288" width="8.77734375" style="2"/>
    <col min="12289" max="12289" width="6" style="2" customWidth="1"/>
    <col min="12290" max="12293" width="8.77734375" style="2"/>
    <col min="12294" max="12294" width="17.21875" style="2" customWidth="1"/>
    <col min="12295" max="12295" width="2.77734375" style="2" customWidth="1"/>
    <col min="12296" max="12297" width="8.77734375" style="2"/>
    <col min="12298" max="12298" width="6.5546875" style="2" customWidth="1"/>
    <col min="12299" max="12299" width="10.21875" style="2" customWidth="1"/>
    <col min="12300" max="12544" width="8.77734375" style="2"/>
    <col min="12545" max="12545" width="6" style="2" customWidth="1"/>
    <col min="12546" max="12549" width="8.77734375" style="2"/>
    <col min="12550" max="12550" width="17.21875" style="2" customWidth="1"/>
    <col min="12551" max="12551" width="2.77734375" style="2" customWidth="1"/>
    <col min="12552" max="12553" width="8.77734375" style="2"/>
    <col min="12554" max="12554" width="6.5546875" style="2" customWidth="1"/>
    <col min="12555" max="12555" width="10.21875" style="2" customWidth="1"/>
    <col min="12556" max="12800" width="8.77734375" style="2"/>
    <col min="12801" max="12801" width="6" style="2" customWidth="1"/>
    <col min="12802" max="12805" width="8.77734375" style="2"/>
    <col min="12806" max="12806" width="17.21875" style="2" customWidth="1"/>
    <col min="12807" max="12807" width="2.77734375" style="2" customWidth="1"/>
    <col min="12808" max="12809" width="8.77734375" style="2"/>
    <col min="12810" max="12810" width="6.5546875" style="2" customWidth="1"/>
    <col min="12811" max="12811" width="10.21875" style="2" customWidth="1"/>
    <col min="12812" max="13056" width="8.77734375" style="2"/>
    <col min="13057" max="13057" width="6" style="2" customWidth="1"/>
    <col min="13058" max="13061" width="8.77734375" style="2"/>
    <col min="13062" max="13062" width="17.21875" style="2" customWidth="1"/>
    <col min="13063" max="13063" width="2.77734375" style="2" customWidth="1"/>
    <col min="13064" max="13065" width="8.77734375" style="2"/>
    <col min="13066" max="13066" width="6.5546875" style="2" customWidth="1"/>
    <col min="13067" max="13067" width="10.21875" style="2" customWidth="1"/>
    <col min="13068" max="13312" width="8.77734375" style="2"/>
    <col min="13313" max="13313" width="6" style="2" customWidth="1"/>
    <col min="13314" max="13317" width="8.77734375" style="2"/>
    <col min="13318" max="13318" width="17.21875" style="2" customWidth="1"/>
    <col min="13319" max="13319" width="2.77734375" style="2" customWidth="1"/>
    <col min="13320" max="13321" width="8.77734375" style="2"/>
    <col min="13322" max="13322" width="6.5546875" style="2" customWidth="1"/>
    <col min="13323" max="13323" width="10.21875" style="2" customWidth="1"/>
    <col min="13324" max="13568" width="8.77734375" style="2"/>
    <col min="13569" max="13569" width="6" style="2" customWidth="1"/>
    <col min="13570" max="13573" width="8.77734375" style="2"/>
    <col min="13574" max="13574" width="17.21875" style="2" customWidth="1"/>
    <col min="13575" max="13575" width="2.77734375" style="2" customWidth="1"/>
    <col min="13576" max="13577" width="8.77734375" style="2"/>
    <col min="13578" max="13578" width="6.5546875" style="2" customWidth="1"/>
    <col min="13579" max="13579" width="10.21875" style="2" customWidth="1"/>
    <col min="13580" max="13824" width="8.77734375" style="2"/>
    <col min="13825" max="13825" width="6" style="2" customWidth="1"/>
    <col min="13826" max="13829" width="8.77734375" style="2"/>
    <col min="13830" max="13830" width="17.21875" style="2" customWidth="1"/>
    <col min="13831" max="13831" width="2.77734375" style="2" customWidth="1"/>
    <col min="13832" max="13833" width="8.77734375" style="2"/>
    <col min="13834" max="13834" width="6.5546875" style="2" customWidth="1"/>
    <col min="13835" max="13835" width="10.21875" style="2" customWidth="1"/>
    <col min="13836" max="14080" width="8.77734375" style="2"/>
    <col min="14081" max="14081" width="6" style="2" customWidth="1"/>
    <col min="14082" max="14085" width="8.77734375" style="2"/>
    <col min="14086" max="14086" width="17.21875" style="2" customWidth="1"/>
    <col min="14087" max="14087" width="2.77734375" style="2" customWidth="1"/>
    <col min="14088" max="14089" width="8.77734375" style="2"/>
    <col min="14090" max="14090" width="6.5546875" style="2" customWidth="1"/>
    <col min="14091" max="14091" width="10.21875" style="2" customWidth="1"/>
    <col min="14092" max="14336" width="8.77734375" style="2"/>
    <col min="14337" max="14337" width="6" style="2" customWidth="1"/>
    <col min="14338" max="14341" width="8.77734375" style="2"/>
    <col min="14342" max="14342" width="17.21875" style="2" customWidth="1"/>
    <col min="14343" max="14343" width="2.77734375" style="2" customWidth="1"/>
    <col min="14344" max="14345" width="8.77734375" style="2"/>
    <col min="14346" max="14346" width="6.5546875" style="2" customWidth="1"/>
    <col min="14347" max="14347" width="10.21875" style="2" customWidth="1"/>
    <col min="14348" max="14592" width="8.77734375" style="2"/>
    <col min="14593" max="14593" width="6" style="2" customWidth="1"/>
    <col min="14594" max="14597" width="8.77734375" style="2"/>
    <col min="14598" max="14598" width="17.21875" style="2" customWidth="1"/>
    <col min="14599" max="14599" width="2.77734375" style="2" customWidth="1"/>
    <col min="14600" max="14601" width="8.77734375" style="2"/>
    <col min="14602" max="14602" width="6.5546875" style="2" customWidth="1"/>
    <col min="14603" max="14603" width="10.21875" style="2" customWidth="1"/>
    <col min="14604" max="14848" width="8.77734375" style="2"/>
    <col min="14849" max="14849" width="6" style="2" customWidth="1"/>
    <col min="14850" max="14853" width="8.77734375" style="2"/>
    <col min="14854" max="14854" width="17.21875" style="2" customWidth="1"/>
    <col min="14855" max="14855" width="2.77734375" style="2" customWidth="1"/>
    <col min="14856" max="14857" width="8.77734375" style="2"/>
    <col min="14858" max="14858" width="6.5546875" style="2" customWidth="1"/>
    <col min="14859" max="14859" width="10.21875" style="2" customWidth="1"/>
    <col min="14860" max="15104" width="8.77734375" style="2"/>
    <col min="15105" max="15105" width="6" style="2" customWidth="1"/>
    <col min="15106" max="15109" width="8.77734375" style="2"/>
    <col min="15110" max="15110" width="17.21875" style="2" customWidth="1"/>
    <col min="15111" max="15111" width="2.77734375" style="2" customWidth="1"/>
    <col min="15112" max="15113" width="8.77734375" style="2"/>
    <col min="15114" max="15114" width="6.5546875" style="2" customWidth="1"/>
    <col min="15115" max="15115" width="10.21875" style="2" customWidth="1"/>
    <col min="15116" max="15360" width="8.77734375" style="2"/>
    <col min="15361" max="15361" width="6" style="2" customWidth="1"/>
    <col min="15362" max="15365" width="8.77734375" style="2"/>
    <col min="15366" max="15366" width="17.21875" style="2" customWidth="1"/>
    <col min="15367" max="15367" width="2.77734375" style="2" customWidth="1"/>
    <col min="15368" max="15369" width="8.77734375" style="2"/>
    <col min="15370" max="15370" width="6.5546875" style="2" customWidth="1"/>
    <col min="15371" max="15371" width="10.21875" style="2" customWidth="1"/>
    <col min="15372" max="15616" width="8.77734375" style="2"/>
    <col min="15617" max="15617" width="6" style="2" customWidth="1"/>
    <col min="15618" max="15621" width="8.77734375" style="2"/>
    <col min="15622" max="15622" width="17.21875" style="2" customWidth="1"/>
    <col min="15623" max="15623" width="2.77734375" style="2" customWidth="1"/>
    <col min="15624" max="15625" width="8.77734375" style="2"/>
    <col min="15626" max="15626" width="6.5546875" style="2" customWidth="1"/>
    <col min="15627" max="15627" width="10.21875" style="2" customWidth="1"/>
    <col min="15628" max="15872" width="8.77734375" style="2"/>
    <col min="15873" max="15873" width="6" style="2" customWidth="1"/>
    <col min="15874" max="15877" width="8.77734375" style="2"/>
    <col min="15878" max="15878" width="17.21875" style="2" customWidth="1"/>
    <col min="15879" max="15879" width="2.77734375" style="2" customWidth="1"/>
    <col min="15880" max="15881" width="8.77734375" style="2"/>
    <col min="15882" max="15882" width="6.5546875" style="2" customWidth="1"/>
    <col min="15883" max="15883" width="10.21875" style="2" customWidth="1"/>
    <col min="15884" max="16128" width="8.77734375" style="2"/>
    <col min="16129" max="16129" width="6" style="2" customWidth="1"/>
    <col min="16130" max="16133" width="8.77734375" style="2"/>
    <col min="16134" max="16134" width="17.21875" style="2" customWidth="1"/>
    <col min="16135" max="16135" width="2.77734375" style="2" customWidth="1"/>
    <col min="16136" max="16137" width="8.77734375" style="2"/>
    <col min="16138" max="16138" width="6.5546875" style="2" customWidth="1"/>
    <col min="16139" max="16139" width="10.21875" style="2" customWidth="1"/>
    <col min="16140" max="16384" width="8.77734375" style="2"/>
  </cols>
  <sheetData>
    <row r="1" spans="1:11" ht="15.6">
      <c r="I1" s="31"/>
      <c r="K1" s="31" t="s">
        <v>49</v>
      </c>
    </row>
    <row r="3" spans="1:11" ht="15.6">
      <c r="A3" s="1220" t="s">
        <v>50</v>
      </c>
      <c r="B3" s="1220"/>
      <c r="C3" s="1220"/>
      <c r="D3" s="1220"/>
      <c r="E3" s="1220"/>
      <c r="F3" s="1220"/>
      <c r="G3" s="1220"/>
      <c r="H3" s="1220"/>
      <c r="I3" s="1220"/>
      <c r="J3" s="1227"/>
      <c r="K3" s="1227"/>
    </row>
    <row r="5" spans="1:11" ht="15.6">
      <c r="A5" s="1220" t="s">
        <v>51</v>
      </c>
      <c r="B5" s="1220"/>
      <c r="C5" s="1220"/>
      <c r="D5" s="1220"/>
      <c r="E5" s="1220"/>
      <c r="F5" s="1220"/>
      <c r="G5" s="1220"/>
      <c r="H5" s="1220"/>
      <c r="I5" s="1220"/>
      <c r="J5" s="1229"/>
      <c r="K5" s="1227"/>
    </row>
    <row r="6" spans="1:11">
      <c r="K6" s="2" t="s">
        <v>52</v>
      </c>
    </row>
    <row r="7" spans="1:11">
      <c r="K7" s="2" t="s">
        <v>53</v>
      </c>
    </row>
    <row r="8" spans="1:11" ht="15.6">
      <c r="A8" s="48" t="s">
        <v>54</v>
      </c>
    </row>
    <row r="9" spans="1:11" ht="8.25" customHeight="1">
      <c r="A9" s="48"/>
    </row>
    <row r="10" spans="1:11" ht="15">
      <c r="A10" s="45" t="s">
        <v>55</v>
      </c>
      <c r="B10" s="46" t="s">
        <v>56</v>
      </c>
      <c r="C10" s="46"/>
      <c r="D10" s="46"/>
      <c r="E10" s="46"/>
      <c r="F10" s="46"/>
      <c r="G10" s="45" t="s">
        <v>29</v>
      </c>
      <c r="H10" s="1228">
        <f>IF('Input (7)'!C4+'Input (7)'!C7=0,0,SUM('Input (7)'!C4+'Input (7)'!C7))</f>
        <v>80</v>
      </c>
      <c r="I10" s="1228"/>
      <c r="J10" s="46"/>
      <c r="K10" s="53">
        <f>IF(H10=0,0,(H10/($H$10+$H$13)))</f>
        <v>0.62992125984251968</v>
      </c>
    </row>
    <row r="11" spans="1:11" ht="7.5" customHeight="1">
      <c r="H11" s="54"/>
      <c r="I11" s="54"/>
    </row>
    <row r="12" spans="1:11" s="46" customFormat="1" ht="15">
      <c r="A12" s="45" t="s">
        <v>57</v>
      </c>
      <c r="B12" s="46" t="s">
        <v>58</v>
      </c>
      <c r="G12" s="45"/>
      <c r="H12" s="55"/>
      <c r="I12" s="55"/>
    </row>
    <row r="13" spans="1:11" ht="15">
      <c r="B13" s="28" t="s">
        <v>59</v>
      </c>
      <c r="G13" s="30" t="s">
        <v>29</v>
      </c>
      <c r="H13" s="1228">
        <f>IF('Input (7)'!C8=0,0,SUM('Input (7)'!C8))</f>
        <v>47</v>
      </c>
      <c r="I13" s="1228"/>
      <c r="K13" s="53">
        <f>IF(H13=0,0,(H13/($H$10+$H$13)))</f>
        <v>0.37007874015748032</v>
      </c>
    </row>
    <row r="14" spans="1:11" ht="6.75" customHeight="1">
      <c r="H14" s="54"/>
      <c r="I14" s="54"/>
    </row>
    <row r="15" spans="1:11" s="46" customFormat="1" ht="15">
      <c r="A15" s="45" t="s">
        <v>60</v>
      </c>
      <c r="B15" s="46" t="s">
        <v>61</v>
      </c>
      <c r="G15" s="45"/>
      <c r="H15" s="55"/>
      <c r="I15" s="55"/>
    </row>
    <row r="16" spans="1:11" s="46" customFormat="1" ht="15">
      <c r="A16" s="45"/>
      <c r="B16" s="46" t="s">
        <v>62</v>
      </c>
      <c r="G16" s="45" t="s">
        <v>29</v>
      </c>
      <c r="H16" s="1230">
        <f>IF('Input (7)'!C22=0,0,SUM('Input (7)'!C22))</f>
        <v>0</v>
      </c>
      <c r="I16" s="1230"/>
    </row>
    <row r="17" spans="1:9" ht="6.75" customHeight="1">
      <c r="H17" s="54"/>
      <c r="I17" s="54"/>
    </row>
    <row r="18" spans="1:9" s="46" customFormat="1" ht="15">
      <c r="A18" s="45" t="s">
        <v>63</v>
      </c>
      <c r="B18" s="46" t="s">
        <v>64</v>
      </c>
      <c r="G18" s="45" t="s">
        <v>29</v>
      </c>
      <c r="H18" s="1228">
        <f>H10+H13-H16</f>
        <v>127</v>
      </c>
      <c r="I18" s="1228"/>
    </row>
    <row r="19" spans="1:9" ht="6.75" customHeight="1">
      <c r="H19" s="43"/>
      <c r="I19" s="43"/>
    </row>
    <row r="20" spans="1:9" s="46" customFormat="1" ht="15">
      <c r="A20" s="45" t="s">
        <v>65</v>
      </c>
      <c r="B20" s="46" t="s">
        <v>66</v>
      </c>
      <c r="G20" s="45" t="s">
        <v>29</v>
      </c>
      <c r="H20" s="1228">
        <f>H18*0.06</f>
        <v>7.62</v>
      </c>
      <c r="I20" s="1228"/>
    </row>
    <row r="21" spans="1:9" ht="6.75" customHeight="1">
      <c r="H21" s="43"/>
      <c r="I21" s="43"/>
    </row>
    <row r="22" spans="1:9" s="46" customFormat="1" ht="15">
      <c r="A22" s="45" t="s">
        <v>67</v>
      </c>
      <c r="B22" s="46" t="s">
        <v>68</v>
      </c>
      <c r="G22" s="45" t="s">
        <v>29</v>
      </c>
      <c r="H22" s="1228">
        <f>H16+H20</f>
        <v>7.62</v>
      </c>
      <c r="I22" s="1228"/>
    </row>
    <row r="23" spans="1:9" s="46" customFormat="1" ht="15">
      <c r="A23" s="45"/>
      <c r="B23" s="46" t="s">
        <v>69</v>
      </c>
      <c r="G23" s="45"/>
      <c r="H23" s="55"/>
      <c r="I23" s="55"/>
    </row>
    <row r="24" spans="1:9" s="46" customFormat="1" ht="15">
      <c r="A24" s="45"/>
      <c r="G24" s="45"/>
      <c r="H24" s="55"/>
      <c r="I24" s="55"/>
    </row>
    <row r="25" spans="1:9" s="46" customFormat="1" ht="15">
      <c r="A25" s="45" t="s">
        <v>70</v>
      </c>
      <c r="B25" s="56">
        <f>K10</f>
        <v>0.62992125984251968</v>
      </c>
      <c r="C25" s="44" t="s">
        <v>71</v>
      </c>
      <c r="D25" s="57">
        <f>H22</f>
        <v>7.62</v>
      </c>
      <c r="E25" s="46" t="s">
        <v>72</v>
      </c>
      <c r="G25" s="45" t="s">
        <v>29</v>
      </c>
      <c r="H25" s="1228">
        <f>ROUND(SUM(B25*D25),2)</f>
        <v>4.8</v>
      </c>
      <c r="I25" s="1228"/>
    </row>
    <row r="26" spans="1:9" s="46" customFormat="1" ht="15">
      <c r="A26" s="45" t="s">
        <v>73</v>
      </c>
      <c r="B26" s="56">
        <f>K13</f>
        <v>0.37007874015748032</v>
      </c>
      <c r="C26" s="44" t="s">
        <v>71</v>
      </c>
      <c r="D26" s="57">
        <f>H22</f>
        <v>7.62</v>
      </c>
      <c r="E26" s="46" t="s">
        <v>74</v>
      </c>
      <c r="G26" s="45" t="s">
        <v>29</v>
      </c>
      <c r="H26" s="1231">
        <f>ROUND(SUM(H22-H25),2)</f>
        <v>2.82</v>
      </c>
      <c r="I26" s="1231"/>
    </row>
    <row r="27" spans="1:9" s="46" customFormat="1" ht="15">
      <c r="A27" s="45"/>
      <c r="G27" s="45"/>
      <c r="H27" s="55"/>
      <c r="I27" s="55"/>
    </row>
    <row r="28" spans="1:9" ht="15.6">
      <c r="A28" s="48" t="s">
        <v>75</v>
      </c>
      <c r="H28" s="54"/>
      <c r="I28" s="54"/>
    </row>
    <row r="29" spans="1:9" ht="6.75" customHeight="1">
      <c r="H29" s="54"/>
      <c r="I29" s="54"/>
    </row>
    <row r="30" spans="1:9" s="46" customFormat="1" ht="15">
      <c r="A30" s="45" t="s">
        <v>76</v>
      </c>
      <c r="B30" s="46" t="s">
        <v>77</v>
      </c>
      <c r="G30" s="45"/>
      <c r="H30" s="55"/>
      <c r="I30" s="55"/>
    </row>
    <row r="31" spans="1:9" s="46" customFormat="1" ht="15">
      <c r="A31" s="45"/>
      <c r="B31" s="46" t="s">
        <v>78</v>
      </c>
      <c r="G31" s="45" t="s">
        <v>29</v>
      </c>
      <c r="H31" s="1228">
        <f>IF('Input (7)'!$C$10=0,0,'Input (7)'!C10)</f>
        <v>133</v>
      </c>
      <c r="I31" s="1228"/>
    </row>
    <row r="32" spans="1:9" s="46" customFormat="1" ht="15">
      <c r="A32" s="45"/>
      <c r="B32" s="28" t="s">
        <v>79</v>
      </c>
      <c r="G32" s="45"/>
      <c r="H32" s="55"/>
      <c r="I32" s="55"/>
    </row>
    <row r="33" spans="1:9" s="46" customFormat="1" ht="15">
      <c r="A33" s="45"/>
      <c r="B33" s="28" t="s">
        <v>80</v>
      </c>
      <c r="G33" s="45"/>
      <c r="H33" s="55"/>
      <c r="I33" s="55"/>
    </row>
    <row r="34" spans="1:9" ht="6.75" customHeight="1">
      <c r="H34" s="54"/>
      <c r="I34" s="54"/>
    </row>
    <row r="35" spans="1:9" s="46" customFormat="1" ht="15">
      <c r="A35" s="45" t="s">
        <v>81</v>
      </c>
      <c r="B35" s="46" t="s">
        <v>82</v>
      </c>
      <c r="G35" s="45"/>
      <c r="H35" s="55"/>
      <c r="I35" s="55"/>
    </row>
    <row r="36" spans="1:9" s="46" customFormat="1" ht="15">
      <c r="A36" s="45"/>
      <c r="B36" s="46" t="s">
        <v>83</v>
      </c>
      <c r="G36" s="45"/>
      <c r="H36" s="55"/>
      <c r="I36" s="55"/>
    </row>
    <row r="37" spans="1:9" s="46" customFormat="1" ht="15">
      <c r="A37" s="45"/>
      <c r="B37" s="28" t="s">
        <v>84</v>
      </c>
      <c r="G37" s="45" t="s">
        <v>29</v>
      </c>
      <c r="H37" s="1228">
        <f>IF('Input (7)'!C23=0,0,SUM('Input (7)'!C23))</f>
        <v>0</v>
      </c>
      <c r="I37" s="1228"/>
    </row>
    <row r="38" spans="1:9" ht="6.75" customHeight="1">
      <c r="H38" s="43"/>
      <c r="I38" s="43"/>
    </row>
    <row r="39" spans="1:9" s="46" customFormat="1" ht="15">
      <c r="A39" s="45" t="s">
        <v>85</v>
      </c>
      <c r="B39" s="46" t="s">
        <v>86</v>
      </c>
      <c r="G39" s="45" t="s">
        <v>29</v>
      </c>
      <c r="H39" s="1228">
        <f>IF('Input (7)'!$C$10=0,0,SUM(H31-H37))</f>
        <v>133</v>
      </c>
      <c r="I39" s="1228"/>
    </row>
    <row r="40" spans="1:9" ht="6.75" customHeight="1">
      <c r="H40" s="43"/>
      <c r="I40" s="43"/>
    </row>
    <row r="41" spans="1:9" s="46" customFormat="1" ht="15">
      <c r="A41" s="45" t="s">
        <v>87</v>
      </c>
      <c r="B41" s="46" t="s">
        <v>88</v>
      </c>
      <c r="G41" s="45" t="s">
        <v>29</v>
      </c>
      <c r="H41" s="1228">
        <f>IF('Input (7)'!$C$10=0,0,H39*0.055)</f>
        <v>7.3150000000000004</v>
      </c>
      <c r="I41" s="1228"/>
    </row>
    <row r="42" spans="1:9" ht="6.75" customHeight="1">
      <c r="H42" s="43"/>
      <c r="I42" s="43"/>
    </row>
    <row r="43" spans="1:9" s="46" customFormat="1" ht="15">
      <c r="A43" s="45" t="s">
        <v>89</v>
      </c>
      <c r="B43" s="46" t="s">
        <v>90</v>
      </c>
      <c r="G43" s="45" t="s">
        <v>29</v>
      </c>
      <c r="H43" s="1228">
        <f>ROUND(IF('Input (7)'!$C$10=0,0,SUM(H37+H41)),2)</f>
        <v>7.32</v>
      </c>
      <c r="I43" s="1228"/>
    </row>
    <row r="44" spans="1:9" s="46" customFormat="1" ht="15">
      <c r="A44" s="45"/>
      <c r="B44" s="46" t="s">
        <v>91</v>
      </c>
      <c r="G44" s="45"/>
    </row>
    <row r="46" spans="1:9" ht="15.6">
      <c r="A46" s="48" t="s">
        <v>92</v>
      </c>
    </row>
    <row r="47" spans="1:9" ht="6.75" customHeight="1"/>
    <row r="48" spans="1:9" s="46" customFormat="1" ht="15">
      <c r="A48" s="45" t="s">
        <v>93</v>
      </c>
      <c r="B48" s="46" t="s">
        <v>94</v>
      </c>
      <c r="G48" s="45"/>
    </row>
    <row r="49" spans="1:9" s="46" customFormat="1" ht="15">
      <c r="A49" s="45"/>
      <c r="B49" s="46" t="s">
        <v>95</v>
      </c>
      <c r="G49" s="45"/>
    </row>
    <row r="50" spans="1:9" s="46" customFormat="1" ht="15">
      <c r="A50" s="45"/>
      <c r="B50" s="46" t="s">
        <v>96</v>
      </c>
      <c r="G50" s="45"/>
    </row>
    <row r="51" spans="1:9" s="46" customFormat="1" ht="15">
      <c r="A51" s="45"/>
      <c r="B51" s="46" t="s">
        <v>97</v>
      </c>
      <c r="G51" s="45"/>
    </row>
    <row r="52" spans="1:9" s="46" customFormat="1" ht="15">
      <c r="A52" s="45"/>
      <c r="B52" s="46" t="s">
        <v>98</v>
      </c>
      <c r="G52" s="45"/>
    </row>
    <row r="53" spans="1:9" s="46" customFormat="1" ht="15">
      <c r="A53" s="45"/>
      <c r="B53" s="46" t="s">
        <v>99</v>
      </c>
      <c r="G53" s="45"/>
    </row>
    <row r="54" spans="1:9" ht="6.75" customHeight="1"/>
    <row r="55" spans="1:9" s="46" customFormat="1" ht="15">
      <c r="A55" s="45"/>
      <c r="B55" s="46" t="s">
        <v>100</v>
      </c>
      <c r="G55" s="45" t="s">
        <v>29</v>
      </c>
      <c r="H55" s="1230">
        <f>IF('Input (7)'!$E$18+'Input (7)'!$E$19=0,0,SUM(('Input (7)'!E18*'Input (7)'!E19)/16))</f>
        <v>0</v>
      </c>
      <c r="I55" s="1230"/>
    </row>
    <row r="56" spans="1:9" s="46" customFormat="1" ht="15">
      <c r="A56" s="45"/>
      <c r="B56" s="46" t="s">
        <v>101</v>
      </c>
      <c r="G56" s="45"/>
    </row>
    <row r="57" spans="1:9" s="46" customFormat="1" ht="15">
      <c r="A57" s="45"/>
      <c r="B57" s="46" t="s">
        <v>102</v>
      </c>
      <c r="G57" s="45"/>
    </row>
  </sheetData>
  <sheetProtection password="CDD6" sheet="1" objects="1" scenarios="1"/>
  <mergeCells count="16">
    <mergeCell ref="H39:I39"/>
    <mergeCell ref="H41:I41"/>
    <mergeCell ref="H43:I43"/>
    <mergeCell ref="H55:I55"/>
    <mergeCell ref="H20:I20"/>
    <mergeCell ref="H22:I22"/>
    <mergeCell ref="H25:I25"/>
    <mergeCell ref="H26:I26"/>
    <mergeCell ref="H31:I31"/>
    <mergeCell ref="H37:I37"/>
    <mergeCell ref="H18:I18"/>
    <mergeCell ref="A3:K3"/>
    <mergeCell ref="A5:K5"/>
    <mergeCell ref="H10:I10"/>
    <mergeCell ref="H13:I13"/>
    <mergeCell ref="H16:I16"/>
  </mergeCells>
  <pageMargins left="0.5" right="0.5" top="0.63" bottom="1" header="0.33" footer="0.5"/>
  <pageSetup scale="93" orientation="portrait" r:id="rId1"/>
  <headerFooter alignWithMargins="0">
    <oddFooter>&amp;L&amp;F</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4"/>
  <dimension ref="A1:AB12"/>
  <sheetViews>
    <sheetView workbookViewId="0">
      <selection activeCell="C4" sqref="C4"/>
    </sheetView>
  </sheetViews>
  <sheetFormatPr defaultRowHeight="13.2"/>
  <cols>
    <col min="1" max="1" width="4.5546875" style="2" customWidth="1"/>
    <col min="2" max="3" width="6.77734375" style="2" customWidth="1"/>
    <col min="4" max="4" width="3.21875" style="2" customWidth="1"/>
    <col min="5" max="5" width="4.21875" style="2" customWidth="1"/>
    <col min="6" max="6" width="5.44140625" style="2" customWidth="1"/>
    <col min="7" max="7" width="7.77734375" style="2" customWidth="1"/>
    <col min="8" max="8" width="5.21875" style="2" customWidth="1"/>
    <col min="9" max="9" width="7" style="2" customWidth="1"/>
    <col min="10" max="10" width="5.21875" style="2" customWidth="1"/>
    <col min="11" max="11" width="7" style="2" customWidth="1"/>
    <col min="12" max="12" width="4.21875" style="2" customWidth="1"/>
    <col min="13" max="13" width="6.77734375" style="2" customWidth="1"/>
    <col min="14" max="14" width="5.44140625" style="2" customWidth="1"/>
    <col min="15" max="15" width="7" style="2" customWidth="1"/>
    <col min="16" max="16" width="5.21875" style="2" customWidth="1"/>
    <col min="17" max="17" width="4.77734375" style="2" customWidth="1"/>
    <col min="18" max="18" width="5.77734375" style="2" customWidth="1"/>
    <col min="19" max="19" width="7.44140625" style="2" customWidth="1"/>
    <col min="20" max="20" width="4" style="2" customWidth="1"/>
    <col min="21" max="21" width="6.44140625" style="2" customWidth="1"/>
    <col min="22" max="22" width="5.77734375" style="2" customWidth="1"/>
    <col min="23" max="23" width="6.77734375" style="2" customWidth="1"/>
    <col min="24" max="24" width="4.21875" style="2" customWidth="1"/>
    <col min="25" max="25" width="7.21875" style="2" customWidth="1"/>
    <col min="26" max="256" width="8.77734375" style="2"/>
    <col min="257" max="257" width="4.5546875" style="2" customWidth="1"/>
    <col min="258" max="259" width="6.77734375" style="2" customWidth="1"/>
    <col min="260" max="260" width="3.21875" style="2" customWidth="1"/>
    <col min="261" max="261" width="4.21875" style="2" customWidth="1"/>
    <col min="262" max="262" width="5.44140625" style="2" customWidth="1"/>
    <col min="263" max="263" width="7.77734375" style="2" customWidth="1"/>
    <col min="264" max="264" width="5.21875" style="2" customWidth="1"/>
    <col min="265" max="265" width="7" style="2" customWidth="1"/>
    <col min="266" max="266" width="5.21875" style="2" customWidth="1"/>
    <col min="267" max="267" width="7" style="2" customWidth="1"/>
    <col min="268" max="268" width="4.21875" style="2" customWidth="1"/>
    <col min="269" max="269" width="6.77734375" style="2" customWidth="1"/>
    <col min="270" max="270" width="5.44140625" style="2" customWidth="1"/>
    <col min="271" max="271" width="7" style="2" customWidth="1"/>
    <col min="272" max="272" width="5.21875" style="2" customWidth="1"/>
    <col min="273" max="273" width="4.77734375" style="2" customWidth="1"/>
    <col min="274" max="274" width="5.77734375" style="2" customWidth="1"/>
    <col min="275" max="275" width="7.44140625" style="2" customWidth="1"/>
    <col min="276" max="276" width="4" style="2" customWidth="1"/>
    <col min="277" max="277" width="6.44140625" style="2" customWidth="1"/>
    <col min="278" max="278" width="5.77734375" style="2" customWidth="1"/>
    <col min="279" max="279" width="6.77734375" style="2" customWidth="1"/>
    <col min="280" max="280" width="4.21875" style="2" customWidth="1"/>
    <col min="281" max="281" width="7.21875" style="2" customWidth="1"/>
    <col min="282" max="512" width="8.77734375" style="2"/>
    <col min="513" max="513" width="4.5546875" style="2" customWidth="1"/>
    <col min="514" max="515" width="6.77734375" style="2" customWidth="1"/>
    <col min="516" max="516" width="3.21875" style="2" customWidth="1"/>
    <col min="517" max="517" width="4.21875" style="2" customWidth="1"/>
    <col min="518" max="518" width="5.44140625" style="2" customWidth="1"/>
    <col min="519" max="519" width="7.77734375" style="2" customWidth="1"/>
    <col min="520" max="520" width="5.21875" style="2" customWidth="1"/>
    <col min="521" max="521" width="7" style="2" customWidth="1"/>
    <col min="522" max="522" width="5.21875" style="2" customWidth="1"/>
    <col min="523" max="523" width="7" style="2" customWidth="1"/>
    <col min="524" max="524" width="4.21875" style="2" customWidth="1"/>
    <col min="525" max="525" width="6.77734375" style="2" customWidth="1"/>
    <col min="526" max="526" width="5.44140625" style="2" customWidth="1"/>
    <col min="527" max="527" width="7" style="2" customWidth="1"/>
    <col min="528" max="528" width="5.21875" style="2" customWidth="1"/>
    <col min="529" max="529" width="4.77734375" style="2" customWidth="1"/>
    <col min="530" max="530" width="5.77734375" style="2" customWidth="1"/>
    <col min="531" max="531" width="7.44140625" style="2" customWidth="1"/>
    <col min="532" max="532" width="4" style="2" customWidth="1"/>
    <col min="533" max="533" width="6.44140625" style="2" customWidth="1"/>
    <col min="534" max="534" width="5.77734375" style="2" customWidth="1"/>
    <col min="535" max="535" width="6.77734375" style="2" customWidth="1"/>
    <col min="536" max="536" width="4.21875" style="2" customWidth="1"/>
    <col min="537" max="537" width="7.21875" style="2" customWidth="1"/>
    <col min="538" max="768" width="8.77734375" style="2"/>
    <col min="769" max="769" width="4.5546875" style="2" customWidth="1"/>
    <col min="770" max="771" width="6.77734375" style="2" customWidth="1"/>
    <col min="772" max="772" width="3.21875" style="2" customWidth="1"/>
    <col min="773" max="773" width="4.21875" style="2" customWidth="1"/>
    <col min="774" max="774" width="5.44140625" style="2" customWidth="1"/>
    <col min="775" max="775" width="7.77734375" style="2" customWidth="1"/>
    <col min="776" max="776" width="5.21875" style="2" customWidth="1"/>
    <col min="777" max="777" width="7" style="2" customWidth="1"/>
    <col min="778" max="778" width="5.21875" style="2" customWidth="1"/>
    <col min="779" max="779" width="7" style="2" customWidth="1"/>
    <col min="780" max="780" width="4.21875" style="2" customWidth="1"/>
    <col min="781" max="781" width="6.77734375" style="2" customWidth="1"/>
    <col min="782" max="782" width="5.44140625" style="2" customWidth="1"/>
    <col min="783" max="783" width="7" style="2" customWidth="1"/>
    <col min="784" max="784" width="5.21875" style="2" customWidth="1"/>
    <col min="785" max="785" width="4.77734375" style="2" customWidth="1"/>
    <col min="786" max="786" width="5.77734375" style="2" customWidth="1"/>
    <col min="787" max="787" width="7.44140625" style="2" customWidth="1"/>
    <col min="788" max="788" width="4" style="2" customWidth="1"/>
    <col min="789" max="789" width="6.44140625" style="2" customWidth="1"/>
    <col min="790" max="790" width="5.77734375" style="2" customWidth="1"/>
    <col min="791" max="791" width="6.77734375" style="2" customWidth="1"/>
    <col min="792" max="792" width="4.21875" style="2" customWidth="1"/>
    <col min="793" max="793" width="7.21875" style="2" customWidth="1"/>
    <col min="794" max="1024" width="8.77734375" style="2"/>
    <col min="1025" max="1025" width="4.5546875" style="2" customWidth="1"/>
    <col min="1026" max="1027" width="6.77734375" style="2" customWidth="1"/>
    <col min="1028" max="1028" width="3.21875" style="2" customWidth="1"/>
    <col min="1029" max="1029" width="4.21875" style="2" customWidth="1"/>
    <col min="1030" max="1030" width="5.44140625" style="2" customWidth="1"/>
    <col min="1031" max="1031" width="7.77734375" style="2" customWidth="1"/>
    <col min="1032" max="1032" width="5.21875" style="2" customWidth="1"/>
    <col min="1033" max="1033" width="7" style="2" customWidth="1"/>
    <col min="1034" max="1034" width="5.21875" style="2" customWidth="1"/>
    <col min="1035" max="1035" width="7" style="2" customWidth="1"/>
    <col min="1036" max="1036" width="4.21875" style="2" customWidth="1"/>
    <col min="1037" max="1037" width="6.77734375" style="2" customWidth="1"/>
    <col min="1038" max="1038" width="5.44140625" style="2" customWidth="1"/>
    <col min="1039" max="1039" width="7" style="2" customWidth="1"/>
    <col min="1040" max="1040" width="5.21875" style="2" customWidth="1"/>
    <col min="1041" max="1041" width="4.77734375" style="2" customWidth="1"/>
    <col min="1042" max="1042" width="5.77734375" style="2" customWidth="1"/>
    <col min="1043" max="1043" width="7.44140625" style="2" customWidth="1"/>
    <col min="1044" max="1044" width="4" style="2" customWidth="1"/>
    <col min="1045" max="1045" width="6.44140625" style="2" customWidth="1"/>
    <col min="1046" max="1046" width="5.77734375" style="2" customWidth="1"/>
    <col min="1047" max="1047" width="6.77734375" style="2" customWidth="1"/>
    <col min="1048" max="1048" width="4.21875" style="2" customWidth="1"/>
    <col min="1049" max="1049" width="7.21875" style="2" customWidth="1"/>
    <col min="1050" max="1280" width="8.77734375" style="2"/>
    <col min="1281" max="1281" width="4.5546875" style="2" customWidth="1"/>
    <col min="1282" max="1283" width="6.77734375" style="2" customWidth="1"/>
    <col min="1284" max="1284" width="3.21875" style="2" customWidth="1"/>
    <col min="1285" max="1285" width="4.21875" style="2" customWidth="1"/>
    <col min="1286" max="1286" width="5.44140625" style="2" customWidth="1"/>
    <col min="1287" max="1287" width="7.77734375" style="2" customWidth="1"/>
    <col min="1288" max="1288" width="5.21875" style="2" customWidth="1"/>
    <col min="1289" max="1289" width="7" style="2" customWidth="1"/>
    <col min="1290" max="1290" width="5.21875" style="2" customWidth="1"/>
    <col min="1291" max="1291" width="7" style="2" customWidth="1"/>
    <col min="1292" max="1292" width="4.21875" style="2" customWidth="1"/>
    <col min="1293" max="1293" width="6.77734375" style="2" customWidth="1"/>
    <col min="1294" max="1294" width="5.44140625" style="2" customWidth="1"/>
    <col min="1295" max="1295" width="7" style="2" customWidth="1"/>
    <col min="1296" max="1296" width="5.21875" style="2" customWidth="1"/>
    <col min="1297" max="1297" width="4.77734375" style="2" customWidth="1"/>
    <col min="1298" max="1298" width="5.77734375" style="2" customWidth="1"/>
    <col min="1299" max="1299" width="7.44140625" style="2" customWidth="1"/>
    <col min="1300" max="1300" width="4" style="2" customWidth="1"/>
    <col min="1301" max="1301" width="6.44140625" style="2" customWidth="1"/>
    <col min="1302" max="1302" width="5.77734375" style="2" customWidth="1"/>
    <col min="1303" max="1303" width="6.77734375" style="2" customWidth="1"/>
    <col min="1304" max="1304" width="4.21875" style="2" customWidth="1"/>
    <col min="1305" max="1305" width="7.21875" style="2" customWidth="1"/>
    <col min="1306" max="1536" width="8.77734375" style="2"/>
    <col min="1537" max="1537" width="4.5546875" style="2" customWidth="1"/>
    <col min="1538" max="1539" width="6.77734375" style="2" customWidth="1"/>
    <col min="1540" max="1540" width="3.21875" style="2" customWidth="1"/>
    <col min="1541" max="1541" width="4.21875" style="2" customWidth="1"/>
    <col min="1542" max="1542" width="5.44140625" style="2" customWidth="1"/>
    <col min="1543" max="1543" width="7.77734375" style="2" customWidth="1"/>
    <col min="1544" max="1544" width="5.21875" style="2" customWidth="1"/>
    <col min="1545" max="1545" width="7" style="2" customWidth="1"/>
    <col min="1546" max="1546" width="5.21875" style="2" customWidth="1"/>
    <col min="1547" max="1547" width="7" style="2" customWidth="1"/>
    <col min="1548" max="1548" width="4.21875" style="2" customWidth="1"/>
    <col min="1549" max="1549" width="6.77734375" style="2" customWidth="1"/>
    <col min="1550" max="1550" width="5.44140625" style="2" customWidth="1"/>
    <col min="1551" max="1551" width="7" style="2" customWidth="1"/>
    <col min="1552" max="1552" width="5.21875" style="2" customWidth="1"/>
    <col min="1553" max="1553" width="4.77734375" style="2" customWidth="1"/>
    <col min="1554" max="1554" width="5.77734375" style="2" customWidth="1"/>
    <col min="1555" max="1555" width="7.44140625" style="2" customWidth="1"/>
    <col min="1556" max="1556" width="4" style="2" customWidth="1"/>
    <col min="1557" max="1557" width="6.44140625" style="2" customWidth="1"/>
    <col min="1558" max="1558" width="5.77734375" style="2" customWidth="1"/>
    <col min="1559" max="1559" width="6.77734375" style="2" customWidth="1"/>
    <col min="1560" max="1560" width="4.21875" style="2" customWidth="1"/>
    <col min="1561" max="1561" width="7.21875" style="2" customWidth="1"/>
    <col min="1562" max="1792" width="8.77734375" style="2"/>
    <col min="1793" max="1793" width="4.5546875" style="2" customWidth="1"/>
    <col min="1794" max="1795" width="6.77734375" style="2" customWidth="1"/>
    <col min="1796" max="1796" width="3.21875" style="2" customWidth="1"/>
    <col min="1797" max="1797" width="4.21875" style="2" customWidth="1"/>
    <col min="1798" max="1798" width="5.44140625" style="2" customWidth="1"/>
    <col min="1799" max="1799" width="7.77734375" style="2" customWidth="1"/>
    <col min="1800" max="1800" width="5.21875" style="2" customWidth="1"/>
    <col min="1801" max="1801" width="7" style="2" customWidth="1"/>
    <col min="1802" max="1802" width="5.21875" style="2" customWidth="1"/>
    <col min="1803" max="1803" width="7" style="2" customWidth="1"/>
    <col min="1804" max="1804" width="4.21875" style="2" customWidth="1"/>
    <col min="1805" max="1805" width="6.77734375" style="2" customWidth="1"/>
    <col min="1806" max="1806" width="5.44140625" style="2" customWidth="1"/>
    <col min="1807" max="1807" width="7" style="2" customWidth="1"/>
    <col min="1808" max="1808" width="5.21875" style="2" customWidth="1"/>
    <col min="1809" max="1809" width="4.77734375" style="2" customWidth="1"/>
    <col min="1810" max="1810" width="5.77734375" style="2" customWidth="1"/>
    <col min="1811" max="1811" width="7.44140625" style="2" customWidth="1"/>
    <col min="1812" max="1812" width="4" style="2" customWidth="1"/>
    <col min="1813" max="1813" width="6.44140625" style="2" customWidth="1"/>
    <col min="1814" max="1814" width="5.77734375" style="2" customWidth="1"/>
    <col min="1815" max="1815" width="6.77734375" style="2" customWidth="1"/>
    <col min="1816" max="1816" width="4.21875" style="2" customWidth="1"/>
    <col min="1817" max="1817" width="7.21875" style="2" customWidth="1"/>
    <col min="1818" max="2048" width="8.77734375" style="2"/>
    <col min="2049" max="2049" width="4.5546875" style="2" customWidth="1"/>
    <col min="2050" max="2051" width="6.77734375" style="2" customWidth="1"/>
    <col min="2052" max="2052" width="3.21875" style="2" customWidth="1"/>
    <col min="2053" max="2053" width="4.21875" style="2" customWidth="1"/>
    <col min="2054" max="2054" width="5.44140625" style="2" customWidth="1"/>
    <col min="2055" max="2055" width="7.77734375" style="2" customWidth="1"/>
    <col min="2056" max="2056" width="5.21875" style="2" customWidth="1"/>
    <col min="2057" max="2057" width="7" style="2" customWidth="1"/>
    <col min="2058" max="2058" width="5.21875" style="2" customWidth="1"/>
    <col min="2059" max="2059" width="7" style="2" customWidth="1"/>
    <col min="2060" max="2060" width="4.21875" style="2" customWidth="1"/>
    <col min="2061" max="2061" width="6.77734375" style="2" customWidth="1"/>
    <col min="2062" max="2062" width="5.44140625" style="2" customWidth="1"/>
    <col min="2063" max="2063" width="7" style="2" customWidth="1"/>
    <col min="2064" max="2064" width="5.21875" style="2" customWidth="1"/>
    <col min="2065" max="2065" width="4.77734375" style="2" customWidth="1"/>
    <col min="2066" max="2066" width="5.77734375" style="2" customWidth="1"/>
    <col min="2067" max="2067" width="7.44140625" style="2" customWidth="1"/>
    <col min="2068" max="2068" width="4" style="2" customWidth="1"/>
    <col min="2069" max="2069" width="6.44140625" style="2" customWidth="1"/>
    <col min="2070" max="2070" width="5.77734375" style="2" customWidth="1"/>
    <col min="2071" max="2071" width="6.77734375" style="2" customWidth="1"/>
    <col min="2072" max="2072" width="4.21875" style="2" customWidth="1"/>
    <col min="2073" max="2073" width="7.21875" style="2" customWidth="1"/>
    <col min="2074" max="2304" width="8.77734375" style="2"/>
    <col min="2305" max="2305" width="4.5546875" style="2" customWidth="1"/>
    <col min="2306" max="2307" width="6.77734375" style="2" customWidth="1"/>
    <col min="2308" max="2308" width="3.21875" style="2" customWidth="1"/>
    <col min="2309" max="2309" width="4.21875" style="2" customWidth="1"/>
    <col min="2310" max="2310" width="5.44140625" style="2" customWidth="1"/>
    <col min="2311" max="2311" width="7.77734375" style="2" customWidth="1"/>
    <col min="2312" max="2312" width="5.21875" style="2" customWidth="1"/>
    <col min="2313" max="2313" width="7" style="2" customWidth="1"/>
    <col min="2314" max="2314" width="5.21875" style="2" customWidth="1"/>
    <col min="2315" max="2315" width="7" style="2" customWidth="1"/>
    <col min="2316" max="2316" width="4.21875" style="2" customWidth="1"/>
    <col min="2317" max="2317" width="6.77734375" style="2" customWidth="1"/>
    <col min="2318" max="2318" width="5.44140625" style="2" customWidth="1"/>
    <col min="2319" max="2319" width="7" style="2" customWidth="1"/>
    <col min="2320" max="2320" width="5.21875" style="2" customWidth="1"/>
    <col min="2321" max="2321" width="4.77734375" style="2" customWidth="1"/>
    <col min="2322" max="2322" width="5.77734375" style="2" customWidth="1"/>
    <col min="2323" max="2323" width="7.44140625" style="2" customWidth="1"/>
    <col min="2324" max="2324" width="4" style="2" customWidth="1"/>
    <col min="2325" max="2325" width="6.44140625" style="2" customWidth="1"/>
    <col min="2326" max="2326" width="5.77734375" style="2" customWidth="1"/>
    <col min="2327" max="2327" width="6.77734375" style="2" customWidth="1"/>
    <col min="2328" max="2328" width="4.21875" style="2" customWidth="1"/>
    <col min="2329" max="2329" width="7.21875" style="2" customWidth="1"/>
    <col min="2330" max="2560" width="8.77734375" style="2"/>
    <col min="2561" max="2561" width="4.5546875" style="2" customWidth="1"/>
    <col min="2562" max="2563" width="6.77734375" style="2" customWidth="1"/>
    <col min="2564" max="2564" width="3.21875" style="2" customWidth="1"/>
    <col min="2565" max="2565" width="4.21875" style="2" customWidth="1"/>
    <col min="2566" max="2566" width="5.44140625" style="2" customWidth="1"/>
    <col min="2567" max="2567" width="7.77734375" style="2" customWidth="1"/>
    <col min="2568" max="2568" width="5.21875" style="2" customWidth="1"/>
    <col min="2569" max="2569" width="7" style="2" customWidth="1"/>
    <col min="2570" max="2570" width="5.21875" style="2" customWidth="1"/>
    <col min="2571" max="2571" width="7" style="2" customWidth="1"/>
    <col min="2572" max="2572" width="4.21875" style="2" customWidth="1"/>
    <col min="2573" max="2573" width="6.77734375" style="2" customWidth="1"/>
    <col min="2574" max="2574" width="5.44140625" style="2" customWidth="1"/>
    <col min="2575" max="2575" width="7" style="2" customWidth="1"/>
    <col min="2576" max="2576" width="5.21875" style="2" customWidth="1"/>
    <col min="2577" max="2577" width="4.77734375" style="2" customWidth="1"/>
    <col min="2578" max="2578" width="5.77734375" style="2" customWidth="1"/>
    <col min="2579" max="2579" width="7.44140625" style="2" customWidth="1"/>
    <col min="2580" max="2580" width="4" style="2" customWidth="1"/>
    <col min="2581" max="2581" width="6.44140625" style="2" customWidth="1"/>
    <col min="2582" max="2582" width="5.77734375" style="2" customWidth="1"/>
    <col min="2583" max="2583" width="6.77734375" style="2" customWidth="1"/>
    <col min="2584" max="2584" width="4.21875" style="2" customWidth="1"/>
    <col min="2585" max="2585" width="7.21875" style="2" customWidth="1"/>
    <col min="2586" max="2816" width="8.77734375" style="2"/>
    <col min="2817" max="2817" width="4.5546875" style="2" customWidth="1"/>
    <col min="2818" max="2819" width="6.77734375" style="2" customWidth="1"/>
    <col min="2820" max="2820" width="3.21875" style="2" customWidth="1"/>
    <col min="2821" max="2821" width="4.21875" style="2" customWidth="1"/>
    <col min="2822" max="2822" width="5.44140625" style="2" customWidth="1"/>
    <col min="2823" max="2823" width="7.77734375" style="2" customWidth="1"/>
    <col min="2824" max="2824" width="5.21875" style="2" customWidth="1"/>
    <col min="2825" max="2825" width="7" style="2" customWidth="1"/>
    <col min="2826" max="2826" width="5.21875" style="2" customWidth="1"/>
    <col min="2827" max="2827" width="7" style="2" customWidth="1"/>
    <col min="2828" max="2828" width="4.21875" style="2" customWidth="1"/>
    <col min="2829" max="2829" width="6.77734375" style="2" customWidth="1"/>
    <col min="2830" max="2830" width="5.44140625" style="2" customWidth="1"/>
    <col min="2831" max="2831" width="7" style="2" customWidth="1"/>
    <col min="2832" max="2832" width="5.21875" style="2" customWidth="1"/>
    <col min="2833" max="2833" width="4.77734375" style="2" customWidth="1"/>
    <col min="2834" max="2834" width="5.77734375" style="2" customWidth="1"/>
    <col min="2835" max="2835" width="7.44140625" style="2" customWidth="1"/>
    <col min="2836" max="2836" width="4" style="2" customWidth="1"/>
    <col min="2837" max="2837" width="6.44140625" style="2" customWidth="1"/>
    <col min="2838" max="2838" width="5.77734375" style="2" customWidth="1"/>
    <col min="2839" max="2839" width="6.77734375" style="2" customWidth="1"/>
    <col min="2840" max="2840" width="4.21875" style="2" customWidth="1"/>
    <col min="2841" max="2841" width="7.21875" style="2" customWidth="1"/>
    <col min="2842" max="3072" width="8.77734375" style="2"/>
    <col min="3073" max="3073" width="4.5546875" style="2" customWidth="1"/>
    <col min="3074" max="3075" width="6.77734375" style="2" customWidth="1"/>
    <col min="3076" max="3076" width="3.21875" style="2" customWidth="1"/>
    <col min="3077" max="3077" width="4.21875" style="2" customWidth="1"/>
    <col min="3078" max="3078" width="5.44140625" style="2" customWidth="1"/>
    <col min="3079" max="3079" width="7.77734375" style="2" customWidth="1"/>
    <col min="3080" max="3080" width="5.21875" style="2" customWidth="1"/>
    <col min="3081" max="3081" width="7" style="2" customWidth="1"/>
    <col min="3082" max="3082" width="5.21875" style="2" customWidth="1"/>
    <col min="3083" max="3083" width="7" style="2" customWidth="1"/>
    <col min="3084" max="3084" width="4.21875" style="2" customWidth="1"/>
    <col min="3085" max="3085" width="6.77734375" style="2" customWidth="1"/>
    <col min="3086" max="3086" width="5.44140625" style="2" customWidth="1"/>
    <col min="3087" max="3087" width="7" style="2" customWidth="1"/>
    <col min="3088" max="3088" width="5.21875" style="2" customWidth="1"/>
    <col min="3089" max="3089" width="4.77734375" style="2" customWidth="1"/>
    <col min="3090" max="3090" width="5.77734375" style="2" customWidth="1"/>
    <col min="3091" max="3091" width="7.44140625" style="2" customWidth="1"/>
    <col min="3092" max="3092" width="4" style="2" customWidth="1"/>
    <col min="3093" max="3093" width="6.44140625" style="2" customWidth="1"/>
    <col min="3094" max="3094" width="5.77734375" style="2" customWidth="1"/>
    <col min="3095" max="3095" width="6.77734375" style="2" customWidth="1"/>
    <col min="3096" max="3096" width="4.21875" style="2" customWidth="1"/>
    <col min="3097" max="3097" width="7.21875" style="2" customWidth="1"/>
    <col min="3098" max="3328" width="8.77734375" style="2"/>
    <col min="3329" max="3329" width="4.5546875" style="2" customWidth="1"/>
    <col min="3330" max="3331" width="6.77734375" style="2" customWidth="1"/>
    <col min="3332" max="3332" width="3.21875" style="2" customWidth="1"/>
    <col min="3333" max="3333" width="4.21875" style="2" customWidth="1"/>
    <col min="3334" max="3334" width="5.44140625" style="2" customWidth="1"/>
    <col min="3335" max="3335" width="7.77734375" style="2" customWidth="1"/>
    <col min="3336" max="3336" width="5.21875" style="2" customWidth="1"/>
    <col min="3337" max="3337" width="7" style="2" customWidth="1"/>
    <col min="3338" max="3338" width="5.21875" style="2" customWidth="1"/>
    <col min="3339" max="3339" width="7" style="2" customWidth="1"/>
    <col min="3340" max="3340" width="4.21875" style="2" customWidth="1"/>
    <col min="3341" max="3341" width="6.77734375" style="2" customWidth="1"/>
    <col min="3342" max="3342" width="5.44140625" style="2" customWidth="1"/>
    <col min="3343" max="3343" width="7" style="2" customWidth="1"/>
    <col min="3344" max="3344" width="5.21875" style="2" customWidth="1"/>
    <col min="3345" max="3345" width="4.77734375" style="2" customWidth="1"/>
    <col min="3346" max="3346" width="5.77734375" style="2" customWidth="1"/>
    <col min="3347" max="3347" width="7.44140625" style="2" customWidth="1"/>
    <col min="3348" max="3348" width="4" style="2" customWidth="1"/>
    <col min="3349" max="3349" width="6.44140625" style="2" customWidth="1"/>
    <col min="3350" max="3350" width="5.77734375" style="2" customWidth="1"/>
    <col min="3351" max="3351" width="6.77734375" style="2" customWidth="1"/>
    <col min="3352" max="3352" width="4.21875" style="2" customWidth="1"/>
    <col min="3353" max="3353" width="7.21875" style="2" customWidth="1"/>
    <col min="3354" max="3584" width="8.77734375" style="2"/>
    <col min="3585" max="3585" width="4.5546875" style="2" customWidth="1"/>
    <col min="3586" max="3587" width="6.77734375" style="2" customWidth="1"/>
    <col min="3588" max="3588" width="3.21875" style="2" customWidth="1"/>
    <col min="3589" max="3589" width="4.21875" style="2" customWidth="1"/>
    <col min="3590" max="3590" width="5.44140625" style="2" customWidth="1"/>
    <col min="3591" max="3591" width="7.77734375" style="2" customWidth="1"/>
    <col min="3592" max="3592" width="5.21875" style="2" customWidth="1"/>
    <col min="3593" max="3593" width="7" style="2" customWidth="1"/>
    <col min="3594" max="3594" width="5.21875" style="2" customWidth="1"/>
    <col min="3595" max="3595" width="7" style="2" customWidth="1"/>
    <col min="3596" max="3596" width="4.21875" style="2" customWidth="1"/>
    <col min="3597" max="3597" width="6.77734375" style="2" customWidth="1"/>
    <col min="3598" max="3598" width="5.44140625" style="2" customWidth="1"/>
    <col min="3599" max="3599" width="7" style="2" customWidth="1"/>
    <col min="3600" max="3600" width="5.21875" style="2" customWidth="1"/>
    <col min="3601" max="3601" width="4.77734375" style="2" customWidth="1"/>
    <col min="3602" max="3602" width="5.77734375" style="2" customWidth="1"/>
    <col min="3603" max="3603" width="7.44140625" style="2" customWidth="1"/>
    <col min="3604" max="3604" width="4" style="2" customWidth="1"/>
    <col min="3605" max="3605" width="6.44140625" style="2" customWidth="1"/>
    <col min="3606" max="3606" width="5.77734375" style="2" customWidth="1"/>
    <col min="3607" max="3607" width="6.77734375" style="2" customWidth="1"/>
    <col min="3608" max="3608" width="4.21875" style="2" customWidth="1"/>
    <col min="3609" max="3609" width="7.21875" style="2" customWidth="1"/>
    <col min="3610" max="3840" width="8.77734375" style="2"/>
    <col min="3841" max="3841" width="4.5546875" style="2" customWidth="1"/>
    <col min="3842" max="3843" width="6.77734375" style="2" customWidth="1"/>
    <col min="3844" max="3844" width="3.21875" style="2" customWidth="1"/>
    <col min="3845" max="3845" width="4.21875" style="2" customWidth="1"/>
    <col min="3846" max="3846" width="5.44140625" style="2" customWidth="1"/>
    <col min="3847" max="3847" width="7.77734375" style="2" customWidth="1"/>
    <col min="3848" max="3848" width="5.21875" style="2" customWidth="1"/>
    <col min="3849" max="3849" width="7" style="2" customWidth="1"/>
    <col min="3850" max="3850" width="5.21875" style="2" customWidth="1"/>
    <col min="3851" max="3851" width="7" style="2" customWidth="1"/>
    <col min="3852" max="3852" width="4.21875" style="2" customWidth="1"/>
    <col min="3853" max="3853" width="6.77734375" style="2" customWidth="1"/>
    <col min="3854" max="3854" width="5.44140625" style="2" customWidth="1"/>
    <col min="3855" max="3855" width="7" style="2" customWidth="1"/>
    <col min="3856" max="3856" width="5.21875" style="2" customWidth="1"/>
    <col min="3857" max="3857" width="4.77734375" style="2" customWidth="1"/>
    <col min="3858" max="3858" width="5.77734375" style="2" customWidth="1"/>
    <col min="3859" max="3859" width="7.44140625" style="2" customWidth="1"/>
    <col min="3860" max="3860" width="4" style="2" customWidth="1"/>
    <col min="3861" max="3861" width="6.44140625" style="2" customWidth="1"/>
    <col min="3862" max="3862" width="5.77734375" style="2" customWidth="1"/>
    <col min="3863" max="3863" width="6.77734375" style="2" customWidth="1"/>
    <col min="3864" max="3864" width="4.21875" style="2" customWidth="1"/>
    <col min="3865" max="3865" width="7.21875" style="2" customWidth="1"/>
    <col min="3866" max="4096" width="8.77734375" style="2"/>
    <col min="4097" max="4097" width="4.5546875" style="2" customWidth="1"/>
    <col min="4098" max="4099" width="6.77734375" style="2" customWidth="1"/>
    <col min="4100" max="4100" width="3.21875" style="2" customWidth="1"/>
    <col min="4101" max="4101" width="4.21875" style="2" customWidth="1"/>
    <col min="4102" max="4102" width="5.44140625" style="2" customWidth="1"/>
    <col min="4103" max="4103" width="7.77734375" style="2" customWidth="1"/>
    <col min="4104" max="4104" width="5.21875" style="2" customWidth="1"/>
    <col min="4105" max="4105" width="7" style="2" customWidth="1"/>
    <col min="4106" max="4106" width="5.21875" style="2" customWidth="1"/>
    <col min="4107" max="4107" width="7" style="2" customWidth="1"/>
    <col min="4108" max="4108" width="4.21875" style="2" customWidth="1"/>
    <col min="4109" max="4109" width="6.77734375" style="2" customWidth="1"/>
    <col min="4110" max="4110" width="5.44140625" style="2" customWidth="1"/>
    <col min="4111" max="4111" width="7" style="2" customWidth="1"/>
    <col min="4112" max="4112" width="5.21875" style="2" customWidth="1"/>
    <col min="4113" max="4113" width="4.77734375" style="2" customWidth="1"/>
    <col min="4114" max="4114" width="5.77734375" style="2" customWidth="1"/>
    <col min="4115" max="4115" width="7.44140625" style="2" customWidth="1"/>
    <col min="4116" max="4116" width="4" style="2" customWidth="1"/>
    <col min="4117" max="4117" width="6.44140625" style="2" customWidth="1"/>
    <col min="4118" max="4118" width="5.77734375" style="2" customWidth="1"/>
    <col min="4119" max="4119" width="6.77734375" style="2" customWidth="1"/>
    <col min="4120" max="4120" width="4.21875" style="2" customWidth="1"/>
    <col min="4121" max="4121" width="7.21875" style="2" customWidth="1"/>
    <col min="4122" max="4352" width="8.77734375" style="2"/>
    <col min="4353" max="4353" width="4.5546875" style="2" customWidth="1"/>
    <col min="4354" max="4355" width="6.77734375" style="2" customWidth="1"/>
    <col min="4356" max="4356" width="3.21875" style="2" customWidth="1"/>
    <col min="4357" max="4357" width="4.21875" style="2" customWidth="1"/>
    <col min="4358" max="4358" width="5.44140625" style="2" customWidth="1"/>
    <col min="4359" max="4359" width="7.77734375" style="2" customWidth="1"/>
    <col min="4360" max="4360" width="5.21875" style="2" customWidth="1"/>
    <col min="4361" max="4361" width="7" style="2" customWidth="1"/>
    <col min="4362" max="4362" width="5.21875" style="2" customWidth="1"/>
    <col min="4363" max="4363" width="7" style="2" customWidth="1"/>
    <col min="4364" max="4364" width="4.21875" style="2" customWidth="1"/>
    <col min="4365" max="4365" width="6.77734375" style="2" customWidth="1"/>
    <col min="4366" max="4366" width="5.44140625" style="2" customWidth="1"/>
    <col min="4367" max="4367" width="7" style="2" customWidth="1"/>
    <col min="4368" max="4368" width="5.21875" style="2" customWidth="1"/>
    <col min="4369" max="4369" width="4.77734375" style="2" customWidth="1"/>
    <col min="4370" max="4370" width="5.77734375" style="2" customWidth="1"/>
    <col min="4371" max="4371" width="7.44140625" style="2" customWidth="1"/>
    <col min="4372" max="4372" width="4" style="2" customWidth="1"/>
    <col min="4373" max="4373" width="6.44140625" style="2" customWidth="1"/>
    <col min="4374" max="4374" width="5.77734375" style="2" customWidth="1"/>
    <col min="4375" max="4375" width="6.77734375" style="2" customWidth="1"/>
    <col min="4376" max="4376" width="4.21875" style="2" customWidth="1"/>
    <col min="4377" max="4377" width="7.21875" style="2" customWidth="1"/>
    <col min="4378" max="4608" width="8.77734375" style="2"/>
    <col min="4609" max="4609" width="4.5546875" style="2" customWidth="1"/>
    <col min="4610" max="4611" width="6.77734375" style="2" customWidth="1"/>
    <col min="4612" max="4612" width="3.21875" style="2" customWidth="1"/>
    <col min="4613" max="4613" width="4.21875" style="2" customWidth="1"/>
    <col min="4614" max="4614" width="5.44140625" style="2" customWidth="1"/>
    <col min="4615" max="4615" width="7.77734375" style="2" customWidth="1"/>
    <col min="4616" max="4616" width="5.21875" style="2" customWidth="1"/>
    <col min="4617" max="4617" width="7" style="2" customWidth="1"/>
    <col min="4618" max="4618" width="5.21875" style="2" customWidth="1"/>
    <col min="4619" max="4619" width="7" style="2" customWidth="1"/>
    <col min="4620" max="4620" width="4.21875" style="2" customWidth="1"/>
    <col min="4621" max="4621" width="6.77734375" style="2" customWidth="1"/>
    <col min="4622" max="4622" width="5.44140625" style="2" customWidth="1"/>
    <col min="4623" max="4623" width="7" style="2" customWidth="1"/>
    <col min="4624" max="4624" width="5.21875" style="2" customWidth="1"/>
    <col min="4625" max="4625" width="4.77734375" style="2" customWidth="1"/>
    <col min="4626" max="4626" width="5.77734375" style="2" customWidth="1"/>
    <col min="4627" max="4627" width="7.44140625" style="2" customWidth="1"/>
    <col min="4628" max="4628" width="4" style="2" customWidth="1"/>
    <col min="4629" max="4629" width="6.44140625" style="2" customWidth="1"/>
    <col min="4630" max="4630" width="5.77734375" style="2" customWidth="1"/>
    <col min="4631" max="4631" width="6.77734375" style="2" customWidth="1"/>
    <col min="4632" max="4632" width="4.21875" style="2" customWidth="1"/>
    <col min="4633" max="4633" width="7.21875" style="2" customWidth="1"/>
    <col min="4634" max="4864" width="8.77734375" style="2"/>
    <col min="4865" max="4865" width="4.5546875" style="2" customWidth="1"/>
    <col min="4866" max="4867" width="6.77734375" style="2" customWidth="1"/>
    <col min="4868" max="4868" width="3.21875" style="2" customWidth="1"/>
    <col min="4869" max="4869" width="4.21875" style="2" customWidth="1"/>
    <col min="4870" max="4870" width="5.44140625" style="2" customWidth="1"/>
    <col min="4871" max="4871" width="7.77734375" style="2" customWidth="1"/>
    <col min="4872" max="4872" width="5.21875" style="2" customWidth="1"/>
    <col min="4873" max="4873" width="7" style="2" customWidth="1"/>
    <col min="4874" max="4874" width="5.21875" style="2" customWidth="1"/>
    <col min="4875" max="4875" width="7" style="2" customWidth="1"/>
    <col min="4876" max="4876" width="4.21875" style="2" customWidth="1"/>
    <col min="4877" max="4877" width="6.77734375" style="2" customWidth="1"/>
    <col min="4878" max="4878" width="5.44140625" style="2" customWidth="1"/>
    <col min="4879" max="4879" width="7" style="2" customWidth="1"/>
    <col min="4880" max="4880" width="5.21875" style="2" customWidth="1"/>
    <col min="4881" max="4881" width="4.77734375" style="2" customWidth="1"/>
    <col min="4882" max="4882" width="5.77734375" style="2" customWidth="1"/>
    <col min="4883" max="4883" width="7.44140625" style="2" customWidth="1"/>
    <col min="4884" max="4884" width="4" style="2" customWidth="1"/>
    <col min="4885" max="4885" width="6.44140625" style="2" customWidth="1"/>
    <col min="4886" max="4886" width="5.77734375" style="2" customWidth="1"/>
    <col min="4887" max="4887" width="6.77734375" style="2" customWidth="1"/>
    <col min="4888" max="4888" width="4.21875" style="2" customWidth="1"/>
    <col min="4889" max="4889" width="7.21875" style="2" customWidth="1"/>
    <col min="4890" max="5120" width="8.77734375" style="2"/>
    <col min="5121" max="5121" width="4.5546875" style="2" customWidth="1"/>
    <col min="5122" max="5123" width="6.77734375" style="2" customWidth="1"/>
    <col min="5124" max="5124" width="3.21875" style="2" customWidth="1"/>
    <col min="5125" max="5125" width="4.21875" style="2" customWidth="1"/>
    <col min="5126" max="5126" width="5.44140625" style="2" customWidth="1"/>
    <col min="5127" max="5127" width="7.77734375" style="2" customWidth="1"/>
    <col min="5128" max="5128" width="5.21875" style="2" customWidth="1"/>
    <col min="5129" max="5129" width="7" style="2" customWidth="1"/>
    <col min="5130" max="5130" width="5.21875" style="2" customWidth="1"/>
    <col min="5131" max="5131" width="7" style="2" customWidth="1"/>
    <col min="5132" max="5132" width="4.21875" style="2" customWidth="1"/>
    <col min="5133" max="5133" width="6.77734375" style="2" customWidth="1"/>
    <col min="5134" max="5134" width="5.44140625" style="2" customWidth="1"/>
    <col min="5135" max="5135" width="7" style="2" customWidth="1"/>
    <col min="5136" max="5136" width="5.21875" style="2" customWidth="1"/>
    <col min="5137" max="5137" width="4.77734375" style="2" customWidth="1"/>
    <col min="5138" max="5138" width="5.77734375" style="2" customWidth="1"/>
    <col min="5139" max="5139" width="7.44140625" style="2" customWidth="1"/>
    <col min="5140" max="5140" width="4" style="2" customWidth="1"/>
    <col min="5141" max="5141" width="6.44140625" style="2" customWidth="1"/>
    <col min="5142" max="5142" width="5.77734375" style="2" customWidth="1"/>
    <col min="5143" max="5143" width="6.77734375" style="2" customWidth="1"/>
    <col min="5144" max="5144" width="4.21875" style="2" customWidth="1"/>
    <col min="5145" max="5145" width="7.21875" style="2" customWidth="1"/>
    <col min="5146" max="5376" width="8.77734375" style="2"/>
    <col min="5377" max="5377" width="4.5546875" style="2" customWidth="1"/>
    <col min="5378" max="5379" width="6.77734375" style="2" customWidth="1"/>
    <col min="5380" max="5380" width="3.21875" style="2" customWidth="1"/>
    <col min="5381" max="5381" width="4.21875" style="2" customWidth="1"/>
    <col min="5382" max="5382" width="5.44140625" style="2" customWidth="1"/>
    <col min="5383" max="5383" width="7.77734375" style="2" customWidth="1"/>
    <col min="5384" max="5384" width="5.21875" style="2" customWidth="1"/>
    <col min="5385" max="5385" width="7" style="2" customWidth="1"/>
    <col min="5386" max="5386" width="5.21875" style="2" customWidth="1"/>
    <col min="5387" max="5387" width="7" style="2" customWidth="1"/>
    <col min="5388" max="5388" width="4.21875" style="2" customWidth="1"/>
    <col min="5389" max="5389" width="6.77734375" style="2" customWidth="1"/>
    <col min="5390" max="5390" width="5.44140625" style="2" customWidth="1"/>
    <col min="5391" max="5391" width="7" style="2" customWidth="1"/>
    <col min="5392" max="5392" width="5.21875" style="2" customWidth="1"/>
    <col min="5393" max="5393" width="4.77734375" style="2" customWidth="1"/>
    <col min="5394" max="5394" width="5.77734375" style="2" customWidth="1"/>
    <col min="5395" max="5395" width="7.44140625" style="2" customWidth="1"/>
    <col min="5396" max="5396" width="4" style="2" customWidth="1"/>
    <col min="5397" max="5397" width="6.44140625" style="2" customWidth="1"/>
    <col min="5398" max="5398" width="5.77734375" style="2" customWidth="1"/>
    <col min="5399" max="5399" width="6.77734375" style="2" customWidth="1"/>
    <col min="5400" max="5400" width="4.21875" style="2" customWidth="1"/>
    <col min="5401" max="5401" width="7.21875" style="2" customWidth="1"/>
    <col min="5402" max="5632" width="8.77734375" style="2"/>
    <col min="5633" max="5633" width="4.5546875" style="2" customWidth="1"/>
    <col min="5634" max="5635" width="6.77734375" style="2" customWidth="1"/>
    <col min="5636" max="5636" width="3.21875" style="2" customWidth="1"/>
    <col min="5637" max="5637" width="4.21875" style="2" customWidth="1"/>
    <col min="5638" max="5638" width="5.44140625" style="2" customWidth="1"/>
    <col min="5639" max="5639" width="7.77734375" style="2" customWidth="1"/>
    <col min="5640" max="5640" width="5.21875" style="2" customWidth="1"/>
    <col min="5641" max="5641" width="7" style="2" customWidth="1"/>
    <col min="5642" max="5642" width="5.21875" style="2" customWidth="1"/>
    <col min="5643" max="5643" width="7" style="2" customWidth="1"/>
    <col min="5644" max="5644" width="4.21875" style="2" customWidth="1"/>
    <col min="5645" max="5645" width="6.77734375" style="2" customWidth="1"/>
    <col min="5646" max="5646" width="5.44140625" style="2" customWidth="1"/>
    <col min="5647" max="5647" width="7" style="2" customWidth="1"/>
    <col min="5648" max="5648" width="5.21875" style="2" customWidth="1"/>
    <col min="5649" max="5649" width="4.77734375" style="2" customWidth="1"/>
    <col min="5650" max="5650" width="5.77734375" style="2" customWidth="1"/>
    <col min="5651" max="5651" width="7.44140625" style="2" customWidth="1"/>
    <col min="5652" max="5652" width="4" style="2" customWidth="1"/>
    <col min="5653" max="5653" width="6.44140625" style="2" customWidth="1"/>
    <col min="5654" max="5654" width="5.77734375" style="2" customWidth="1"/>
    <col min="5655" max="5655" width="6.77734375" style="2" customWidth="1"/>
    <col min="5656" max="5656" width="4.21875" style="2" customWidth="1"/>
    <col min="5657" max="5657" width="7.21875" style="2" customWidth="1"/>
    <col min="5658" max="5888" width="8.77734375" style="2"/>
    <col min="5889" max="5889" width="4.5546875" style="2" customWidth="1"/>
    <col min="5890" max="5891" width="6.77734375" style="2" customWidth="1"/>
    <col min="5892" max="5892" width="3.21875" style="2" customWidth="1"/>
    <col min="5893" max="5893" width="4.21875" style="2" customWidth="1"/>
    <col min="5894" max="5894" width="5.44140625" style="2" customWidth="1"/>
    <col min="5895" max="5895" width="7.77734375" style="2" customWidth="1"/>
    <col min="5896" max="5896" width="5.21875" style="2" customWidth="1"/>
    <col min="5897" max="5897" width="7" style="2" customWidth="1"/>
    <col min="5898" max="5898" width="5.21875" style="2" customWidth="1"/>
    <col min="5899" max="5899" width="7" style="2" customWidth="1"/>
    <col min="5900" max="5900" width="4.21875" style="2" customWidth="1"/>
    <col min="5901" max="5901" width="6.77734375" style="2" customWidth="1"/>
    <col min="5902" max="5902" width="5.44140625" style="2" customWidth="1"/>
    <col min="5903" max="5903" width="7" style="2" customWidth="1"/>
    <col min="5904" max="5904" width="5.21875" style="2" customWidth="1"/>
    <col min="5905" max="5905" width="4.77734375" style="2" customWidth="1"/>
    <col min="5906" max="5906" width="5.77734375" style="2" customWidth="1"/>
    <col min="5907" max="5907" width="7.44140625" style="2" customWidth="1"/>
    <col min="5908" max="5908" width="4" style="2" customWidth="1"/>
    <col min="5909" max="5909" width="6.44140625" style="2" customWidth="1"/>
    <col min="5910" max="5910" width="5.77734375" style="2" customWidth="1"/>
    <col min="5911" max="5911" width="6.77734375" style="2" customWidth="1"/>
    <col min="5912" max="5912" width="4.21875" style="2" customWidth="1"/>
    <col min="5913" max="5913" width="7.21875" style="2" customWidth="1"/>
    <col min="5914" max="6144" width="8.77734375" style="2"/>
    <col min="6145" max="6145" width="4.5546875" style="2" customWidth="1"/>
    <col min="6146" max="6147" width="6.77734375" style="2" customWidth="1"/>
    <col min="6148" max="6148" width="3.21875" style="2" customWidth="1"/>
    <col min="6149" max="6149" width="4.21875" style="2" customWidth="1"/>
    <col min="6150" max="6150" width="5.44140625" style="2" customWidth="1"/>
    <col min="6151" max="6151" width="7.77734375" style="2" customWidth="1"/>
    <col min="6152" max="6152" width="5.21875" style="2" customWidth="1"/>
    <col min="6153" max="6153" width="7" style="2" customWidth="1"/>
    <col min="6154" max="6154" width="5.21875" style="2" customWidth="1"/>
    <col min="6155" max="6155" width="7" style="2" customWidth="1"/>
    <col min="6156" max="6156" width="4.21875" style="2" customWidth="1"/>
    <col min="6157" max="6157" width="6.77734375" style="2" customWidth="1"/>
    <col min="6158" max="6158" width="5.44140625" style="2" customWidth="1"/>
    <col min="6159" max="6159" width="7" style="2" customWidth="1"/>
    <col min="6160" max="6160" width="5.21875" style="2" customWidth="1"/>
    <col min="6161" max="6161" width="4.77734375" style="2" customWidth="1"/>
    <col min="6162" max="6162" width="5.77734375" style="2" customWidth="1"/>
    <col min="6163" max="6163" width="7.44140625" style="2" customWidth="1"/>
    <col min="6164" max="6164" width="4" style="2" customWidth="1"/>
    <col min="6165" max="6165" width="6.44140625" style="2" customWidth="1"/>
    <col min="6166" max="6166" width="5.77734375" style="2" customWidth="1"/>
    <col min="6167" max="6167" width="6.77734375" style="2" customWidth="1"/>
    <col min="6168" max="6168" width="4.21875" style="2" customWidth="1"/>
    <col min="6169" max="6169" width="7.21875" style="2" customWidth="1"/>
    <col min="6170" max="6400" width="8.77734375" style="2"/>
    <col min="6401" max="6401" width="4.5546875" style="2" customWidth="1"/>
    <col min="6402" max="6403" width="6.77734375" style="2" customWidth="1"/>
    <col min="6404" max="6404" width="3.21875" style="2" customWidth="1"/>
    <col min="6405" max="6405" width="4.21875" style="2" customWidth="1"/>
    <col min="6406" max="6406" width="5.44140625" style="2" customWidth="1"/>
    <col min="6407" max="6407" width="7.77734375" style="2" customWidth="1"/>
    <col min="6408" max="6408" width="5.21875" style="2" customWidth="1"/>
    <col min="6409" max="6409" width="7" style="2" customWidth="1"/>
    <col min="6410" max="6410" width="5.21875" style="2" customWidth="1"/>
    <col min="6411" max="6411" width="7" style="2" customWidth="1"/>
    <col min="6412" max="6412" width="4.21875" style="2" customWidth="1"/>
    <col min="6413" max="6413" width="6.77734375" style="2" customWidth="1"/>
    <col min="6414" max="6414" width="5.44140625" style="2" customWidth="1"/>
    <col min="6415" max="6415" width="7" style="2" customWidth="1"/>
    <col min="6416" max="6416" width="5.21875" style="2" customWidth="1"/>
    <col min="6417" max="6417" width="4.77734375" style="2" customWidth="1"/>
    <col min="6418" max="6418" width="5.77734375" style="2" customWidth="1"/>
    <col min="6419" max="6419" width="7.44140625" style="2" customWidth="1"/>
    <col min="6420" max="6420" width="4" style="2" customWidth="1"/>
    <col min="6421" max="6421" width="6.44140625" style="2" customWidth="1"/>
    <col min="6422" max="6422" width="5.77734375" style="2" customWidth="1"/>
    <col min="6423" max="6423" width="6.77734375" style="2" customWidth="1"/>
    <col min="6424" max="6424" width="4.21875" style="2" customWidth="1"/>
    <col min="6425" max="6425" width="7.21875" style="2" customWidth="1"/>
    <col min="6426" max="6656" width="8.77734375" style="2"/>
    <col min="6657" max="6657" width="4.5546875" style="2" customWidth="1"/>
    <col min="6658" max="6659" width="6.77734375" style="2" customWidth="1"/>
    <col min="6660" max="6660" width="3.21875" style="2" customWidth="1"/>
    <col min="6661" max="6661" width="4.21875" style="2" customWidth="1"/>
    <col min="6662" max="6662" width="5.44140625" style="2" customWidth="1"/>
    <col min="6663" max="6663" width="7.77734375" style="2" customWidth="1"/>
    <col min="6664" max="6664" width="5.21875" style="2" customWidth="1"/>
    <col min="6665" max="6665" width="7" style="2" customWidth="1"/>
    <col min="6666" max="6666" width="5.21875" style="2" customWidth="1"/>
    <col min="6667" max="6667" width="7" style="2" customWidth="1"/>
    <col min="6668" max="6668" width="4.21875" style="2" customWidth="1"/>
    <col min="6669" max="6669" width="6.77734375" style="2" customWidth="1"/>
    <col min="6670" max="6670" width="5.44140625" style="2" customWidth="1"/>
    <col min="6671" max="6671" width="7" style="2" customWidth="1"/>
    <col min="6672" max="6672" width="5.21875" style="2" customWidth="1"/>
    <col min="6673" max="6673" width="4.77734375" style="2" customWidth="1"/>
    <col min="6674" max="6674" width="5.77734375" style="2" customWidth="1"/>
    <col min="6675" max="6675" width="7.44140625" style="2" customWidth="1"/>
    <col min="6676" max="6676" width="4" style="2" customWidth="1"/>
    <col min="6677" max="6677" width="6.44140625" style="2" customWidth="1"/>
    <col min="6678" max="6678" width="5.77734375" style="2" customWidth="1"/>
    <col min="6679" max="6679" width="6.77734375" style="2" customWidth="1"/>
    <col min="6680" max="6680" width="4.21875" style="2" customWidth="1"/>
    <col min="6681" max="6681" width="7.21875" style="2" customWidth="1"/>
    <col min="6682" max="6912" width="8.77734375" style="2"/>
    <col min="6913" max="6913" width="4.5546875" style="2" customWidth="1"/>
    <col min="6914" max="6915" width="6.77734375" style="2" customWidth="1"/>
    <col min="6916" max="6916" width="3.21875" style="2" customWidth="1"/>
    <col min="6917" max="6917" width="4.21875" style="2" customWidth="1"/>
    <col min="6918" max="6918" width="5.44140625" style="2" customWidth="1"/>
    <col min="6919" max="6919" width="7.77734375" style="2" customWidth="1"/>
    <col min="6920" max="6920" width="5.21875" style="2" customWidth="1"/>
    <col min="6921" max="6921" width="7" style="2" customWidth="1"/>
    <col min="6922" max="6922" width="5.21875" style="2" customWidth="1"/>
    <col min="6923" max="6923" width="7" style="2" customWidth="1"/>
    <col min="6924" max="6924" width="4.21875" style="2" customWidth="1"/>
    <col min="6925" max="6925" width="6.77734375" style="2" customWidth="1"/>
    <col min="6926" max="6926" width="5.44140625" style="2" customWidth="1"/>
    <col min="6927" max="6927" width="7" style="2" customWidth="1"/>
    <col min="6928" max="6928" width="5.21875" style="2" customWidth="1"/>
    <col min="6929" max="6929" width="4.77734375" style="2" customWidth="1"/>
    <col min="6930" max="6930" width="5.77734375" style="2" customWidth="1"/>
    <col min="6931" max="6931" width="7.44140625" style="2" customWidth="1"/>
    <col min="6932" max="6932" width="4" style="2" customWidth="1"/>
    <col min="6933" max="6933" width="6.44140625" style="2" customWidth="1"/>
    <col min="6934" max="6934" width="5.77734375" style="2" customWidth="1"/>
    <col min="6935" max="6935" width="6.77734375" style="2" customWidth="1"/>
    <col min="6936" max="6936" width="4.21875" style="2" customWidth="1"/>
    <col min="6937" max="6937" width="7.21875" style="2" customWidth="1"/>
    <col min="6938" max="7168" width="8.77734375" style="2"/>
    <col min="7169" max="7169" width="4.5546875" style="2" customWidth="1"/>
    <col min="7170" max="7171" width="6.77734375" style="2" customWidth="1"/>
    <col min="7172" max="7172" width="3.21875" style="2" customWidth="1"/>
    <col min="7173" max="7173" width="4.21875" style="2" customWidth="1"/>
    <col min="7174" max="7174" width="5.44140625" style="2" customWidth="1"/>
    <col min="7175" max="7175" width="7.77734375" style="2" customWidth="1"/>
    <col min="7176" max="7176" width="5.21875" style="2" customWidth="1"/>
    <col min="7177" max="7177" width="7" style="2" customWidth="1"/>
    <col min="7178" max="7178" width="5.21875" style="2" customWidth="1"/>
    <col min="7179" max="7179" width="7" style="2" customWidth="1"/>
    <col min="7180" max="7180" width="4.21875" style="2" customWidth="1"/>
    <col min="7181" max="7181" width="6.77734375" style="2" customWidth="1"/>
    <col min="7182" max="7182" width="5.44140625" style="2" customWidth="1"/>
    <col min="7183" max="7183" width="7" style="2" customWidth="1"/>
    <col min="7184" max="7184" width="5.21875" style="2" customWidth="1"/>
    <col min="7185" max="7185" width="4.77734375" style="2" customWidth="1"/>
    <col min="7186" max="7186" width="5.77734375" style="2" customWidth="1"/>
    <col min="7187" max="7187" width="7.44140625" style="2" customWidth="1"/>
    <col min="7188" max="7188" width="4" style="2" customWidth="1"/>
    <col min="7189" max="7189" width="6.44140625" style="2" customWidth="1"/>
    <col min="7190" max="7190" width="5.77734375" style="2" customWidth="1"/>
    <col min="7191" max="7191" width="6.77734375" style="2" customWidth="1"/>
    <col min="7192" max="7192" width="4.21875" style="2" customWidth="1"/>
    <col min="7193" max="7193" width="7.21875" style="2" customWidth="1"/>
    <col min="7194" max="7424" width="8.77734375" style="2"/>
    <col min="7425" max="7425" width="4.5546875" style="2" customWidth="1"/>
    <col min="7426" max="7427" width="6.77734375" style="2" customWidth="1"/>
    <col min="7428" max="7428" width="3.21875" style="2" customWidth="1"/>
    <col min="7429" max="7429" width="4.21875" style="2" customWidth="1"/>
    <col min="7430" max="7430" width="5.44140625" style="2" customWidth="1"/>
    <col min="7431" max="7431" width="7.77734375" style="2" customWidth="1"/>
    <col min="7432" max="7432" width="5.21875" style="2" customWidth="1"/>
    <col min="7433" max="7433" width="7" style="2" customWidth="1"/>
    <col min="7434" max="7434" width="5.21875" style="2" customWidth="1"/>
    <col min="7435" max="7435" width="7" style="2" customWidth="1"/>
    <col min="7436" max="7436" width="4.21875" style="2" customWidth="1"/>
    <col min="7437" max="7437" width="6.77734375" style="2" customWidth="1"/>
    <col min="7438" max="7438" width="5.44140625" style="2" customWidth="1"/>
    <col min="7439" max="7439" width="7" style="2" customWidth="1"/>
    <col min="7440" max="7440" width="5.21875" style="2" customWidth="1"/>
    <col min="7441" max="7441" width="4.77734375" style="2" customWidth="1"/>
    <col min="7442" max="7442" width="5.77734375" style="2" customWidth="1"/>
    <col min="7443" max="7443" width="7.44140625" style="2" customWidth="1"/>
    <col min="7444" max="7444" width="4" style="2" customWidth="1"/>
    <col min="7445" max="7445" width="6.44140625" style="2" customWidth="1"/>
    <col min="7446" max="7446" width="5.77734375" style="2" customWidth="1"/>
    <col min="7447" max="7447" width="6.77734375" style="2" customWidth="1"/>
    <col min="7448" max="7448" width="4.21875" style="2" customWidth="1"/>
    <col min="7449" max="7449" width="7.21875" style="2" customWidth="1"/>
    <col min="7450" max="7680" width="8.77734375" style="2"/>
    <col min="7681" max="7681" width="4.5546875" style="2" customWidth="1"/>
    <col min="7682" max="7683" width="6.77734375" style="2" customWidth="1"/>
    <col min="7684" max="7684" width="3.21875" style="2" customWidth="1"/>
    <col min="7685" max="7685" width="4.21875" style="2" customWidth="1"/>
    <col min="7686" max="7686" width="5.44140625" style="2" customWidth="1"/>
    <col min="7687" max="7687" width="7.77734375" style="2" customWidth="1"/>
    <col min="7688" max="7688" width="5.21875" style="2" customWidth="1"/>
    <col min="7689" max="7689" width="7" style="2" customWidth="1"/>
    <col min="7690" max="7690" width="5.21875" style="2" customWidth="1"/>
    <col min="7691" max="7691" width="7" style="2" customWidth="1"/>
    <col min="7692" max="7692" width="4.21875" style="2" customWidth="1"/>
    <col min="7693" max="7693" width="6.77734375" style="2" customWidth="1"/>
    <col min="7694" max="7694" width="5.44140625" style="2" customWidth="1"/>
    <col min="7695" max="7695" width="7" style="2" customWidth="1"/>
    <col min="7696" max="7696" width="5.21875" style="2" customWidth="1"/>
    <col min="7697" max="7697" width="4.77734375" style="2" customWidth="1"/>
    <col min="7698" max="7698" width="5.77734375" style="2" customWidth="1"/>
    <col min="7699" max="7699" width="7.44140625" style="2" customWidth="1"/>
    <col min="7700" max="7700" width="4" style="2" customWidth="1"/>
    <col min="7701" max="7701" width="6.44140625" style="2" customWidth="1"/>
    <col min="7702" max="7702" width="5.77734375" style="2" customWidth="1"/>
    <col min="7703" max="7703" width="6.77734375" style="2" customWidth="1"/>
    <col min="7704" max="7704" width="4.21875" style="2" customWidth="1"/>
    <col min="7705" max="7705" width="7.21875" style="2" customWidth="1"/>
    <col min="7706" max="7936" width="8.77734375" style="2"/>
    <col min="7937" max="7937" width="4.5546875" style="2" customWidth="1"/>
    <col min="7938" max="7939" width="6.77734375" style="2" customWidth="1"/>
    <col min="7940" max="7940" width="3.21875" style="2" customWidth="1"/>
    <col min="7941" max="7941" width="4.21875" style="2" customWidth="1"/>
    <col min="7942" max="7942" width="5.44140625" style="2" customWidth="1"/>
    <col min="7943" max="7943" width="7.77734375" style="2" customWidth="1"/>
    <col min="7944" max="7944" width="5.21875" style="2" customWidth="1"/>
    <col min="7945" max="7945" width="7" style="2" customWidth="1"/>
    <col min="7946" max="7946" width="5.21875" style="2" customWidth="1"/>
    <col min="7947" max="7947" width="7" style="2" customWidth="1"/>
    <col min="7948" max="7948" width="4.21875" style="2" customWidth="1"/>
    <col min="7949" max="7949" width="6.77734375" style="2" customWidth="1"/>
    <col min="7950" max="7950" width="5.44140625" style="2" customWidth="1"/>
    <col min="7951" max="7951" width="7" style="2" customWidth="1"/>
    <col min="7952" max="7952" width="5.21875" style="2" customWidth="1"/>
    <col min="7953" max="7953" width="4.77734375" style="2" customWidth="1"/>
    <col min="7954" max="7954" width="5.77734375" style="2" customWidth="1"/>
    <col min="7955" max="7955" width="7.44140625" style="2" customWidth="1"/>
    <col min="7956" max="7956" width="4" style="2" customWidth="1"/>
    <col min="7957" max="7957" width="6.44140625" style="2" customWidth="1"/>
    <col min="7958" max="7958" width="5.77734375" style="2" customWidth="1"/>
    <col min="7959" max="7959" width="6.77734375" style="2" customWidth="1"/>
    <col min="7960" max="7960" width="4.21875" style="2" customWidth="1"/>
    <col min="7961" max="7961" width="7.21875" style="2" customWidth="1"/>
    <col min="7962" max="8192" width="8.77734375" style="2"/>
    <col min="8193" max="8193" width="4.5546875" style="2" customWidth="1"/>
    <col min="8194" max="8195" width="6.77734375" style="2" customWidth="1"/>
    <col min="8196" max="8196" width="3.21875" style="2" customWidth="1"/>
    <col min="8197" max="8197" width="4.21875" style="2" customWidth="1"/>
    <col min="8198" max="8198" width="5.44140625" style="2" customWidth="1"/>
    <col min="8199" max="8199" width="7.77734375" style="2" customWidth="1"/>
    <col min="8200" max="8200" width="5.21875" style="2" customWidth="1"/>
    <col min="8201" max="8201" width="7" style="2" customWidth="1"/>
    <col min="8202" max="8202" width="5.21875" style="2" customWidth="1"/>
    <col min="8203" max="8203" width="7" style="2" customWidth="1"/>
    <col min="8204" max="8204" width="4.21875" style="2" customWidth="1"/>
    <col min="8205" max="8205" width="6.77734375" style="2" customWidth="1"/>
    <col min="8206" max="8206" width="5.44140625" style="2" customWidth="1"/>
    <col min="8207" max="8207" width="7" style="2" customWidth="1"/>
    <col min="8208" max="8208" width="5.21875" style="2" customWidth="1"/>
    <col min="8209" max="8209" width="4.77734375" style="2" customWidth="1"/>
    <col min="8210" max="8210" width="5.77734375" style="2" customWidth="1"/>
    <col min="8211" max="8211" width="7.44140625" style="2" customWidth="1"/>
    <col min="8212" max="8212" width="4" style="2" customWidth="1"/>
    <col min="8213" max="8213" width="6.44140625" style="2" customWidth="1"/>
    <col min="8214" max="8214" width="5.77734375" style="2" customWidth="1"/>
    <col min="8215" max="8215" width="6.77734375" style="2" customWidth="1"/>
    <col min="8216" max="8216" width="4.21875" style="2" customWidth="1"/>
    <col min="8217" max="8217" width="7.21875" style="2" customWidth="1"/>
    <col min="8218" max="8448" width="8.77734375" style="2"/>
    <col min="8449" max="8449" width="4.5546875" style="2" customWidth="1"/>
    <col min="8450" max="8451" width="6.77734375" style="2" customWidth="1"/>
    <col min="8452" max="8452" width="3.21875" style="2" customWidth="1"/>
    <col min="8453" max="8453" width="4.21875" style="2" customWidth="1"/>
    <col min="8454" max="8454" width="5.44140625" style="2" customWidth="1"/>
    <col min="8455" max="8455" width="7.77734375" style="2" customWidth="1"/>
    <col min="8456" max="8456" width="5.21875" style="2" customWidth="1"/>
    <col min="8457" max="8457" width="7" style="2" customWidth="1"/>
    <col min="8458" max="8458" width="5.21875" style="2" customWidth="1"/>
    <col min="8459" max="8459" width="7" style="2" customWidth="1"/>
    <col min="8460" max="8460" width="4.21875" style="2" customWidth="1"/>
    <col min="8461" max="8461" width="6.77734375" style="2" customWidth="1"/>
    <col min="8462" max="8462" width="5.44140625" style="2" customWidth="1"/>
    <col min="8463" max="8463" width="7" style="2" customWidth="1"/>
    <col min="8464" max="8464" width="5.21875" style="2" customWidth="1"/>
    <col min="8465" max="8465" width="4.77734375" style="2" customWidth="1"/>
    <col min="8466" max="8466" width="5.77734375" style="2" customWidth="1"/>
    <col min="8467" max="8467" width="7.44140625" style="2" customWidth="1"/>
    <col min="8468" max="8468" width="4" style="2" customWidth="1"/>
    <col min="8469" max="8469" width="6.44140625" style="2" customWidth="1"/>
    <col min="8470" max="8470" width="5.77734375" style="2" customWidth="1"/>
    <col min="8471" max="8471" width="6.77734375" style="2" customWidth="1"/>
    <col min="8472" max="8472" width="4.21875" style="2" customWidth="1"/>
    <col min="8473" max="8473" width="7.21875" style="2" customWidth="1"/>
    <col min="8474" max="8704" width="8.77734375" style="2"/>
    <col min="8705" max="8705" width="4.5546875" style="2" customWidth="1"/>
    <col min="8706" max="8707" width="6.77734375" style="2" customWidth="1"/>
    <col min="8708" max="8708" width="3.21875" style="2" customWidth="1"/>
    <col min="8709" max="8709" width="4.21875" style="2" customWidth="1"/>
    <col min="8710" max="8710" width="5.44140625" style="2" customWidth="1"/>
    <col min="8711" max="8711" width="7.77734375" style="2" customWidth="1"/>
    <col min="8712" max="8712" width="5.21875" style="2" customWidth="1"/>
    <col min="8713" max="8713" width="7" style="2" customWidth="1"/>
    <col min="8714" max="8714" width="5.21875" style="2" customWidth="1"/>
    <col min="8715" max="8715" width="7" style="2" customWidth="1"/>
    <col min="8716" max="8716" width="4.21875" style="2" customWidth="1"/>
    <col min="8717" max="8717" width="6.77734375" style="2" customWidth="1"/>
    <col min="8718" max="8718" width="5.44140625" style="2" customWidth="1"/>
    <col min="8719" max="8719" width="7" style="2" customWidth="1"/>
    <col min="8720" max="8720" width="5.21875" style="2" customWidth="1"/>
    <col min="8721" max="8721" width="4.77734375" style="2" customWidth="1"/>
    <col min="8722" max="8722" width="5.77734375" style="2" customWidth="1"/>
    <col min="8723" max="8723" width="7.44140625" style="2" customWidth="1"/>
    <col min="8724" max="8724" width="4" style="2" customWidth="1"/>
    <col min="8725" max="8725" width="6.44140625" style="2" customWidth="1"/>
    <col min="8726" max="8726" width="5.77734375" style="2" customWidth="1"/>
    <col min="8727" max="8727" width="6.77734375" style="2" customWidth="1"/>
    <col min="8728" max="8728" width="4.21875" style="2" customWidth="1"/>
    <col min="8729" max="8729" width="7.21875" style="2" customWidth="1"/>
    <col min="8730" max="8960" width="8.77734375" style="2"/>
    <col min="8961" max="8961" width="4.5546875" style="2" customWidth="1"/>
    <col min="8962" max="8963" width="6.77734375" style="2" customWidth="1"/>
    <col min="8964" max="8964" width="3.21875" style="2" customWidth="1"/>
    <col min="8965" max="8965" width="4.21875" style="2" customWidth="1"/>
    <col min="8966" max="8966" width="5.44140625" style="2" customWidth="1"/>
    <col min="8967" max="8967" width="7.77734375" style="2" customWidth="1"/>
    <col min="8968" max="8968" width="5.21875" style="2" customWidth="1"/>
    <col min="8969" max="8969" width="7" style="2" customWidth="1"/>
    <col min="8970" max="8970" width="5.21875" style="2" customWidth="1"/>
    <col min="8971" max="8971" width="7" style="2" customWidth="1"/>
    <col min="8972" max="8972" width="4.21875" style="2" customWidth="1"/>
    <col min="8973" max="8973" width="6.77734375" style="2" customWidth="1"/>
    <col min="8974" max="8974" width="5.44140625" style="2" customWidth="1"/>
    <col min="8975" max="8975" width="7" style="2" customWidth="1"/>
    <col min="8976" max="8976" width="5.21875" style="2" customWidth="1"/>
    <col min="8977" max="8977" width="4.77734375" style="2" customWidth="1"/>
    <col min="8978" max="8978" width="5.77734375" style="2" customWidth="1"/>
    <col min="8979" max="8979" width="7.44140625" style="2" customWidth="1"/>
    <col min="8980" max="8980" width="4" style="2" customWidth="1"/>
    <col min="8981" max="8981" width="6.44140625" style="2" customWidth="1"/>
    <col min="8982" max="8982" width="5.77734375" style="2" customWidth="1"/>
    <col min="8983" max="8983" width="6.77734375" style="2" customWidth="1"/>
    <col min="8984" max="8984" width="4.21875" style="2" customWidth="1"/>
    <col min="8985" max="8985" width="7.21875" style="2" customWidth="1"/>
    <col min="8986" max="9216" width="8.77734375" style="2"/>
    <col min="9217" max="9217" width="4.5546875" style="2" customWidth="1"/>
    <col min="9218" max="9219" width="6.77734375" style="2" customWidth="1"/>
    <col min="9220" max="9220" width="3.21875" style="2" customWidth="1"/>
    <col min="9221" max="9221" width="4.21875" style="2" customWidth="1"/>
    <col min="9222" max="9222" width="5.44140625" style="2" customWidth="1"/>
    <col min="9223" max="9223" width="7.77734375" style="2" customWidth="1"/>
    <col min="9224" max="9224" width="5.21875" style="2" customWidth="1"/>
    <col min="9225" max="9225" width="7" style="2" customWidth="1"/>
    <col min="9226" max="9226" width="5.21875" style="2" customWidth="1"/>
    <col min="9227" max="9227" width="7" style="2" customWidth="1"/>
    <col min="9228" max="9228" width="4.21875" style="2" customWidth="1"/>
    <col min="9229" max="9229" width="6.77734375" style="2" customWidth="1"/>
    <col min="9230" max="9230" width="5.44140625" style="2" customWidth="1"/>
    <col min="9231" max="9231" width="7" style="2" customWidth="1"/>
    <col min="9232" max="9232" width="5.21875" style="2" customWidth="1"/>
    <col min="9233" max="9233" width="4.77734375" style="2" customWidth="1"/>
    <col min="9234" max="9234" width="5.77734375" style="2" customWidth="1"/>
    <col min="9235" max="9235" width="7.44140625" style="2" customWidth="1"/>
    <col min="9236" max="9236" width="4" style="2" customWidth="1"/>
    <col min="9237" max="9237" width="6.44140625" style="2" customWidth="1"/>
    <col min="9238" max="9238" width="5.77734375" style="2" customWidth="1"/>
    <col min="9239" max="9239" width="6.77734375" style="2" customWidth="1"/>
    <col min="9240" max="9240" width="4.21875" style="2" customWidth="1"/>
    <col min="9241" max="9241" width="7.21875" style="2" customWidth="1"/>
    <col min="9242" max="9472" width="8.77734375" style="2"/>
    <col min="9473" max="9473" width="4.5546875" style="2" customWidth="1"/>
    <col min="9474" max="9475" width="6.77734375" style="2" customWidth="1"/>
    <col min="9476" max="9476" width="3.21875" style="2" customWidth="1"/>
    <col min="9477" max="9477" width="4.21875" style="2" customWidth="1"/>
    <col min="9478" max="9478" width="5.44140625" style="2" customWidth="1"/>
    <col min="9479" max="9479" width="7.77734375" style="2" customWidth="1"/>
    <col min="9480" max="9480" width="5.21875" style="2" customWidth="1"/>
    <col min="9481" max="9481" width="7" style="2" customWidth="1"/>
    <col min="9482" max="9482" width="5.21875" style="2" customWidth="1"/>
    <col min="9483" max="9483" width="7" style="2" customWidth="1"/>
    <col min="9484" max="9484" width="4.21875" style="2" customWidth="1"/>
    <col min="9485" max="9485" width="6.77734375" style="2" customWidth="1"/>
    <col min="9486" max="9486" width="5.44140625" style="2" customWidth="1"/>
    <col min="9487" max="9487" width="7" style="2" customWidth="1"/>
    <col min="9488" max="9488" width="5.21875" style="2" customWidth="1"/>
    <col min="9489" max="9489" width="4.77734375" style="2" customWidth="1"/>
    <col min="9490" max="9490" width="5.77734375" style="2" customWidth="1"/>
    <col min="9491" max="9491" width="7.44140625" style="2" customWidth="1"/>
    <col min="9492" max="9492" width="4" style="2" customWidth="1"/>
    <col min="9493" max="9493" width="6.44140625" style="2" customWidth="1"/>
    <col min="9494" max="9494" width="5.77734375" style="2" customWidth="1"/>
    <col min="9495" max="9495" width="6.77734375" style="2" customWidth="1"/>
    <col min="9496" max="9496" width="4.21875" style="2" customWidth="1"/>
    <col min="9497" max="9497" width="7.21875" style="2" customWidth="1"/>
    <col min="9498" max="9728" width="8.77734375" style="2"/>
    <col min="9729" max="9729" width="4.5546875" style="2" customWidth="1"/>
    <col min="9730" max="9731" width="6.77734375" style="2" customWidth="1"/>
    <col min="9732" max="9732" width="3.21875" style="2" customWidth="1"/>
    <col min="9733" max="9733" width="4.21875" style="2" customWidth="1"/>
    <col min="9734" max="9734" width="5.44140625" style="2" customWidth="1"/>
    <col min="9735" max="9735" width="7.77734375" style="2" customWidth="1"/>
    <col min="9736" max="9736" width="5.21875" style="2" customWidth="1"/>
    <col min="9737" max="9737" width="7" style="2" customWidth="1"/>
    <col min="9738" max="9738" width="5.21875" style="2" customWidth="1"/>
    <col min="9739" max="9739" width="7" style="2" customWidth="1"/>
    <col min="9740" max="9740" width="4.21875" style="2" customWidth="1"/>
    <col min="9741" max="9741" width="6.77734375" style="2" customWidth="1"/>
    <col min="9742" max="9742" width="5.44140625" style="2" customWidth="1"/>
    <col min="9743" max="9743" width="7" style="2" customWidth="1"/>
    <col min="9744" max="9744" width="5.21875" style="2" customWidth="1"/>
    <col min="9745" max="9745" width="4.77734375" style="2" customWidth="1"/>
    <col min="9746" max="9746" width="5.77734375" style="2" customWidth="1"/>
    <col min="9747" max="9747" width="7.44140625" style="2" customWidth="1"/>
    <col min="9748" max="9748" width="4" style="2" customWidth="1"/>
    <col min="9749" max="9749" width="6.44140625" style="2" customWidth="1"/>
    <col min="9750" max="9750" width="5.77734375" style="2" customWidth="1"/>
    <col min="9751" max="9751" width="6.77734375" style="2" customWidth="1"/>
    <col min="9752" max="9752" width="4.21875" style="2" customWidth="1"/>
    <col min="9753" max="9753" width="7.21875" style="2" customWidth="1"/>
    <col min="9754" max="9984" width="8.77734375" style="2"/>
    <col min="9985" max="9985" width="4.5546875" style="2" customWidth="1"/>
    <col min="9986" max="9987" width="6.77734375" style="2" customWidth="1"/>
    <col min="9988" max="9988" width="3.21875" style="2" customWidth="1"/>
    <col min="9989" max="9989" width="4.21875" style="2" customWidth="1"/>
    <col min="9990" max="9990" width="5.44140625" style="2" customWidth="1"/>
    <col min="9991" max="9991" width="7.77734375" style="2" customWidth="1"/>
    <col min="9992" max="9992" width="5.21875" style="2" customWidth="1"/>
    <col min="9993" max="9993" width="7" style="2" customWidth="1"/>
    <col min="9994" max="9994" width="5.21875" style="2" customWidth="1"/>
    <col min="9995" max="9995" width="7" style="2" customWidth="1"/>
    <col min="9996" max="9996" width="4.21875" style="2" customWidth="1"/>
    <col min="9997" max="9997" width="6.77734375" style="2" customWidth="1"/>
    <col min="9998" max="9998" width="5.44140625" style="2" customWidth="1"/>
    <col min="9999" max="9999" width="7" style="2" customWidth="1"/>
    <col min="10000" max="10000" width="5.21875" style="2" customWidth="1"/>
    <col min="10001" max="10001" width="4.77734375" style="2" customWidth="1"/>
    <col min="10002" max="10002" width="5.77734375" style="2" customWidth="1"/>
    <col min="10003" max="10003" width="7.44140625" style="2" customWidth="1"/>
    <col min="10004" max="10004" width="4" style="2" customWidth="1"/>
    <col min="10005" max="10005" width="6.44140625" style="2" customWidth="1"/>
    <col min="10006" max="10006" width="5.77734375" style="2" customWidth="1"/>
    <col min="10007" max="10007" width="6.77734375" style="2" customWidth="1"/>
    <col min="10008" max="10008" width="4.21875" style="2" customWidth="1"/>
    <col min="10009" max="10009" width="7.21875" style="2" customWidth="1"/>
    <col min="10010" max="10240" width="8.77734375" style="2"/>
    <col min="10241" max="10241" width="4.5546875" style="2" customWidth="1"/>
    <col min="10242" max="10243" width="6.77734375" style="2" customWidth="1"/>
    <col min="10244" max="10244" width="3.21875" style="2" customWidth="1"/>
    <col min="10245" max="10245" width="4.21875" style="2" customWidth="1"/>
    <col min="10246" max="10246" width="5.44140625" style="2" customWidth="1"/>
    <col min="10247" max="10247" width="7.77734375" style="2" customWidth="1"/>
    <col min="10248" max="10248" width="5.21875" style="2" customWidth="1"/>
    <col min="10249" max="10249" width="7" style="2" customWidth="1"/>
    <col min="10250" max="10250" width="5.21875" style="2" customWidth="1"/>
    <col min="10251" max="10251" width="7" style="2" customWidth="1"/>
    <col min="10252" max="10252" width="4.21875" style="2" customWidth="1"/>
    <col min="10253" max="10253" width="6.77734375" style="2" customWidth="1"/>
    <col min="10254" max="10254" width="5.44140625" style="2" customWidth="1"/>
    <col min="10255" max="10255" width="7" style="2" customWidth="1"/>
    <col min="10256" max="10256" width="5.21875" style="2" customWidth="1"/>
    <col min="10257" max="10257" width="4.77734375" style="2" customWidth="1"/>
    <col min="10258" max="10258" width="5.77734375" style="2" customWidth="1"/>
    <col min="10259" max="10259" width="7.44140625" style="2" customWidth="1"/>
    <col min="10260" max="10260" width="4" style="2" customWidth="1"/>
    <col min="10261" max="10261" width="6.44140625" style="2" customWidth="1"/>
    <col min="10262" max="10262" width="5.77734375" style="2" customWidth="1"/>
    <col min="10263" max="10263" width="6.77734375" style="2" customWidth="1"/>
    <col min="10264" max="10264" width="4.21875" style="2" customWidth="1"/>
    <col min="10265" max="10265" width="7.21875" style="2" customWidth="1"/>
    <col min="10266" max="10496" width="8.77734375" style="2"/>
    <col min="10497" max="10497" width="4.5546875" style="2" customWidth="1"/>
    <col min="10498" max="10499" width="6.77734375" style="2" customWidth="1"/>
    <col min="10500" max="10500" width="3.21875" style="2" customWidth="1"/>
    <col min="10501" max="10501" width="4.21875" style="2" customWidth="1"/>
    <col min="10502" max="10502" width="5.44140625" style="2" customWidth="1"/>
    <col min="10503" max="10503" width="7.77734375" style="2" customWidth="1"/>
    <col min="10504" max="10504" width="5.21875" style="2" customWidth="1"/>
    <col min="10505" max="10505" width="7" style="2" customWidth="1"/>
    <col min="10506" max="10506" width="5.21875" style="2" customWidth="1"/>
    <col min="10507" max="10507" width="7" style="2" customWidth="1"/>
    <col min="10508" max="10508" width="4.21875" style="2" customWidth="1"/>
    <col min="10509" max="10509" width="6.77734375" style="2" customWidth="1"/>
    <col min="10510" max="10510" width="5.44140625" style="2" customWidth="1"/>
    <col min="10511" max="10511" width="7" style="2" customWidth="1"/>
    <col min="10512" max="10512" width="5.21875" style="2" customWidth="1"/>
    <col min="10513" max="10513" width="4.77734375" style="2" customWidth="1"/>
    <col min="10514" max="10514" width="5.77734375" style="2" customWidth="1"/>
    <col min="10515" max="10515" width="7.44140625" style="2" customWidth="1"/>
    <col min="10516" max="10516" width="4" style="2" customWidth="1"/>
    <col min="10517" max="10517" width="6.44140625" style="2" customWidth="1"/>
    <col min="10518" max="10518" width="5.77734375" style="2" customWidth="1"/>
    <col min="10519" max="10519" width="6.77734375" style="2" customWidth="1"/>
    <col min="10520" max="10520" width="4.21875" style="2" customWidth="1"/>
    <col min="10521" max="10521" width="7.21875" style="2" customWidth="1"/>
    <col min="10522" max="10752" width="8.77734375" style="2"/>
    <col min="10753" max="10753" width="4.5546875" style="2" customWidth="1"/>
    <col min="10754" max="10755" width="6.77734375" style="2" customWidth="1"/>
    <col min="10756" max="10756" width="3.21875" style="2" customWidth="1"/>
    <col min="10757" max="10757" width="4.21875" style="2" customWidth="1"/>
    <col min="10758" max="10758" width="5.44140625" style="2" customWidth="1"/>
    <col min="10759" max="10759" width="7.77734375" style="2" customWidth="1"/>
    <col min="10760" max="10760" width="5.21875" style="2" customWidth="1"/>
    <col min="10761" max="10761" width="7" style="2" customWidth="1"/>
    <col min="10762" max="10762" width="5.21875" style="2" customWidth="1"/>
    <col min="10763" max="10763" width="7" style="2" customWidth="1"/>
    <col min="10764" max="10764" width="4.21875" style="2" customWidth="1"/>
    <col min="10765" max="10765" width="6.77734375" style="2" customWidth="1"/>
    <col min="10766" max="10766" width="5.44140625" style="2" customWidth="1"/>
    <col min="10767" max="10767" width="7" style="2" customWidth="1"/>
    <col min="10768" max="10768" width="5.21875" style="2" customWidth="1"/>
    <col min="10769" max="10769" width="4.77734375" style="2" customWidth="1"/>
    <col min="10770" max="10770" width="5.77734375" style="2" customWidth="1"/>
    <col min="10771" max="10771" width="7.44140625" style="2" customWidth="1"/>
    <col min="10772" max="10772" width="4" style="2" customWidth="1"/>
    <col min="10773" max="10773" width="6.44140625" style="2" customWidth="1"/>
    <col min="10774" max="10774" width="5.77734375" style="2" customWidth="1"/>
    <col min="10775" max="10775" width="6.77734375" style="2" customWidth="1"/>
    <col min="10776" max="10776" width="4.21875" style="2" customWidth="1"/>
    <col min="10777" max="10777" width="7.21875" style="2" customWidth="1"/>
    <col min="10778" max="11008" width="8.77734375" style="2"/>
    <col min="11009" max="11009" width="4.5546875" style="2" customWidth="1"/>
    <col min="11010" max="11011" width="6.77734375" style="2" customWidth="1"/>
    <col min="11012" max="11012" width="3.21875" style="2" customWidth="1"/>
    <col min="11013" max="11013" width="4.21875" style="2" customWidth="1"/>
    <col min="11014" max="11014" width="5.44140625" style="2" customWidth="1"/>
    <col min="11015" max="11015" width="7.77734375" style="2" customWidth="1"/>
    <col min="11016" max="11016" width="5.21875" style="2" customWidth="1"/>
    <col min="11017" max="11017" width="7" style="2" customWidth="1"/>
    <col min="11018" max="11018" width="5.21875" style="2" customWidth="1"/>
    <col min="11019" max="11019" width="7" style="2" customWidth="1"/>
    <col min="11020" max="11020" width="4.21875" style="2" customWidth="1"/>
    <col min="11021" max="11021" width="6.77734375" style="2" customWidth="1"/>
    <col min="11022" max="11022" width="5.44140625" style="2" customWidth="1"/>
    <col min="11023" max="11023" width="7" style="2" customWidth="1"/>
    <col min="11024" max="11024" width="5.21875" style="2" customWidth="1"/>
    <col min="11025" max="11025" width="4.77734375" style="2" customWidth="1"/>
    <col min="11026" max="11026" width="5.77734375" style="2" customWidth="1"/>
    <col min="11027" max="11027" width="7.44140625" style="2" customWidth="1"/>
    <col min="11028" max="11028" width="4" style="2" customWidth="1"/>
    <col min="11029" max="11029" width="6.44140625" style="2" customWidth="1"/>
    <col min="11030" max="11030" width="5.77734375" style="2" customWidth="1"/>
    <col min="11031" max="11031" width="6.77734375" style="2" customWidth="1"/>
    <col min="11032" max="11032" width="4.21875" style="2" customWidth="1"/>
    <col min="11033" max="11033" width="7.21875" style="2" customWidth="1"/>
    <col min="11034" max="11264" width="8.77734375" style="2"/>
    <col min="11265" max="11265" width="4.5546875" style="2" customWidth="1"/>
    <col min="11266" max="11267" width="6.77734375" style="2" customWidth="1"/>
    <col min="11268" max="11268" width="3.21875" style="2" customWidth="1"/>
    <col min="11269" max="11269" width="4.21875" style="2" customWidth="1"/>
    <col min="11270" max="11270" width="5.44140625" style="2" customWidth="1"/>
    <col min="11271" max="11271" width="7.77734375" style="2" customWidth="1"/>
    <col min="11272" max="11272" width="5.21875" style="2" customWidth="1"/>
    <col min="11273" max="11273" width="7" style="2" customWidth="1"/>
    <col min="11274" max="11274" width="5.21875" style="2" customWidth="1"/>
    <col min="11275" max="11275" width="7" style="2" customWidth="1"/>
    <col min="11276" max="11276" width="4.21875" style="2" customWidth="1"/>
    <col min="11277" max="11277" width="6.77734375" style="2" customWidth="1"/>
    <col min="11278" max="11278" width="5.44140625" style="2" customWidth="1"/>
    <col min="11279" max="11279" width="7" style="2" customWidth="1"/>
    <col min="11280" max="11280" width="5.21875" style="2" customWidth="1"/>
    <col min="11281" max="11281" width="4.77734375" style="2" customWidth="1"/>
    <col min="11282" max="11282" width="5.77734375" style="2" customWidth="1"/>
    <col min="11283" max="11283" width="7.44140625" style="2" customWidth="1"/>
    <col min="11284" max="11284" width="4" style="2" customWidth="1"/>
    <col min="11285" max="11285" width="6.44140625" style="2" customWidth="1"/>
    <col min="11286" max="11286" width="5.77734375" style="2" customWidth="1"/>
    <col min="11287" max="11287" width="6.77734375" style="2" customWidth="1"/>
    <col min="11288" max="11288" width="4.21875" style="2" customWidth="1"/>
    <col min="11289" max="11289" width="7.21875" style="2" customWidth="1"/>
    <col min="11290" max="11520" width="8.77734375" style="2"/>
    <col min="11521" max="11521" width="4.5546875" style="2" customWidth="1"/>
    <col min="11522" max="11523" width="6.77734375" style="2" customWidth="1"/>
    <col min="11524" max="11524" width="3.21875" style="2" customWidth="1"/>
    <col min="11525" max="11525" width="4.21875" style="2" customWidth="1"/>
    <col min="11526" max="11526" width="5.44140625" style="2" customWidth="1"/>
    <col min="11527" max="11527" width="7.77734375" style="2" customWidth="1"/>
    <col min="11528" max="11528" width="5.21875" style="2" customWidth="1"/>
    <col min="11529" max="11529" width="7" style="2" customWidth="1"/>
    <col min="11530" max="11530" width="5.21875" style="2" customWidth="1"/>
    <col min="11531" max="11531" width="7" style="2" customWidth="1"/>
    <col min="11532" max="11532" width="4.21875" style="2" customWidth="1"/>
    <col min="11533" max="11533" width="6.77734375" style="2" customWidth="1"/>
    <col min="11534" max="11534" width="5.44140625" style="2" customWidth="1"/>
    <col min="11535" max="11535" width="7" style="2" customWidth="1"/>
    <col min="11536" max="11536" width="5.21875" style="2" customWidth="1"/>
    <col min="11537" max="11537" width="4.77734375" style="2" customWidth="1"/>
    <col min="11538" max="11538" width="5.77734375" style="2" customWidth="1"/>
    <col min="11539" max="11539" width="7.44140625" style="2" customWidth="1"/>
    <col min="11540" max="11540" width="4" style="2" customWidth="1"/>
    <col min="11541" max="11541" width="6.44140625" style="2" customWidth="1"/>
    <col min="11542" max="11542" width="5.77734375" style="2" customWidth="1"/>
    <col min="11543" max="11543" width="6.77734375" style="2" customWidth="1"/>
    <col min="11544" max="11544" width="4.21875" style="2" customWidth="1"/>
    <col min="11545" max="11545" width="7.21875" style="2" customWidth="1"/>
    <col min="11546" max="11776" width="8.77734375" style="2"/>
    <col min="11777" max="11777" width="4.5546875" style="2" customWidth="1"/>
    <col min="11778" max="11779" width="6.77734375" style="2" customWidth="1"/>
    <col min="11780" max="11780" width="3.21875" style="2" customWidth="1"/>
    <col min="11781" max="11781" width="4.21875" style="2" customWidth="1"/>
    <col min="11782" max="11782" width="5.44140625" style="2" customWidth="1"/>
    <col min="11783" max="11783" width="7.77734375" style="2" customWidth="1"/>
    <col min="11784" max="11784" width="5.21875" style="2" customWidth="1"/>
    <col min="11785" max="11785" width="7" style="2" customWidth="1"/>
    <col min="11786" max="11786" width="5.21875" style="2" customWidth="1"/>
    <col min="11787" max="11787" width="7" style="2" customWidth="1"/>
    <col min="11788" max="11788" width="4.21875" style="2" customWidth="1"/>
    <col min="11789" max="11789" width="6.77734375" style="2" customWidth="1"/>
    <col min="11790" max="11790" width="5.44140625" style="2" customWidth="1"/>
    <col min="11791" max="11791" width="7" style="2" customWidth="1"/>
    <col min="11792" max="11792" width="5.21875" style="2" customWidth="1"/>
    <col min="11793" max="11793" width="4.77734375" style="2" customWidth="1"/>
    <col min="11794" max="11794" width="5.77734375" style="2" customWidth="1"/>
    <col min="11795" max="11795" width="7.44140625" style="2" customWidth="1"/>
    <col min="11796" max="11796" width="4" style="2" customWidth="1"/>
    <col min="11797" max="11797" width="6.44140625" style="2" customWidth="1"/>
    <col min="11798" max="11798" width="5.77734375" style="2" customWidth="1"/>
    <col min="11799" max="11799" width="6.77734375" style="2" customWidth="1"/>
    <col min="11800" max="11800" width="4.21875" style="2" customWidth="1"/>
    <col min="11801" max="11801" width="7.21875" style="2" customWidth="1"/>
    <col min="11802" max="12032" width="8.77734375" style="2"/>
    <col min="12033" max="12033" width="4.5546875" style="2" customWidth="1"/>
    <col min="12034" max="12035" width="6.77734375" style="2" customWidth="1"/>
    <col min="12036" max="12036" width="3.21875" style="2" customWidth="1"/>
    <col min="12037" max="12037" width="4.21875" style="2" customWidth="1"/>
    <col min="12038" max="12038" width="5.44140625" style="2" customWidth="1"/>
    <col min="12039" max="12039" width="7.77734375" style="2" customWidth="1"/>
    <col min="12040" max="12040" width="5.21875" style="2" customWidth="1"/>
    <col min="12041" max="12041" width="7" style="2" customWidth="1"/>
    <col min="12042" max="12042" width="5.21875" style="2" customWidth="1"/>
    <col min="12043" max="12043" width="7" style="2" customWidth="1"/>
    <col min="12044" max="12044" width="4.21875" style="2" customWidth="1"/>
    <col min="12045" max="12045" width="6.77734375" style="2" customWidth="1"/>
    <col min="12046" max="12046" width="5.44140625" style="2" customWidth="1"/>
    <col min="12047" max="12047" width="7" style="2" customWidth="1"/>
    <col min="12048" max="12048" width="5.21875" style="2" customWidth="1"/>
    <col min="12049" max="12049" width="4.77734375" style="2" customWidth="1"/>
    <col min="12050" max="12050" width="5.77734375" style="2" customWidth="1"/>
    <col min="12051" max="12051" width="7.44140625" style="2" customWidth="1"/>
    <col min="12052" max="12052" width="4" style="2" customWidth="1"/>
    <col min="12053" max="12053" width="6.44140625" style="2" customWidth="1"/>
    <col min="12054" max="12054" width="5.77734375" style="2" customWidth="1"/>
    <col min="12055" max="12055" width="6.77734375" style="2" customWidth="1"/>
    <col min="12056" max="12056" width="4.21875" style="2" customWidth="1"/>
    <col min="12057" max="12057" width="7.21875" style="2" customWidth="1"/>
    <col min="12058" max="12288" width="8.77734375" style="2"/>
    <col min="12289" max="12289" width="4.5546875" style="2" customWidth="1"/>
    <col min="12290" max="12291" width="6.77734375" style="2" customWidth="1"/>
    <col min="12292" max="12292" width="3.21875" style="2" customWidth="1"/>
    <col min="12293" max="12293" width="4.21875" style="2" customWidth="1"/>
    <col min="12294" max="12294" width="5.44140625" style="2" customWidth="1"/>
    <col min="12295" max="12295" width="7.77734375" style="2" customWidth="1"/>
    <col min="12296" max="12296" width="5.21875" style="2" customWidth="1"/>
    <col min="12297" max="12297" width="7" style="2" customWidth="1"/>
    <col min="12298" max="12298" width="5.21875" style="2" customWidth="1"/>
    <col min="12299" max="12299" width="7" style="2" customWidth="1"/>
    <col min="12300" max="12300" width="4.21875" style="2" customWidth="1"/>
    <col min="12301" max="12301" width="6.77734375" style="2" customWidth="1"/>
    <col min="12302" max="12302" width="5.44140625" style="2" customWidth="1"/>
    <col min="12303" max="12303" width="7" style="2" customWidth="1"/>
    <col min="12304" max="12304" width="5.21875" style="2" customWidth="1"/>
    <col min="12305" max="12305" width="4.77734375" style="2" customWidth="1"/>
    <col min="12306" max="12306" width="5.77734375" style="2" customWidth="1"/>
    <col min="12307" max="12307" width="7.44140625" style="2" customWidth="1"/>
    <col min="12308" max="12308" width="4" style="2" customWidth="1"/>
    <col min="12309" max="12309" width="6.44140625" style="2" customWidth="1"/>
    <col min="12310" max="12310" width="5.77734375" style="2" customWidth="1"/>
    <col min="12311" max="12311" width="6.77734375" style="2" customWidth="1"/>
    <col min="12312" max="12312" width="4.21875" style="2" customWidth="1"/>
    <col min="12313" max="12313" width="7.21875" style="2" customWidth="1"/>
    <col min="12314" max="12544" width="8.77734375" style="2"/>
    <col min="12545" max="12545" width="4.5546875" style="2" customWidth="1"/>
    <col min="12546" max="12547" width="6.77734375" style="2" customWidth="1"/>
    <col min="12548" max="12548" width="3.21875" style="2" customWidth="1"/>
    <col min="12549" max="12549" width="4.21875" style="2" customWidth="1"/>
    <col min="12550" max="12550" width="5.44140625" style="2" customWidth="1"/>
    <col min="12551" max="12551" width="7.77734375" style="2" customWidth="1"/>
    <col min="12552" max="12552" width="5.21875" style="2" customWidth="1"/>
    <col min="12553" max="12553" width="7" style="2" customWidth="1"/>
    <col min="12554" max="12554" width="5.21875" style="2" customWidth="1"/>
    <col min="12555" max="12555" width="7" style="2" customWidth="1"/>
    <col min="12556" max="12556" width="4.21875" style="2" customWidth="1"/>
    <col min="12557" max="12557" width="6.77734375" style="2" customWidth="1"/>
    <col min="12558" max="12558" width="5.44140625" style="2" customWidth="1"/>
    <col min="12559" max="12559" width="7" style="2" customWidth="1"/>
    <col min="12560" max="12560" width="5.21875" style="2" customWidth="1"/>
    <col min="12561" max="12561" width="4.77734375" style="2" customWidth="1"/>
    <col min="12562" max="12562" width="5.77734375" style="2" customWidth="1"/>
    <col min="12563" max="12563" width="7.44140625" style="2" customWidth="1"/>
    <col min="12564" max="12564" width="4" style="2" customWidth="1"/>
    <col min="12565" max="12565" width="6.44140625" style="2" customWidth="1"/>
    <col min="12566" max="12566" width="5.77734375" style="2" customWidth="1"/>
    <col min="12567" max="12567" width="6.77734375" style="2" customWidth="1"/>
    <col min="12568" max="12568" width="4.21875" style="2" customWidth="1"/>
    <col min="12569" max="12569" width="7.21875" style="2" customWidth="1"/>
    <col min="12570" max="12800" width="8.77734375" style="2"/>
    <col min="12801" max="12801" width="4.5546875" style="2" customWidth="1"/>
    <col min="12802" max="12803" width="6.77734375" style="2" customWidth="1"/>
    <col min="12804" max="12804" width="3.21875" style="2" customWidth="1"/>
    <col min="12805" max="12805" width="4.21875" style="2" customWidth="1"/>
    <col min="12806" max="12806" width="5.44140625" style="2" customWidth="1"/>
    <col min="12807" max="12807" width="7.77734375" style="2" customWidth="1"/>
    <col min="12808" max="12808" width="5.21875" style="2" customWidth="1"/>
    <col min="12809" max="12809" width="7" style="2" customWidth="1"/>
    <col min="12810" max="12810" width="5.21875" style="2" customWidth="1"/>
    <col min="12811" max="12811" width="7" style="2" customWidth="1"/>
    <col min="12812" max="12812" width="4.21875" style="2" customWidth="1"/>
    <col min="12813" max="12813" width="6.77734375" style="2" customWidth="1"/>
    <col min="12814" max="12814" width="5.44140625" style="2" customWidth="1"/>
    <col min="12815" max="12815" width="7" style="2" customWidth="1"/>
    <col min="12816" max="12816" width="5.21875" style="2" customWidth="1"/>
    <col min="12817" max="12817" width="4.77734375" style="2" customWidth="1"/>
    <col min="12818" max="12818" width="5.77734375" style="2" customWidth="1"/>
    <col min="12819" max="12819" width="7.44140625" style="2" customWidth="1"/>
    <col min="12820" max="12820" width="4" style="2" customWidth="1"/>
    <col min="12821" max="12821" width="6.44140625" style="2" customWidth="1"/>
    <col min="12822" max="12822" width="5.77734375" style="2" customWidth="1"/>
    <col min="12823" max="12823" width="6.77734375" style="2" customWidth="1"/>
    <col min="12824" max="12824" width="4.21875" style="2" customWidth="1"/>
    <col min="12825" max="12825" width="7.21875" style="2" customWidth="1"/>
    <col min="12826" max="13056" width="8.77734375" style="2"/>
    <col min="13057" max="13057" width="4.5546875" style="2" customWidth="1"/>
    <col min="13058" max="13059" width="6.77734375" style="2" customWidth="1"/>
    <col min="13060" max="13060" width="3.21875" style="2" customWidth="1"/>
    <col min="13061" max="13061" width="4.21875" style="2" customWidth="1"/>
    <col min="13062" max="13062" width="5.44140625" style="2" customWidth="1"/>
    <col min="13063" max="13063" width="7.77734375" style="2" customWidth="1"/>
    <col min="13064" max="13064" width="5.21875" style="2" customWidth="1"/>
    <col min="13065" max="13065" width="7" style="2" customWidth="1"/>
    <col min="13066" max="13066" width="5.21875" style="2" customWidth="1"/>
    <col min="13067" max="13067" width="7" style="2" customWidth="1"/>
    <col min="13068" max="13068" width="4.21875" style="2" customWidth="1"/>
    <col min="13069" max="13069" width="6.77734375" style="2" customWidth="1"/>
    <col min="13070" max="13070" width="5.44140625" style="2" customWidth="1"/>
    <col min="13071" max="13071" width="7" style="2" customWidth="1"/>
    <col min="13072" max="13072" width="5.21875" style="2" customWidth="1"/>
    <col min="13073" max="13073" width="4.77734375" style="2" customWidth="1"/>
    <col min="13074" max="13074" width="5.77734375" style="2" customWidth="1"/>
    <col min="13075" max="13075" width="7.44140625" style="2" customWidth="1"/>
    <col min="13076" max="13076" width="4" style="2" customWidth="1"/>
    <col min="13077" max="13077" width="6.44140625" style="2" customWidth="1"/>
    <col min="13078" max="13078" width="5.77734375" style="2" customWidth="1"/>
    <col min="13079" max="13079" width="6.77734375" style="2" customWidth="1"/>
    <col min="13080" max="13080" width="4.21875" style="2" customWidth="1"/>
    <col min="13081" max="13081" width="7.21875" style="2" customWidth="1"/>
    <col min="13082" max="13312" width="8.77734375" style="2"/>
    <col min="13313" max="13313" width="4.5546875" style="2" customWidth="1"/>
    <col min="13314" max="13315" width="6.77734375" style="2" customWidth="1"/>
    <col min="13316" max="13316" width="3.21875" style="2" customWidth="1"/>
    <col min="13317" max="13317" width="4.21875" style="2" customWidth="1"/>
    <col min="13318" max="13318" width="5.44140625" style="2" customWidth="1"/>
    <col min="13319" max="13319" width="7.77734375" style="2" customWidth="1"/>
    <col min="13320" max="13320" width="5.21875" style="2" customWidth="1"/>
    <col min="13321" max="13321" width="7" style="2" customWidth="1"/>
    <col min="13322" max="13322" width="5.21875" style="2" customWidth="1"/>
    <col min="13323" max="13323" width="7" style="2" customWidth="1"/>
    <col min="13324" max="13324" width="4.21875" style="2" customWidth="1"/>
    <col min="13325" max="13325" width="6.77734375" style="2" customWidth="1"/>
    <col min="13326" max="13326" width="5.44140625" style="2" customWidth="1"/>
    <col min="13327" max="13327" width="7" style="2" customWidth="1"/>
    <col min="13328" max="13328" width="5.21875" style="2" customWidth="1"/>
    <col min="13329" max="13329" width="4.77734375" style="2" customWidth="1"/>
    <col min="13330" max="13330" width="5.77734375" style="2" customWidth="1"/>
    <col min="13331" max="13331" width="7.44140625" style="2" customWidth="1"/>
    <col min="13332" max="13332" width="4" style="2" customWidth="1"/>
    <col min="13333" max="13333" width="6.44140625" style="2" customWidth="1"/>
    <col min="13334" max="13334" width="5.77734375" style="2" customWidth="1"/>
    <col min="13335" max="13335" width="6.77734375" style="2" customWidth="1"/>
    <col min="13336" max="13336" width="4.21875" style="2" customWidth="1"/>
    <col min="13337" max="13337" width="7.21875" style="2" customWidth="1"/>
    <col min="13338" max="13568" width="8.77734375" style="2"/>
    <col min="13569" max="13569" width="4.5546875" style="2" customWidth="1"/>
    <col min="13570" max="13571" width="6.77734375" style="2" customWidth="1"/>
    <col min="13572" max="13572" width="3.21875" style="2" customWidth="1"/>
    <col min="13573" max="13573" width="4.21875" style="2" customWidth="1"/>
    <col min="13574" max="13574" width="5.44140625" style="2" customWidth="1"/>
    <col min="13575" max="13575" width="7.77734375" style="2" customWidth="1"/>
    <col min="13576" max="13576" width="5.21875" style="2" customWidth="1"/>
    <col min="13577" max="13577" width="7" style="2" customWidth="1"/>
    <col min="13578" max="13578" width="5.21875" style="2" customWidth="1"/>
    <col min="13579" max="13579" width="7" style="2" customWidth="1"/>
    <col min="13580" max="13580" width="4.21875" style="2" customWidth="1"/>
    <col min="13581" max="13581" width="6.77734375" style="2" customWidth="1"/>
    <col min="13582" max="13582" width="5.44140625" style="2" customWidth="1"/>
    <col min="13583" max="13583" width="7" style="2" customWidth="1"/>
    <col min="13584" max="13584" width="5.21875" style="2" customWidth="1"/>
    <col min="13585" max="13585" width="4.77734375" style="2" customWidth="1"/>
    <col min="13586" max="13586" width="5.77734375" style="2" customWidth="1"/>
    <col min="13587" max="13587" width="7.44140625" style="2" customWidth="1"/>
    <col min="13588" max="13588" width="4" style="2" customWidth="1"/>
    <col min="13589" max="13589" width="6.44140625" style="2" customWidth="1"/>
    <col min="13590" max="13590" width="5.77734375" style="2" customWidth="1"/>
    <col min="13591" max="13591" width="6.77734375" style="2" customWidth="1"/>
    <col min="13592" max="13592" width="4.21875" style="2" customWidth="1"/>
    <col min="13593" max="13593" width="7.21875" style="2" customWidth="1"/>
    <col min="13594" max="13824" width="8.77734375" style="2"/>
    <col min="13825" max="13825" width="4.5546875" style="2" customWidth="1"/>
    <col min="13826" max="13827" width="6.77734375" style="2" customWidth="1"/>
    <col min="13828" max="13828" width="3.21875" style="2" customWidth="1"/>
    <col min="13829" max="13829" width="4.21875" style="2" customWidth="1"/>
    <col min="13830" max="13830" width="5.44140625" style="2" customWidth="1"/>
    <col min="13831" max="13831" width="7.77734375" style="2" customWidth="1"/>
    <col min="13832" max="13832" width="5.21875" style="2" customWidth="1"/>
    <col min="13833" max="13833" width="7" style="2" customWidth="1"/>
    <col min="13834" max="13834" width="5.21875" style="2" customWidth="1"/>
    <col min="13835" max="13835" width="7" style="2" customWidth="1"/>
    <col min="13836" max="13836" width="4.21875" style="2" customWidth="1"/>
    <col min="13837" max="13837" width="6.77734375" style="2" customWidth="1"/>
    <col min="13838" max="13838" width="5.44140625" style="2" customWidth="1"/>
    <col min="13839" max="13839" width="7" style="2" customWidth="1"/>
    <col min="13840" max="13840" width="5.21875" style="2" customWidth="1"/>
    <col min="13841" max="13841" width="4.77734375" style="2" customWidth="1"/>
    <col min="13842" max="13842" width="5.77734375" style="2" customWidth="1"/>
    <col min="13843" max="13843" width="7.44140625" style="2" customWidth="1"/>
    <col min="13844" max="13844" width="4" style="2" customWidth="1"/>
    <col min="13845" max="13845" width="6.44140625" style="2" customWidth="1"/>
    <col min="13846" max="13846" width="5.77734375" style="2" customWidth="1"/>
    <col min="13847" max="13847" width="6.77734375" style="2" customWidth="1"/>
    <col min="13848" max="13848" width="4.21875" style="2" customWidth="1"/>
    <col min="13849" max="13849" width="7.21875" style="2" customWidth="1"/>
    <col min="13850" max="14080" width="8.77734375" style="2"/>
    <col min="14081" max="14081" width="4.5546875" style="2" customWidth="1"/>
    <col min="14082" max="14083" width="6.77734375" style="2" customWidth="1"/>
    <col min="14084" max="14084" width="3.21875" style="2" customWidth="1"/>
    <col min="14085" max="14085" width="4.21875" style="2" customWidth="1"/>
    <col min="14086" max="14086" width="5.44140625" style="2" customWidth="1"/>
    <col min="14087" max="14087" width="7.77734375" style="2" customWidth="1"/>
    <col min="14088" max="14088" width="5.21875" style="2" customWidth="1"/>
    <col min="14089" max="14089" width="7" style="2" customWidth="1"/>
    <col min="14090" max="14090" width="5.21875" style="2" customWidth="1"/>
    <col min="14091" max="14091" width="7" style="2" customWidth="1"/>
    <col min="14092" max="14092" width="4.21875" style="2" customWidth="1"/>
    <col min="14093" max="14093" width="6.77734375" style="2" customWidth="1"/>
    <col min="14094" max="14094" width="5.44140625" style="2" customWidth="1"/>
    <col min="14095" max="14095" width="7" style="2" customWidth="1"/>
    <col min="14096" max="14096" width="5.21875" style="2" customWidth="1"/>
    <col min="14097" max="14097" width="4.77734375" style="2" customWidth="1"/>
    <col min="14098" max="14098" width="5.77734375" style="2" customWidth="1"/>
    <col min="14099" max="14099" width="7.44140625" style="2" customWidth="1"/>
    <col min="14100" max="14100" width="4" style="2" customWidth="1"/>
    <col min="14101" max="14101" width="6.44140625" style="2" customWidth="1"/>
    <col min="14102" max="14102" width="5.77734375" style="2" customWidth="1"/>
    <col min="14103" max="14103" width="6.77734375" style="2" customWidth="1"/>
    <col min="14104" max="14104" width="4.21875" style="2" customWidth="1"/>
    <col min="14105" max="14105" width="7.21875" style="2" customWidth="1"/>
    <col min="14106" max="14336" width="8.77734375" style="2"/>
    <col min="14337" max="14337" width="4.5546875" style="2" customWidth="1"/>
    <col min="14338" max="14339" width="6.77734375" style="2" customWidth="1"/>
    <col min="14340" max="14340" width="3.21875" style="2" customWidth="1"/>
    <col min="14341" max="14341" width="4.21875" style="2" customWidth="1"/>
    <col min="14342" max="14342" width="5.44140625" style="2" customWidth="1"/>
    <col min="14343" max="14343" width="7.77734375" style="2" customWidth="1"/>
    <col min="14344" max="14344" width="5.21875" style="2" customWidth="1"/>
    <col min="14345" max="14345" width="7" style="2" customWidth="1"/>
    <col min="14346" max="14346" width="5.21875" style="2" customWidth="1"/>
    <col min="14347" max="14347" width="7" style="2" customWidth="1"/>
    <col min="14348" max="14348" width="4.21875" style="2" customWidth="1"/>
    <col min="14349" max="14349" width="6.77734375" style="2" customWidth="1"/>
    <col min="14350" max="14350" width="5.44140625" style="2" customWidth="1"/>
    <col min="14351" max="14351" width="7" style="2" customWidth="1"/>
    <col min="14352" max="14352" width="5.21875" style="2" customWidth="1"/>
    <col min="14353" max="14353" width="4.77734375" style="2" customWidth="1"/>
    <col min="14354" max="14354" width="5.77734375" style="2" customWidth="1"/>
    <col min="14355" max="14355" width="7.44140625" style="2" customWidth="1"/>
    <col min="14356" max="14356" width="4" style="2" customWidth="1"/>
    <col min="14357" max="14357" width="6.44140625" style="2" customWidth="1"/>
    <col min="14358" max="14358" width="5.77734375" style="2" customWidth="1"/>
    <col min="14359" max="14359" width="6.77734375" style="2" customWidth="1"/>
    <col min="14360" max="14360" width="4.21875" style="2" customWidth="1"/>
    <col min="14361" max="14361" width="7.21875" style="2" customWidth="1"/>
    <col min="14362" max="14592" width="8.77734375" style="2"/>
    <col min="14593" max="14593" width="4.5546875" style="2" customWidth="1"/>
    <col min="14594" max="14595" width="6.77734375" style="2" customWidth="1"/>
    <col min="14596" max="14596" width="3.21875" style="2" customWidth="1"/>
    <col min="14597" max="14597" width="4.21875" style="2" customWidth="1"/>
    <col min="14598" max="14598" width="5.44140625" style="2" customWidth="1"/>
    <col min="14599" max="14599" width="7.77734375" style="2" customWidth="1"/>
    <col min="14600" max="14600" width="5.21875" style="2" customWidth="1"/>
    <col min="14601" max="14601" width="7" style="2" customWidth="1"/>
    <col min="14602" max="14602" width="5.21875" style="2" customWidth="1"/>
    <col min="14603" max="14603" width="7" style="2" customWidth="1"/>
    <col min="14604" max="14604" width="4.21875" style="2" customWidth="1"/>
    <col min="14605" max="14605" width="6.77734375" style="2" customWidth="1"/>
    <col min="14606" max="14606" width="5.44140625" style="2" customWidth="1"/>
    <col min="14607" max="14607" width="7" style="2" customWidth="1"/>
    <col min="14608" max="14608" width="5.21875" style="2" customWidth="1"/>
    <col min="14609" max="14609" width="4.77734375" style="2" customWidth="1"/>
    <col min="14610" max="14610" width="5.77734375" style="2" customWidth="1"/>
    <col min="14611" max="14611" width="7.44140625" style="2" customWidth="1"/>
    <col min="14612" max="14612" width="4" style="2" customWidth="1"/>
    <col min="14613" max="14613" width="6.44140625" style="2" customWidth="1"/>
    <col min="14614" max="14614" width="5.77734375" style="2" customWidth="1"/>
    <col min="14615" max="14615" width="6.77734375" style="2" customWidth="1"/>
    <col min="14616" max="14616" width="4.21875" style="2" customWidth="1"/>
    <col min="14617" max="14617" width="7.21875" style="2" customWidth="1"/>
    <col min="14618" max="14848" width="8.77734375" style="2"/>
    <col min="14849" max="14849" width="4.5546875" style="2" customWidth="1"/>
    <col min="14850" max="14851" width="6.77734375" style="2" customWidth="1"/>
    <col min="14852" max="14852" width="3.21875" style="2" customWidth="1"/>
    <col min="14853" max="14853" width="4.21875" style="2" customWidth="1"/>
    <col min="14854" max="14854" width="5.44140625" style="2" customWidth="1"/>
    <col min="14855" max="14855" width="7.77734375" style="2" customWidth="1"/>
    <col min="14856" max="14856" width="5.21875" style="2" customWidth="1"/>
    <col min="14857" max="14857" width="7" style="2" customWidth="1"/>
    <col min="14858" max="14858" width="5.21875" style="2" customWidth="1"/>
    <col min="14859" max="14859" width="7" style="2" customWidth="1"/>
    <col min="14860" max="14860" width="4.21875" style="2" customWidth="1"/>
    <col min="14861" max="14861" width="6.77734375" style="2" customWidth="1"/>
    <col min="14862" max="14862" width="5.44140625" style="2" customWidth="1"/>
    <col min="14863" max="14863" width="7" style="2" customWidth="1"/>
    <col min="14864" max="14864" width="5.21875" style="2" customWidth="1"/>
    <col min="14865" max="14865" width="4.77734375" style="2" customWidth="1"/>
    <col min="14866" max="14866" width="5.77734375" style="2" customWidth="1"/>
    <col min="14867" max="14867" width="7.44140625" style="2" customWidth="1"/>
    <col min="14868" max="14868" width="4" style="2" customWidth="1"/>
    <col min="14869" max="14869" width="6.44140625" style="2" customWidth="1"/>
    <col min="14870" max="14870" width="5.77734375" style="2" customWidth="1"/>
    <col min="14871" max="14871" width="6.77734375" style="2" customWidth="1"/>
    <col min="14872" max="14872" width="4.21875" style="2" customWidth="1"/>
    <col min="14873" max="14873" width="7.21875" style="2" customWidth="1"/>
    <col min="14874" max="15104" width="8.77734375" style="2"/>
    <col min="15105" max="15105" width="4.5546875" style="2" customWidth="1"/>
    <col min="15106" max="15107" width="6.77734375" style="2" customWidth="1"/>
    <col min="15108" max="15108" width="3.21875" style="2" customWidth="1"/>
    <col min="15109" max="15109" width="4.21875" style="2" customWidth="1"/>
    <col min="15110" max="15110" width="5.44140625" style="2" customWidth="1"/>
    <col min="15111" max="15111" width="7.77734375" style="2" customWidth="1"/>
    <col min="15112" max="15112" width="5.21875" style="2" customWidth="1"/>
    <col min="15113" max="15113" width="7" style="2" customWidth="1"/>
    <col min="15114" max="15114" width="5.21875" style="2" customWidth="1"/>
    <col min="15115" max="15115" width="7" style="2" customWidth="1"/>
    <col min="15116" max="15116" width="4.21875" style="2" customWidth="1"/>
    <col min="15117" max="15117" width="6.77734375" style="2" customWidth="1"/>
    <col min="15118" max="15118" width="5.44140625" style="2" customWidth="1"/>
    <col min="15119" max="15119" width="7" style="2" customWidth="1"/>
    <col min="15120" max="15120" width="5.21875" style="2" customWidth="1"/>
    <col min="15121" max="15121" width="4.77734375" style="2" customWidth="1"/>
    <col min="15122" max="15122" width="5.77734375" style="2" customWidth="1"/>
    <col min="15123" max="15123" width="7.44140625" style="2" customWidth="1"/>
    <col min="15124" max="15124" width="4" style="2" customWidth="1"/>
    <col min="15125" max="15125" width="6.44140625" style="2" customWidth="1"/>
    <col min="15126" max="15126" width="5.77734375" style="2" customWidth="1"/>
    <col min="15127" max="15127" width="6.77734375" style="2" customWidth="1"/>
    <col min="15128" max="15128" width="4.21875" style="2" customWidth="1"/>
    <col min="15129" max="15129" width="7.21875" style="2" customWidth="1"/>
    <col min="15130" max="15360" width="8.77734375" style="2"/>
    <col min="15361" max="15361" width="4.5546875" style="2" customWidth="1"/>
    <col min="15362" max="15363" width="6.77734375" style="2" customWidth="1"/>
    <col min="15364" max="15364" width="3.21875" style="2" customWidth="1"/>
    <col min="15365" max="15365" width="4.21875" style="2" customWidth="1"/>
    <col min="15366" max="15366" width="5.44140625" style="2" customWidth="1"/>
    <col min="15367" max="15367" width="7.77734375" style="2" customWidth="1"/>
    <col min="15368" max="15368" width="5.21875" style="2" customWidth="1"/>
    <col min="15369" max="15369" width="7" style="2" customWidth="1"/>
    <col min="15370" max="15370" width="5.21875" style="2" customWidth="1"/>
    <col min="15371" max="15371" width="7" style="2" customWidth="1"/>
    <col min="15372" max="15372" width="4.21875" style="2" customWidth="1"/>
    <col min="15373" max="15373" width="6.77734375" style="2" customWidth="1"/>
    <col min="15374" max="15374" width="5.44140625" style="2" customWidth="1"/>
    <col min="15375" max="15375" width="7" style="2" customWidth="1"/>
    <col min="15376" max="15376" width="5.21875" style="2" customWidth="1"/>
    <col min="15377" max="15377" width="4.77734375" style="2" customWidth="1"/>
    <col min="15378" max="15378" width="5.77734375" style="2" customWidth="1"/>
    <col min="15379" max="15379" width="7.44140625" style="2" customWidth="1"/>
    <col min="15380" max="15380" width="4" style="2" customWidth="1"/>
    <col min="15381" max="15381" width="6.44140625" style="2" customWidth="1"/>
    <col min="15382" max="15382" width="5.77734375" style="2" customWidth="1"/>
    <col min="15383" max="15383" width="6.77734375" style="2" customWidth="1"/>
    <col min="15384" max="15384" width="4.21875" style="2" customWidth="1"/>
    <col min="15385" max="15385" width="7.21875" style="2" customWidth="1"/>
    <col min="15386" max="15616" width="8.77734375" style="2"/>
    <col min="15617" max="15617" width="4.5546875" style="2" customWidth="1"/>
    <col min="15618" max="15619" width="6.77734375" style="2" customWidth="1"/>
    <col min="15620" max="15620" width="3.21875" style="2" customWidth="1"/>
    <col min="15621" max="15621" width="4.21875" style="2" customWidth="1"/>
    <col min="15622" max="15622" width="5.44140625" style="2" customWidth="1"/>
    <col min="15623" max="15623" width="7.77734375" style="2" customWidth="1"/>
    <col min="15624" max="15624" width="5.21875" style="2" customWidth="1"/>
    <col min="15625" max="15625" width="7" style="2" customWidth="1"/>
    <col min="15626" max="15626" width="5.21875" style="2" customWidth="1"/>
    <col min="15627" max="15627" width="7" style="2" customWidth="1"/>
    <col min="15628" max="15628" width="4.21875" style="2" customWidth="1"/>
    <col min="15629" max="15629" width="6.77734375" style="2" customWidth="1"/>
    <col min="15630" max="15630" width="5.44140625" style="2" customWidth="1"/>
    <col min="15631" max="15631" width="7" style="2" customWidth="1"/>
    <col min="15632" max="15632" width="5.21875" style="2" customWidth="1"/>
    <col min="15633" max="15633" width="4.77734375" style="2" customWidth="1"/>
    <col min="15634" max="15634" width="5.77734375" style="2" customWidth="1"/>
    <col min="15635" max="15635" width="7.44140625" style="2" customWidth="1"/>
    <col min="15636" max="15636" width="4" style="2" customWidth="1"/>
    <col min="15637" max="15637" width="6.44140625" style="2" customWidth="1"/>
    <col min="15638" max="15638" width="5.77734375" style="2" customWidth="1"/>
    <col min="15639" max="15639" width="6.77734375" style="2" customWidth="1"/>
    <col min="15640" max="15640" width="4.21875" style="2" customWidth="1"/>
    <col min="15641" max="15641" width="7.21875" style="2" customWidth="1"/>
    <col min="15642" max="15872" width="8.77734375" style="2"/>
    <col min="15873" max="15873" width="4.5546875" style="2" customWidth="1"/>
    <col min="15874" max="15875" width="6.77734375" style="2" customWidth="1"/>
    <col min="15876" max="15876" width="3.21875" style="2" customWidth="1"/>
    <col min="15877" max="15877" width="4.21875" style="2" customWidth="1"/>
    <col min="15878" max="15878" width="5.44140625" style="2" customWidth="1"/>
    <col min="15879" max="15879" width="7.77734375" style="2" customWidth="1"/>
    <col min="15880" max="15880" width="5.21875" style="2" customWidth="1"/>
    <col min="15881" max="15881" width="7" style="2" customWidth="1"/>
    <col min="15882" max="15882" width="5.21875" style="2" customWidth="1"/>
    <col min="15883" max="15883" width="7" style="2" customWidth="1"/>
    <col min="15884" max="15884" width="4.21875" style="2" customWidth="1"/>
    <col min="15885" max="15885" width="6.77734375" style="2" customWidth="1"/>
    <col min="15886" max="15886" width="5.44140625" style="2" customWidth="1"/>
    <col min="15887" max="15887" width="7" style="2" customWidth="1"/>
    <col min="15888" max="15888" width="5.21875" style="2" customWidth="1"/>
    <col min="15889" max="15889" width="4.77734375" style="2" customWidth="1"/>
    <col min="15890" max="15890" width="5.77734375" style="2" customWidth="1"/>
    <col min="15891" max="15891" width="7.44140625" style="2" customWidth="1"/>
    <col min="15892" max="15892" width="4" style="2" customWidth="1"/>
    <col min="15893" max="15893" width="6.44140625" style="2" customWidth="1"/>
    <col min="15894" max="15894" width="5.77734375" style="2" customWidth="1"/>
    <col min="15895" max="15895" width="6.77734375" style="2" customWidth="1"/>
    <col min="15896" max="15896" width="4.21875" style="2" customWidth="1"/>
    <col min="15897" max="15897" width="7.21875" style="2" customWidth="1"/>
    <col min="15898" max="16128" width="8.77734375" style="2"/>
    <col min="16129" max="16129" width="4.5546875" style="2" customWidth="1"/>
    <col min="16130" max="16131" width="6.77734375" style="2" customWidth="1"/>
    <col min="16132" max="16132" width="3.21875" style="2" customWidth="1"/>
    <col min="16133" max="16133" width="4.21875" style="2" customWidth="1"/>
    <col min="16134" max="16134" width="5.44140625" style="2" customWidth="1"/>
    <col min="16135" max="16135" width="7.77734375" style="2" customWidth="1"/>
    <col min="16136" max="16136" width="5.21875" style="2" customWidth="1"/>
    <col min="16137" max="16137" width="7" style="2" customWidth="1"/>
    <col min="16138" max="16138" width="5.21875" style="2" customWidth="1"/>
    <col min="16139" max="16139" width="7" style="2" customWidth="1"/>
    <col min="16140" max="16140" width="4.21875" style="2" customWidth="1"/>
    <col min="16141" max="16141" width="6.77734375" style="2" customWidth="1"/>
    <col min="16142" max="16142" width="5.44140625" style="2" customWidth="1"/>
    <col min="16143" max="16143" width="7" style="2" customWidth="1"/>
    <col min="16144" max="16144" width="5.21875" style="2" customWidth="1"/>
    <col min="16145" max="16145" width="4.77734375" style="2" customWidth="1"/>
    <col min="16146" max="16146" width="5.77734375" style="2" customWidth="1"/>
    <col min="16147" max="16147" width="7.44140625" style="2" customWidth="1"/>
    <col min="16148" max="16148" width="4" style="2" customWidth="1"/>
    <col min="16149" max="16149" width="6.44140625" style="2" customWidth="1"/>
    <col min="16150" max="16150" width="5.77734375" style="2" customWidth="1"/>
    <col min="16151" max="16151" width="6.77734375" style="2" customWidth="1"/>
    <col min="16152" max="16152" width="4.21875" style="2" customWidth="1"/>
    <col min="16153" max="16153" width="7.21875" style="2" customWidth="1"/>
    <col min="16154" max="16384" width="8.77734375" style="2"/>
  </cols>
  <sheetData>
    <row r="1" spans="1:28">
      <c r="A1" s="32" t="s">
        <v>103</v>
      </c>
      <c r="B1" s="32"/>
      <c r="C1" s="32"/>
      <c r="D1" s="32"/>
      <c r="E1" s="32" t="s">
        <v>104</v>
      </c>
      <c r="F1" s="32"/>
      <c r="G1" s="32"/>
      <c r="H1" s="32"/>
      <c r="I1" s="32" t="s">
        <v>105</v>
      </c>
      <c r="J1" s="32"/>
      <c r="K1" s="32"/>
      <c r="L1" s="32"/>
      <c r="M1" s="32" t="s">
        <v>106</v>
      </c>
      <c r="N1" s="32"/>
      <c r="O1" s="32"/>
      <c r="P1" s="32"/>
      <c r="Q1" s="32" t="s">
        <v>75</v>
      </c>
      <c r="R1" s="32"/>
      <c r="S1" s="32"/>
      <c r="T1" s="32"/>
      <c r="U1" s="32" t="s">
        <v>34</v>
      </c>
      <c r="V1" s="32"/>
      <c r="W1" s="32"/>
      <c r="X1" s="32"/>
      <c r="Y1" s="32" t="s">
        <v>107</v>
      </c>
      <c r="Z1" s="32"/>
      <c r="AA1" s="32"/>
      <c r="AB1" s="32"/>
    </row>
    <row r="2" spans="1:28">
      <c r="A2" s="58" t="s">
        <v>108</v>
      </c>
      <c r="B2" s="58" t="s">
        <v>109</v>
      </c>
      <c r="C2" s="58" t="s">
        <v>110</v>
      </c>
      <c r="D2" s="32"/>
      <c r="E2" s="58" t="s">
        <v>108</v>
      </c>
      <c r="F2" s="58" t="s">
        <v>109</v>
      </c>
      <c r="G2" s="58" t="s">
        <v>110</v>
      </c>
      <c r="H2" s="32"/>
      <c r="I2" s="58" t="s">
        <v>108</v>
      </c>
      <c r="J2" s="58" t="s">
        <v>109</v>
      </c>
      <c r="K2" s="58" t="s">
        <v>110</v>
      </c>
      <c r="L2" s="32"/>
      <c r="M2" s="58" t="s">
        <v>108</v>
      </c>
      <c r="N2" s="58" t="s">
        <v>109</v>
      </c>
      <c r="O2" s="58" t="s">
        <v>110</v>
      </c>
      <c r="P2" s="58"/>
      <c r="Q2" s="58" t="s">
        <v>108</v>
      </c>
      <c r="R2" s="58" t="s">
        <v>109</v>
      </c>
      <c r="S2" s="58" t="s">
        <v>110</v>
      </c>
      <c r="T2" s="32"/>
      <c r="U2" s="58" t="s">
        <v>108</v>
      </c>
      <c r="V2" s="58" t="s">
        <v>109</v>
      </c>
      <c r="W2" s="58" t="s">
        <v>110</v>
      </c>
      <c r="X2" s="32"/>
      <c r="Y2" s="58" t="s">
        <v>111</v>
      </c>
      <c r="Z2" s="58" t="s">
        <v>112</v>
      </c>
      <c r="AA2" s="58" t="s">
        <v>110</v>
      </c>
      <c r="AB2" s="32"/>
    </row>
    <row r="3" spans="1:28">
      <c r="A3" s="59">
        <v>0</v>
      </c>
      <c r="B3" s="59">
        <v>0</v>
      </c>
      <c r="C3" s="59">
        <v>0</v>
      </c>
      <c r="D3" s="32"/>
      <c r="E3" s="59">
        <v>0</v>
      </c>
      <c r="F3" s="59">
        <v>0</v>
      </c>
      <c r="G3" s="59">
        <v>0</v>
      </c>
      <c r="H3" s="32"/>
      <c r="I3" s="59">
        <v>0</v>
      </c>
      <c r="J3" s="59">
        <v>0</v>
      </c>
      <c r="K3" s="59">
        <v>0</v>
      </c>
      <c r="L3" s="32"/>
      <c r="M3" s="59">
        <v>0</v>
      </c>
      <c r="N3" s="59">
        <v>0</v>
      </c>
      <c r="O3" s="59">
        <v>0</v>
      </c>
      <c r="P3" s="58"/>
      <c r="Q3" s="59">
        <v>0</v>
      </c>
      <c r="R3" s="59">
        <v>0</v>
      </c>
      <c r="S3" s="59">
        <v>0</v>
      </c>
      <c r="T3" s="32"/>
      <c r="U3" s="59">
        <v>0</v>
      </c>
      <c r="V3" s="59">
        <v>0</v>
      </c>
      <c r="W3" s="59">
        <v>0</v>
      </c>
      <c r="X3" s="32"/>
      <c r="Y3" s="59">
        <v>8</v>
      </c>
      <c r="Z3" s="59">
        <v>16</v>
      </c>
      <c r="AA3" s="59">
        <v>0</v>
      </c>
      <c r="AB3" s="32"/>
    </row>
    <row r="4" spans="1:28">
      <c r="A4" s="32">
        <v>1</v>
      </c>
      <c r="B4" s="32">
        <v>0</v>
      </c>
      <c r="C4" s="32">
        <v>0</v>
      </c>
      <c r="D4" s="32"/>
      <c r="E4" s="32">
        <v>1</v>
      </c>
      <c r="F4" s="32">
        <v>12</v>
      </c>
      <c r="G4" s="32">
        <v>1</v>
      </c>
      <c r="H4" s="32"/>
      <c r="I4" s="32">
        <v>1</v>
      </c>
      <c r="J4" s="32">
        <v>12</v>
      </c>
      <c r="K4" s="32">
        <v>1</v>
      </c>
      <c r="L4" s="32"/>
      <c r="M4" s="32">
        <v>1</v>
      </c>
      <c r="N4" s="32">
        <v>12</v>
      </c>
      <c r="O4" s="32">
        <v>1</v>
      </c>
      <c r="P4" s="32"/>
      <c r="Q4" s="32">
        <v>1</v>
      </c>
      <c r="R4" s="32">
        <v>12</v>
      </c>
      <c r="S4" s="32">
        <v>0</v>
      </c>
      <c r="T4" s="32"/>
      <c r="U4" s="32">
        <v>1</v>
      </c>
      <c r="V4" s="32">
        <v>14.5</v>
      </c>
      <c r="W4" s="32">
        <v>0.25</v>
      </c>
      <c r="X4" s="32"/>
      <c r="Y4" s="32">
        <v>9</v>
      </c>
      <c r="Z4" s="32">
        <v>14</v>
      </c>
      <c r="AA4" s="32">
        <v>0</v>
      </c>
      <c r="AB4" s="32"/>
    </row>
    <row r="5" spans="1:28">
      <c r="A5" s="32">
        <v>8</v>
      </c>
      <c r="B5" s="32">
        <v>40</v>
      </c>
      <c r="C5" s="32">
        <v>0.5</v>
      </c>
      <c r="D5" s="32"/>
      <c r="E5" s="32">
        <v>16.600000000000001</v>
      </c>
      <c r="F5" s="32">
        <v>12</v>
      </c>
      <c r="G5" s="32">
        <v>1.4</v>
      </c>
      <c r="H5" s="32"/>
      <c r="I5" s="32">
        <v>16.600000000000001</v>
      </c>
      <c r="J5" s="32">
        <v>12</v>
      </c>
      <c r="K5" s="32">
        <v>1.4</v>
      </c>
      <c r="L5" s="32"/>
      <c r="M5" s="32">
        <v>17</v>
      </c>
      <c r="N5" s="32">
        <v>12</v>
      </c>
      <c r="O5" s="32">
        <v>1.4</v>
      </c>
      <c r="P5" s="32"/>
      <c r="Q5" s="32">
        <v>100</v>
      </c>
      <c r="R5" s="32">
        <v>12</v>
      </c>
      <c r="S5" s="32">
        <v>9</v>
      </c>
      <c r="T5" s="32"/>
      <c r="U5" s="32">
        <v>4</v>
      </c>
      <c r="V5" s="32">
        <v>14.5</v>
      </c>
      <c r="W5" s="32">
        <v>0.5</v>
      </c>
      <c r="X5" s="32"/>
      <c r="Y5" s="32">
        <v>12</v>
      </c>
      <c r="Z5" s="32">
        <v>0</v>
      </c>
      <c r="AA5" s="32">
        <v>8</v>
      </c>
      <c r="AB5" s="32"/>
    </row>
    <row r="6" spans="1:28">
      <c r="A6" s="32">
        <v>16</v>
      </c>
      <c r="B6" s="32">
        <v>40</v>
      </c>
      <c r="C6" s="32">
        <v>0.6</v>
      </c>
      <c r="D6" s="32"/>
      <c r="E6" s="32">
        <v>33.6</v>
      </c>
      <c r="F6" s="32">
        <v>13</v>
      </c>
      <c r="G6" s="32">
        <v>2.8</v>
      </c>
      <c r="H6" s="32"/>
      <c r="I6" s="32">
        <v>33.6</v>
      </c>
      <c r="J6" s="32">
        <v>13</v>
      </c>
      <c r="K6" s="32">
        <v>2.8</v>
      </c>
      <c r="L6" s="32"/>
      <c r="M6" s="32">
        <v>34</v>
      </c>
      <c r="N6" s="32">
        <v>13</v>
      </c>
      <c r="O6" s="32">
        <v>2.8</v>
      </c>
      <c r="P6" s="32"/>
      <c r="Q6" s="32">
        <v>200</v>
      </c>
      <c r="R6" s="32">
        <v>13.5</v>
      </c>
      <c r="S6" s="32">
        <v>17</v>
      </c>
      <c r="T6" s="32"/>
      <c r="U6" s="32">
        <v>8</v>
      </c>
      <c r="V6" s="32">
        <v>14.5</v>
      </c>
      <c r="W6" s="32">
        <v>0.75</v>
      </c>
      <c r="X6" s="32"/>
      <c r="Y6" s="32"/>
      <c r="Z6" s="32"/>
      <c r="AA6" s="32"/>
      <c r="AB6" s="32"/>
    </row>
    <row r="7" spans="1:28">
      <c r="A7" s="32">
        <v>21</v>
      </c>
      <c r="B7" s="32">
        <v>40</v>
      </c>
      <c r="C7" s="32">
        <v>0.75</v>
      </c>
      <c r="D7" s="32"/>
      <c r="E7" s="32">
        <v>51.7</v>
      </c>
      <c r="F7" s="32">
        <v>15</v>
      </c>
      <c r="G7" s="32">
        <v>4</v>
      </c>
      <c r="H7" s="32"/>
      <c r="I7" s="32">
        <v>51.7</v>
      </c>
      <c r="J7" s="32">
        <v>15</v>
      </c>
      <c r="K7" s="32">
        <v>4</v>
      </c>
      <c r="L7" s="32"/>
      <c r="M7" s="32">
        <v>52</v>
      </c>
      <c r="N7" s="32">
        <v>15</v>
      </c>
      <c r="O7" s="32">
        <v>4</v>
      </c>
      <c r="P7" s="32"/>
      <c r="Q7" s="32">
        <v>300</v>
      </c>
      <c r="R7" s="32">
        <v>14.5</v>
      </c>
      <c r="S7" s="32">
        <v>22</v>
      </c>
      <c r="T7" s="32"/>
      <c r="U7" s="32">
        <v>12</v>
      </c>
      <c r="V7" s="32">
        <v>14.5</v>
      </c>
      <c r="W7" s="32">
        <v>1</v>
      </c>
      <c r="X7" s="32"/>
      <c r="Y7" s="32"/>
      <c r="Z7" s="32"/>
      <c r="AA7" s="32"/>
      <c r="AB7" s="32"/>
    </row>
    <row r="8" spans="1:28">
      <c r="A8" s="32">
        <v>26</v>
      </c>
      <c r="B8" s="32">
        <v>40</v>
      </c>
      <c r="C8" s="32">
        <v>0.85</v>
      </c>
      <c r="D8" s="32"/>
      <c r="E8" s="32">
        <v>71.099999999999994</v>
      </c>
      <c r="F8" s="32">
        <v>16</v>
      </c>
      <c r="G8" s="32">
        <v>4.7</v>
      </c>
      <c r="H8" s="32"/>
      <c r="I8" s="32">
        <v>71.099999999999994</v>
      </c>
      <c r="J8" s="32">
        <v>16</v>
      </c>
      <c r="K8" s="32">
        <v>4.7</v>
      </c>
      <c r="L8" s="32"/>
      <c r="M8" s="32">
        <v>71</v>
      </c>
      <c r="N8" s="32">
        <v>16</v>
      </c>
      <c r="O8" s="32">
        <v>4.7</v>
      </c>
      <c r="P8" s="32"/>
      <c r="Q8" s="32">
        <v>400</v>
      </c>
      <c r="R8" s="32">
        <v>16</v>
      </c>
      <c r="S8" s="32">
        <v>28</v>
      </c>
      <c r="T8" s="32"/>
      <c r="U8" s="32">
        <v>14</v>
      </c>
      <c r="V8" s="32">
        <v>14.5</v>
      </c>
      <c r="W8" s="32">
        <v>1</v>
      </c>
      <c r="X8" s="32"/>
      <c r="Y8" s="32"/>
      <c r="Z8" s="32"/>
      <c r="AA8" s="32"/>
      <c r="AB8" s="32"/>
    </row>
    <row r="9" spans="1:28">
      <c r="A9" s="32">
        <v>31</v>
      </c>
      <c r="B9" s="32">
        <v>40</v>
      </c>
      <c r="C9" s="32">
        <v>1</v>
      </c>
      <c r="D9" s="32"/>
      <c r="E9" s="32">
        <v>110</v>
      </c>
      <c r="F9" s="32">
        <v>19</v>
      </c>
      <c r="G9" s="32">
        <v>6.8</v>
      </c>
      <c r="H9" s="32"/>
      <c r="I9" s="32">
        <v>110</v>
      </c>
      <c r="J9" s="32">
        <v>19</v>
      </c>
      <c r="K9" s="32">
        <v>6.8</v>
      </c>
      <c r="L9" s="32"/>
      <c r="M9" s="32">
        <v>110</v>
      </c>
      <c r="N9" s="32">
        <v>19</v>
      </c>
      <c r="O9" s="32">
        <v>6.8</v>
      </c>
      <c r="P9" s="32"/>
      <c r="Q9" s="32">
        <v>750</v>
      </c>
      <c r="R9" s="32">
        <v>18.5</v>
      </c>
      <c r="S9" s="32">
        <v>47</v>
      </c>
      <c r="T9" s="32"/>
      <c r="U9" s="32"/>
      <c r="V9" s="32"/>
      <c r="W9" s="32"/>
      <c r="X9" s="32"/>
      <c r="Y9" s="32"/>
      <c r="Z9" s="32"/>
      <c r="AA9" s="32"/>
      <c r="AB9" s="32"/>
    </row>
    <row r="10" spans="1:28">
      <c r="A10" s="32">
        <v>41</v>
      </c>
      <c r="B10" s="32">
        <v>40</v>
      </c>
      <c r="C10" s="32">
        <v>1</v>
      </c>
      <c r="D10" s="32"/>
      <c r="E10" s="32">
        <v>160</v>
      </c>
      <c r="F10" s="32">
        <v>20</v>
      </c>
      <c r="G10" s="32">
        <v>8.4</v>
      </c>
      <c r="H10" s="32"/>
      <c r="I10" s="32">
        <v>160</v>
      </c>
      <c r="J10" s="32">
        <v>20</v>
      </c>
      <c r="K10" s="32">
        <v>8.4</v>
      </c>
      <c r="L10" s="32"/>
      <c r="M10" s="32">
        <v>160</v>
      </c>
      <c r="N10" s="32">
        <v>20</v>
      </c>
      <c r="O10" s="32">
        <v>8.4</v>
      </c>
      <c r="P10" s="32"/>
      <c r="Q10" s="32"/>
      <c r="R10" s="32"/>
      <c r="S10" s="32"/>
      <c r="T10" s="32"/>
      <c r="U10" s="32"/>
      <c r="V10" s="32"/>
      <c r="W10" s="32"/>
      <c r="X10" s="32"/>
      <c r="Y10" s="32"/>
      <c r="Z10" s="32"/>
      <c r="AA10" s="32"/>
      <c r="AB10" s="32"/>
    </row>
    <row r="11" spans="1:28">
      <c r="A11" s="32"/>
      <c r="B11" s="32"/>
      <c r="C11" s="32"/>
      <c r="D11" s="32"/>
      <c r="E11" s="32">
        <v>300</v>
      </c>
      <c r="F11" s="32">
        <v>20</v>
      </c>
      <c r="G11" s="32">
        <v>15</v>
      </c>
      <c r="H11" s="32"/>
      <c r="I11" s="32">
        <v>300</v>
      </c>
      <c r="J11" s="32">
        <v>23</v>
      </c>
      <c r="K11" s="32">
        <v>15</v>
      </c>
      <c r="L11" s="32"/>
      <c r="M11" s="32">
        <v>300</v>
      </c>
      <c r="N11" s="32">
        <v>23</v>
      </c>
      <c r="O11" s="32">
        <v>15</v>
      </c>
      <c r="P11" s="32"/>
      <c r="Q11" s="32"/>
      <c r="R11" s="32"/>
      <c r="S11" s="32"/>
      <c r="T11" s="32"/>
      <c r="U11" s="32"/>
      <c r="V11" s="32"/>
      <c r="W11" s="32"/>
      <c r="X11" s="32"/>
      <c r="Y11" s="32"/>
      <c r="Z11" s="32"/>
      <c r="AA11" s="32"/>
      <c r="AB11" s="32"/>
    </row>
    <row r="12" spans="1:28">
      <c r="A12" s="32"/>
      <c r="B12" s="32"/>
      <c r="C12" s="32"/>
      <c r="D12" s="32"/>
      <c r="E12" s="32"/>
      <c r="F12" s="32"/>
      <c r="G12" s="32"/>
      <c r="H12" s="32"/>
      <c r="I12" s="32"/>
      <c r="J12" s="32"/>
      <c r="K12" s="32"/>
      <c r="L12" s="32"/>
      <c r="M12" s="32"/>
      <c r="N12" s="32"/>
      <c r="O12" s="32"/>
      <c r="P12" s="32"/>
      <c r="Q12" s="32"/>
      <c r="R12" s="32"/>
      <c r="S12" s="32"/>
      <c r="T12" s="32"/>
      <c r="U12" s="32"/>
      <c r="V12" s="32"/>
      <c r="W12" s="32"/>
      <c r="X12" s="32"/>
      <c r="Y12" s="32"/>
      <c r="Z12" s="32"/>
      <c r="AA12" s="32"/>
      <c r="AB12" s="32"/>
    </row>
  </sheetData>
  <sheetProtection password="CDD6" sheet="1" objects="1" scenarios="1"/>
  <pageMargins left="0.75" right="0.75" top="1" bottom="1" header="0.5" footer="0.5"/>
  <pageSetup orientation="portrait" r:id="rId1"/>
  <headerFooter alignWithMargins="0">
    <oddFooter>&amp;L&amp;F</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5">
    <tabColor indexed="12"/>
  </sheetPr>
  <dimension ref="A1:H24"/>
  <sheetViews>
    <sheetView workbookViewId="0">
      <selection activeCell="E7" sqref="E7"/>
    </sheetView>
  </sheetViews>
  <sheetFormatPr defaultRowHeight="13.2"/>
  <cols>
    <col min="1" max="1" width="8.77734375" style="2"/>
    <col min="2" max="2" width="24" style="2" customWidth="1"/>
    <col min="3" max="3" width="13.5546875" style="2" customWidth="1"/>
    <col min="4" max="4" width="3.21875" style="2" customWidth="1"/>
    <col min="5" max="5" width="14.77734375" style="2" customWidth="1"/>
    <col min="6" max="6" width="3.21875" style="2" customWidth="1"/>
    <col min="7" max="7" width="14.5546875" style="2" customWidth="1"/>
    <col min="8" max="8" width="3.21875" style="2" customWidth="1"/>
    <col min="9" max="257" width="8.77734375" style="2"/>
    <col min="258" max="258" width="24" style="2" customWidth="1"/>
    <col min="259" max="259" width="13.5546875" style="2" customWidth="1"/>
    <col min="260" max="260" width="3.21875" style="2" customWidth="1"/>
    <col min="261" max="261" width="14.77734375" style="2" customWidth="1"/>
    <col min="262" max="262" width="3.21875" style="2" customWidth="1"/>
    <col min="263" max="263" width="14.5546875" style="2" customWidth="1"/>
    <col min="264" max="264" width="3.21875" style="2" customWidth="1"/>
    <col min="265" max="513" width="8.77734375" style="2"/>
    <col min="514" max="514" width="24" style="2" customWidth="1"/>
    <col min="515" max="515" width="13.5546875" style="2" customWidth="1"/>
    <col min="516" max="516" width="3.21875" style="2" customWidth="1"/>
    <col min="517" max="517" width="14.77734375" style="2" customWidth="1"/>
    <col min="518" max="518" width="3.21875" style="2" customWidth="1"/>
    <col min="519" max="519" width="14.5546875" style="2" customWidth="1"/>
    <col min="520" max="520" width="3.21875" style="2" customWidth="1"/>
    <col min="521" max="769" width="8.77734375" style="2"/>
    <col min="770" max="770" width="24" style="2" customWidth="1"/>
    <col min="771" max="771" width="13.5546875" style="2" customWidth="1"/>
    <col min="772" max="772" width="3.21875" style="2" customWidth="1"/>
    <col min="773" max="773" width="14.77734375" style="2" customWidth="1"/>
    <col min="774" max="774" width="3.21875" style="2" customWidth="1"/>
    <col min="775" max="775" width="14.5546875" style="2" customWidth="1"/>
    <col min="776" max="776" width="3.21875" style="2" customWidth="1"/>
    <col min="777" max="1025" width="8.77734375" style="2"/>
    <col min="1026" max="1026" width="24" style="2" customWidth="1"/>
    <col min="1027" max="1027" width="13.5546875" style="2" customWidth="1"/>
    <col min="1028" max="1028" width="3.21875" style="2" customWidth="1"/>
    <col min="1029" max="1029" width="14.77734375" style="2" customWidth="1"/>
    <col min="1030" max="1030" width="3.21875" style="2" customWidth="1"/>
    <col min="1031" max="1031" width="14.5546875" style="2" customWidth="1"/>
    <col min="1032" max="1032" width="3.21875" style="2" customWidth="1"/>
    <col min="1033" max="1281" width="8.77734375" style="2"/>
    <col min="1282" max="1282" width="24" style="2" customWidth="1"/>
    <col min="1283" max="1283" width="13.5546875" style="2" customWidth="1"/>
    <col min="1284" max="1284" width="3.21875" style="2" customWidth="1"/>
    <col min="1285" max="1285" width="14.77734375" style="2" customWidth="1"/>
    <col min="1286" max="1286" width="3.21875" style="2" customWidth="1"/>
    <col min="1287" max="1287" width="14.5546875" style="2" customWidth="1"/>
    <col min="1288" max="1288" width="3.21875" style="2" customWidth="1"/>
    <col min="1289" max="1537" width="8.77734375" style="2"/>
    <col min="1538" max="1538" width="24" style="2" customWidth="1"/>
    <col min="1539" max="1539" width="13.5546875" style="2" customWidth="1"/>
    <col min="1540" max="1540" width="3.21875" style="2" customWidth="1"/>
    <col min="1541" max="1541" width="14.77734375" style="2" customWidth="1"/>
    <col min="1542" max="1542" width="3.21875" style="2" customWidth="1"/>
    <col min="1543" max="1543" width="14.5546875" style="2" customWidth="1"/>
    <col min="1544" max="1544" width="3.21875" style="2" customWidth="1"/>
    <col min="1545" max="1793" width="8.77734375" style="2"/>
    <col min="1794" max="1794" width="24" style="2" customWidth="1"/>
    <col min="1795" max="1795" width="13.5546875" style="2" customWidth="1"/>
    <col min="1796" max="1796" width="3.21875" style="2" customWidth="1"/>
    <col min="1797" max="1797" width="14.77734375" style="2" customWidth="1"/>
    <col min="1798" max="1798" width="3.21875" style="2" customWidth="1"/>
    <col min="1799" max="1799" width="14.5546875" style="2" customWidth="1"/>
    <col min="1800" max="1800" width="3.21875" style="2" customWidth="1"/>
    <col min="1801" max="2049" width="8.77734375" style="2"/>
    <col min="2050" max="2050" width="24" style="2" customWidth="1"/>
    <col min="2051" max="2051" width="13.5546875" style="2" customWidth="1"/>
    <col min="2052" max="2052" width="3.21875" style="2" customWidth="1"/>
    <col min="2053" max="2053" width="14.77734375" style="2" customWidth="1"/>
    <col min="2054" max="2054" width="3.21875" style="2" customWidth="1"/>
    <col min="2055" max="2055" width="14.5546875" style="2" customWidth="1"/>
    <col min="2056" max="2056" width="3.21875" style="2" customWidth="1"/>
    <col min="2057" max="2305" width="8.77734375" style="2"/>
    <col min="2306" max="2306" width="24" style="2" customWidth="1"/>
    <col min="2307" max="2307" width="13.5546875" style="2" customWidth="1"/>
    <col min="2308" max="2308" width="3.21875" style="2" customWidth="1"/>
    <col min="2309" max="2309" width="14.77734375" style="2" customWidth="1"/>
    <col min="2310" max="2310" width="3.21875" style="2" customWidth="1"/>
    <col min="2311" max="2311" width="14.5546875" style="2" customWidth="1"/>
    <col min="2312" max="2312" width="3.21875" style="2" customWidth="1"/>
    <col min="2313" max="2561" width="8.77734375" style="2"/>
    <col min="2562" max="2562" width="24" style="2" customWidth="1"/>
    <col min="2563" max="2563" width="13.5546875" style="2" customWidth="1"/>
    <col min="2564" max="2564" width="3.21875" style="2" customWidth="1"/>
    <col min="2565" max="2565" width="14.77734375" style="2" customWidth="1"/>
    <col min="2566" max="2566" width="3.21875" style="2" customWidth="1"/>
    <col min="2567" max="2567" width="14.5546875" style="2" customWidth="1"/>
    <col min="2568" max="2568" width="3.21875" style="2" customWidth="1"/>
    <col min="2569" max="2817" width="8.77734375" style="2"/>
    <col min="2818" max="2818" width="24" style="2" customWidth="1"/>
    <col min="2819" max="2819" width="13.5546875" style="2" customWidth="1"/>
    <col min="2820" max="2820" width="3.21875" style="2" customWidth="1"/>
    <col min="2821" max="2821" width="14.77734375" style="2" customWidth="1"/>
    <col min="2822" max="2822" width="3.21875" style="2" customWidth="1"/>
    <col min="2823" max="2823" width="14.5546875" style="2" customWidth="1"/>
    <col min="2824" max="2824" width="3.21875" style="2" customWidth="1"/>
    <col min="2825" max="3073" width="8.77734375" style="2"/>
    <col min="3074" max="3074" width="24" style="2" customWidth="1"/>
    <col min="3075" max="3075" width="13.5546875" style="2" customWidth="1"/>
    <col min="3076" max="3076" width="3.21875" style="2" customWidth="1"/>
    <col min="3077" max="3077" width="14.77734375" style="2" customWidth="1"/>
    <col min="3078" max="3078" width="3.21875" style="2" customWidth="1"/>
    <col min="3079" max="3079" width="14.5546875" style="2" customWidth="1"/>
    <col min="3080" max="3080" width="3.21875" style="2" customWidth="1"/>
    <col min="3081" max="3329" width="8.77734375" style="2"/>
    <col min="3330" max="3330" width="24" style="2" customWidth="1"/>
    <col min="3331" max="3331" width="13.5546875" style="2" customWidth="1"/>
    <col min="3332" max="3332" width="3.21875" style="2" customWidth="1"/>
    <col min="3333" max="3333" width="14.77734375" style="2" customWidth="1"/>
    <col min="3334" max="3334" width="3.21875" style="2" customWidth="1"/>
    <col min="3335" max="3335" width="14.5546875" style="2" customWidth="1"/>
    <col min="3336" max="3336" width="3.21875" style="2" customWidth="1"/>
    <col min="3337" max="3585" width="8.77734375" style="2"/>
    <col min="3586" max="3586" width="24" style="2" customWidth="1"/>
    <col min="3587" max="3587" width="13.5546875" style="2" customWidth="1"/>
    <col min="3588" max="3588" width="3.21875" style="2" customWidth="1"/>
    <col min="3589" max="3589" width="14.77734375" style="2" customWidth="1"/>
    <col min="3590" max="3590" width="3.21875" style="2" customWidth="1"/>
    <col min="3591" max="3591" width="14.5546875" style="2" customWidth="1"/>
    <col min="3592" max="3592" width="3.21875" style="2" customWidth="1"/>
    <col min="3593" max="3841" width="8.77734375" style="2"/>
    <col min="3842" max="3842" width="24" style="2" customWidth="1"/>
    <col min="3843" max="3843" width="13.5546875" style="2" customWidth="1"/>
    <col min="3844" max="3844" width="3.21875" style="2" customWidth="1"/>
    <col min="3845" max="3845" width="14.77734375" style="2" customWidth="1"/>
    <col min="3846" max="3846" width="3.21875" style="2" customWidth="1"/>
    <col min="3847" max="3847" width="14.5546875" style="2" customWidth="1"/>
    <col min="3848" max="3848" width="3.21875" style="2" customWidth="1"/>
    <col min="3849" max="4097" width="8.77734375" style="2"/>
    <col min="4098" max="4098" width="24" style="2" customWidth="1"/>
    <col min="4099" max="4099" width="13.5546875" style="2" customWidth="1"/>
    <col min="4100" max="4100" width="3.21875" style="2" customWidth="1"/>
    <col min="4101" max="4101" width="14.77734375" style="2" customWidth="1"/>
    <col min="4102" max="4102" width="3.21875" style="2" customWidth="1"/>
    <col min="4103" max="4103" width="14.5546875" style="2" customWidth="1"/>
    <col min="4104" max="4104" width="3.21875" style="2" customWidth="1"/>
    <col min="4105" max="4353" width="8.77734375" style="2"/>
    <col min="4354" max="4354" width="24" style="2" customWidth="1"/>
    <col min="4355" max="4355" width="13.5546875" style="2" customWidth="1"/>
    <col min="4356" max="4356" width="3.21875" style="2" customWidth="1"/>
    <col min="4357" max="4357" width="14.77734375" style="2" customWidth="1"/>
    <col min="4358" max="4358" width="3.21875" style="2" customWidth="1"/>
    <col min="4359" max="4359" width="14.5546875" style="2" customWidth="1"/>
    <col min="4360" max="4360" width="3.21875" style="2" customWidth="1"/>
    <col min="4361" max="4609" width="8.77734375" style="2"/>
    <col min="4610" max="4610" width="24" style="2" customWidth="1"/>
    <col min="4611" max="4611" width="13.5546875" style="2" customWidth="1"/>
    <col min="4612" max="4612" width="3.21875" style="2" customWidth="1"/>
    <col min="4613" max="4613" width="14.77734375" style="2" customWidth="1"/>
    <col min="4614" max="4614" width="3.21875" style="2" customWidth="1"/>
    <col min="4615" max="4615" width="14.5546875" style="2" customWidth="1"/>
    <col min="4616" max="4616" width="3.21875" style="2" customWidth="1"/>
    <col min="4617" max="4865" width="8.77734375" style="2"/>
    <col min="4866" max="4866" width="24" style="2" customWidth="1"/>
    <col min="4867" max="4867" width="13.5546875" style="2" customWidth="1"/>
    <col min="4868" max="4868" width="3.21875" style="2" customWidth="1"/>
    <col min="4869" max="4869" width="14.77734375" style="2" customWidth="1"/>
    <col min="4870" max="4870" width="3.21875" style="2" customWidth="1"/>
    <col min="4871" max="4871" width="14.5546875" style="2" customWidth="1"/>
    <col min="4872" max="4872" width="3.21875" style="2" customWidth="1"/>
    <col min="4873" max="5121" width="8.77734375" style="2"/>
    <col min="5122" max="5122" width="24" style="2" customWidth="1"/>
    <col min="5123" max="5123" width="13.5546875" style="2" customWidth="1"/>
    <col min="5124" max="5124" width="3.21875" style="2" customWidth="1"/>
    <col min="5125" max="5125" width="14.77734375" style="2" customWidth="1"/>
    <col min="5126" max="5126" width="3.21875" style="2" customWidth="1"/>
    <col min="5127" max="5127" width="14.5546875" style="2" customWidth="1"/>
    <col min="5128" max="5128" width="3.21875" style="2" customWidth="1"/>
    <col min="5129" max="5377" width="8.77734375" style="2"/>
    <col min="5378" max="5378" width="24" style="2" customWidth="1"/>
    <col min="5379" max="5379" width="13.5546875" style="2" customWidth="1"/>
    <col min="5380" max="5380" width="3.21875" style="2" customWidth="1"/>
    <col min="5381" max="5381" width="14.77734375" style="2" customWidth="1"/>
    <col min="5382" max="5382" width="3.21875" style="2" customWidth="1"/>
    <col min="5383" max="5383" width="14.5546875" style="2" customWidth="1"/>
    <col min="5384" max="5384" width="3.21875" style="2" customWidth="1"/>
    <col min="5385" max="5633" width="8.77734375" style="2"/>
    <col min="5634" max="5634" width="24" style="2" customWidth="1"/>
    <col min="5635" max="5635" width="13.5546875" style="2" customWidth="1"/>
    <col min="5636" max="5636" width="3.21875" style="2" customWidth="1"/>
    <col min="5637" max="5637" width="14.77734375" style="2" customWidth="1"/>
    <col min="5638" max="5638" width="3.21875" style="2" customWidth="1"/>
    <col min="5639" max="5639" width="14.5546875" style="2" customWidth="1"/>
    <col min="5640" max="5640" width="3.21875" style="2" customWidth="1"/>
    <col min="5641" max="5889" width="8.77734375" style="2"/>
    <col min="5890" max="5890" width="24" style="2" customWidth="1"/>
    <col min="5891" max="5891" width="13.5546875" style="2" customWidth="1"/>
    <col min="5892" max="5892" width="3.21875" style="2" customWidth="1"/>
    <col min="5893" max="5893" width="14.77734375" style="2" customWidth="1"/>
    <col min="5894" max="5894" width="3.21875" style="2" customWidth="1"/>
    <col min="5895" max="5895" width="14.5546875" style="2" customWidth="1"/>
    <col min="5896" max="5896" width="3.21875" style="2" customWidth="1"/>
    <col min="5897" max="6145" width="8.77734375" style="2"/>
    <col min="6146" max="6146" width="24" style="2" customWidth="1"/>
    <col min="6147" max="6147" width="13.5546875" style="2" customWidth="1"/>
    <col min="6148" max="6148" width="3.21875" style="2" customWidth="1"/>
    <col min="6149" max="6149" width="14.77734375" style="2" customWidth="1"/>
    <col min="6150" max="6150" width="3.21875" style="2" customWidth="1"/>
    <col min="6151" max="6151" width="14.5546875" style="2" customWidth="1"/>
    <col min="6152" max="6152" width="3.21875" style="2" customWidth="1"/>
    <col min="6153" max="6401" width="8.77734375" style="2"/>
    <col min="6402" max="6402" width="24" style="2" customWidth="1"/>
    <col min="6403" max="6403" width="13.5546875" style="2" customWidth="1"/>
    <col min="6404" max="6404" width="3.21875" style="2" customWidth="1"/>
    <col min="6405" max="6405" width="14.77734375" style="2" customWidth="1"/>
    <col min="6406" max="6406" width="3.21875" style="2" customWidth="1"/>
    <col min="6407" max="6407" width="14.5546875" style="2" customWidth="1"/>
    <col min="6408" max="6408" width="3.21875" style="2" customWidth="1"/>
    <col min="6409" max="6657" width="8.77734375" style="2"/>
    <col min="6658" max="6658" width="24" style="2" customWidth="1"/>
    <col min="6659" max="6659" width="13.5546875" style="2" customWidth="1"/>
    <col min="6660" max="6660" width="3.21875" style="2" customWidth="1"/>
    <col min="6661" max="6661" width="14.77734375" style="2" customWidth="1"/>
    <col min="6662" max="6662" width="3.21875" style="2" customWidth="1"/>
    <col min="6663" max="6663" width="14.5546875" style="2" customWidth="1"/>
    <col min="6664" max="6664" width="3.21875" style="2" customWidth="1"/>
    <col min="6665" max="6913" width="8.77734375" style="2"/>
    <col min="6914" max="6914" width="24" style="2" customWidth="1"/>
    <col min="6915" max="6915" width="13.5546875" style="2" customWidth="1"/>
    <col min="6916" max="6916" width="3.21875" style="2" customWidth="1"/>
    <col min="6917" max="6917" width="14.77734375" style="2" customWidth="1"/>
    <col min="6918" max="6918" width="3.21875" style="2" customWidth="1"/>
    <col min="6919" max="6919" width="14.5546875" style="2" customWidth="1"/>
    <col min="6920" max="6920" width="3.21875" style="2" customWidth="1"/>
    <col min="6921" max="7169" width="8.77734375" style="2"/>
    <col min="7170" max="7170" width="24" style="2" customWidth="1"/>
    <col min="7171" max="7171" width="13.5546875" style="2" customWidth="1"/>
    <col min="7172" max="7172" width="3.21875" style="2" customWidth="1"/>
    <col min="7173" max="7173" width="14.77734375" style="2" customWidth="1"/>
    <col min="7174" max="7174" width="3.21875" style="2" customWidth="1"/>
    <col min="7175" max="7175" width="14.5546875" style="2" customWidth="1"/>
    <col min="7176" max="7176" width="3.21875" style="2" customWidth="1"/>
    <col min="7177" max="7425" width="8.77734375" style="2"/>
    <col min="7426" max="7426" width="24" style="2" customWidth="1"/>
    <col min="7427" max="7427" width="13.5546875" style="2" customWidth="1"/>
    <col min="7428" max="7428" width="3.21875" style="2" customWidth="1"/>
    <col min="7429" max="7429" width="14.77734375" style="2" customWidth="1"/>
    <col min="7430" max="7430" width="3.21875" style="2" customWidth="1"/>
    <col min="7431" max="7431" width="14.5546875" style="2" customWidth="1"/>
    <col min="7432" max="7432" width="3.21875" style="2" customWidth="1"/>
    <col min="7433" max="7681" width="8.77734375" style="2"/>
    <col min="7682" max="7682" width="24" style="2" customWidth="1"/>
    <col min="7683" max="7683" width="13.5546875" style="2" customWidth="1"/>
    <col min="7684" max="7684" width="3.21875" style="2" customWidth="1"/>
    <col min="7685" max="7685" width="14.77734375" style="2" customWidth="1"/>
    <col min="7686" max="7686" width="3.21875" style="2" customWidth="1"/>
    <col min="7687" max="7687" width="14.5546875" style="2" customWidth="1"/>
    <col min="7688" max="7688" width="3.21875" style="2" customWidth="1"/>
    <col min="7689" max="7937" width="8.77734375" style="2"/>
    <col min="7938" max="7938" width="24" style="2" customWidth="1"/>
    <col min="7939" max="7939" width="13.5546875" style="2" customWidth="1"/>
    <col min="7940" max="7940" width="3.21875" style="2" customWidth="1"/>
    <col min="7941" max="7941" width="14.77734375" style="2" customWidth="1"/>
    <col min="7942" max="7942" width="3.21875" style="2" customWidth="1"/>
    <col min="7943" max="7943" width="14.5546875" style="2" customWidth="1"/>
    <col min="7944" max="7944" width="3.21875" style="2" customWidth="1"/>
    <col min="7945" max="8193" width="8.77734375" style="2"/>
    <col min="8194" max="8194" width="24" style="2" customWidth="1"/>
    <col min="8195" max="8195" width="13.5546875" style="2" customWidth="1"/>
    <col min="8196" max="8196" width="3.21875" style="2" customWidth="1"/>
    <col min="8197" max="8197" width="14.77734375" style="2" customWidth="1"/>
    <col min="8198" max="8198" width="3.21875" style="2" customWidth="1"/>
    <col min="8199" max="8199" width="14.5546875" style="2" customWidth="1"/>
    <col min="8200" max="8200" width="3.21875" style="2" customWidth="1"/>
    <col min="8201" max="8449" width="8.77734375" style="2"/>
    <col min="8450" max="8450" width="24" style="2" customWidth="1"/>
    <col min="8451" max="8451" width="13.5546875" style="2" customWidth="1"/>
    <col min="8452" max="8452" width="3.21875" style="2" customWidth="1"/>
    <col min="8453" max="8453" width="14.77734375" style="2" customWidth="1"/>
    <col min="8454" max="8454" width="3.21875" style="2" customWidth="1"/>
    <col min="8455" max="8455" width="14.5546875" style="2" customWidth="1"/>
    <col min="8456" max="8456" width="3.21875" style="2" customWidth="1"/>
    <col min="8457" max="8705" width="8.77734375" style="2"/>
    <col min="8706" max="8706" width="24" style="2" customWidth="1"/>
    <col min="8707" max="8707" width="13.5546875" style="2" customWidth="1"/>
    <col min="8708" max="8708" width="3.21875" style="2" customWidth="1"/>
    <col min="8709" max="8709" width="14.77734375" style="2" customWidth="1"/>
    <col min="8710" max="8710" width="3.21875" style="2" customWidth="1"/>
    <col min="8711" max="8711" width="14.5546875" style="2" customWidth="1"/>
    <col min="8712" max="8712" width="3.21875" style="2" customWidth="1"/>
    <col min="8713" max="8961" width="8.77734375" style="2"/>
    <col min="8962" max="8962" width="24" style="2" customWidth="1"/>
    <col min="8963" max="8963" width="13.5546875" style="2" customWidth="1"/>
    <col min="8964" max="8964" width="3.21875" style="2" customWidth="1"/>
    <col min="8965" max="8965" width="14.77734375" style="2" customWidth="1"/>
    <col min="8966" max="8966" width="3.21875" style="2" customWidth="1"/>
    <col min="8967" max="8967" width="14.5546875" style="2" customWidth="1"/>
    <col min="8968" max="8968" width="3.21875" style="2" customWidth="1"/>
    <col min="8969" max="9217" width="8.77734375" style="2"/>
    <col min="9218" max="9218" width="24" style="2" customWidth="1"/>
    <col min="9219" max="9219" width="13.5546875" style="2" customWidth="1"/>
    <col min="9220" max="9220" width="3.21875" style="2" customWidth="1"/>
    <col min="9221" max="9221" width="14.77734375" style="2" customWidth="1"/>
    <col min="9222" max="9222" width="3.21875" style="2" customWidth="1"/>
    <col min="9223" max="9223" width="14.5546875" style="2" customWidth="1"/>
    <col min="9224" max="9224" width="3.21875" style="2" customWidth="1"/>
    <col min="9225" max="9473" width="8.77734375" style="2"/>
    <col min="9474" max="9474" width="24" style="2" customWidth="1"/>
    <col min="9475" max="9475" width="13.5546875" style="2" customWidth="1"/>
    <col min="9476" max="9476" width="3.21875" style="2" customWidth="1"/>
    <col min="9477" max="9477" width="14.77734375" style="2" customWidth="1"/>
    <col min="9478" max="9478" width="3.21875" style="2" customWidth="1"/>
    <col min="9479" max="9479" width="14.5546875" style="2" customWidth="1"/>
    <col min="9480" max="9480" width="3.21875" style="2" customWidth="1"/>
    <col min="9481" max="9729" width="8.77734375" style="2"/>
    <col min="9730" max="9730" width="24" style="2" customWidth="1"/>
    <col min="9731" max="9731" width="13.5546875" style="2" customWidth="1"/>
    <col min="9732" max="9732" width="3.21875" style="2" customWidth="1"/>
    <col min="9733" max="9733" width="14.77734375" style="2" customWidth="1"/>
    <col min="9734" max="9734" width="3.21875" style="2" customWidth="1"/>
    <col min="9735" max="9735" width="14.5546875" style="2" customWidth="1"/>
    <col min="9736" max="9736" width="3.21875" style="2" customWidth="1"/>
    <col min="9737" max="9985" width="8.77734375" style="2"/>
    <col min="9986" max="9986" width="24" style="2" customWidth="1"/>
    <col min="9987" max="9987" width="13.5546875" style="2" customWidth="1"/>
    <col min="9988" max="9988" width="3.21875" style="2" customWidth="1"/>
    <col min="9989" max="9989" width="14.77734375" style="2" customWidth="1"/>
    <col min="9990" max="9990" width="3.21875" style="2" customWidth="1"/>
    <col min="9991" max="9991" width="14.5546875" style="2" customWidth="1"/>
    <col min="9992" max="9992" width="3.21875" style="2" customWidth="1"/>
    <col min="9993" max="10241" width="8.77734375" style="2"/>
    <col min="10242" max="10242" width="24" style="2" customWidth="1"/>
    <col min="10243" max="10243" width="13.5546875" style="2" customWidth="1"/>
    <col min="10244" max="10244" width="3.21875" style="2" customWidth="1"/>
    <col min="10245" max="10245" width="14.77734375" style="2" customWidth="1"/>
    <col min="10246" max="10246" width="3.21875" style="2" customWidth="1"/>
    <col min="10247" max="10247" width="14.5546875" style="2" customWidth="1"/>
    <col min="10248" max="10248" width="3.21875" style="2" customWidth="1"/>
    <col min="10249" max="10497" width="8.77734375" style="2"/>
    <col min="10498" max="10498" width="24" style="2" customWidth="1"/>
    <col min="10499" max="10499" width="13.5546875" style="2" customWidth="1"/>
    <col min="10500" max="10500" width="3.21875" style="2" customWidth="1"/>
    <col min="10501" max="10501" width="14.77734375" style="2" customWidth="1"/>
    <col min="10502" max="10502" width="3.21875" style="2" customWidth="1"/>
    <col min="10503" max="10503" width="14.5546875" style="2" customWidth="1"/>
    <col min="10504" max="10504" width="3.21875" style="2" customWidth="1"/>
    <col min="10505" max="10753" width="8.77734375" style="2"/>
    <col min="10754" max="10754" width="24" style="2" customWidth="1"/>
    <col min="10755" max="10755" width="13.5546875" style="2" customWidth="1"/>
    <col min="10756" max="10756" width="3.21875" style="2" customWidth="1"/>
    <col min="10757" max="10757" width="14.77734375" style="2" customWidth="1"/>
    <col min="10758" max="10758" width="3.21875" style="2" customWidth="1"/>
    <col min="10759" max="10759" width="14.5546875" style="2" customWidth="1"/>
    <col min="10760" max="10760" width="3.21875" style="2" customWidth="1"/>
    <col min="10761" max="11009" width="8.77734375" style="2"/>
    <col min="11010" max="11010" width="24" style="2" customWidth="1"/>
    <col min="11011" max="11011" width="13.5546875" style="2" customWidth="1"/>
    <col min="11012" max="11012" width="3.21875" style="2" customWidth="1"/>
    <col min="11013" max="11013" width="14.77734375" style="2" customWidth="1"/>
    <col min="11014" max="11014" width="3.21875" style="2" customWidth="1"/>
    <col min="11015" max="11015" width="14.5546875" style="2" customWidth="1"/>
    <col min="11016" max="11016" width="3.21875" style="2" customWidth="1"/>
    <col min="11017" max="11265" width="8.77734375" style="2"/>
    <col min="11266" max="11266" width="24" style="2" customWidth="1"/>
    <col min="11267" max="11267" width="13.5546875" style="2" customWidth="1"/>
    <col min="11268" max="11268" width="3.21875" style="2" customWidth="1"/>
    <col min="11269" max="11269" width="14.77734375" style="2" customWidth="1"/>
    <col min="11270" max="11270" width="3.21875" style="2" customWidth="1"/>
    <col min="11271" max="11271" width="14.5546875" style="2" customWidth="1"/>
    <col min="11272" max="11272" width="3.21875" style="2" customWidth="1"/>
    <col min="11273" max="11521" width="8.77734375" style="2"/>
    <col min="11522" max="11522" width="24" style="2" customWidth="1"/>
    <col min="11523" max="11523" width="13.5546875" style="2" customWidth="1"/>
    <col min="11524" max="11524" width="3.21875" style="2" customWidth="1"/>
    <col min="11525" max="11525" width="14.77734375" style="2" customWidth="1"/>
    <col min="11526" max="11526" width="3.21875" style="2" customWidth="1"/>
    <col min="11527" max="11527" width="14.5546875" style="2" customWidth="1"/>
    <col min="11528" max="11528" width="3.21875" style="2" customWidth="1"/>
    <col min="11529" max="11777" width="8.77734375" style="2"/>
    <col min="11778" max="11778" width="24" style="2" customWidth="1"/>
    <col min="11779" max="11779" width="13.5546875" style="2" customWidth="1"/>
    <col min="11780" max="11780" width="3.21875" style="2" customWidth="1"/>
    <col min="11781" max="11781" width="14.77734375" style="2" customWidth="1"/>
    <col min="11782" max="11782" width="3.21875" style="2" customWidth="1"/>
    <col min="11783" max="11783" width="14.5546875" style="2" customWidth="1"/>
    <col min="11784" max="11784" width="3.21875" style="2" customWidth="1"/>
    <col min="11785" max="12033" width="8.77734375" style="2"/>
    <col min="12034" max="12034" width="24" style="2" customWidth="1"/>
    <col min="12035" max="12035" width="13.5546875" style="2" customWidth="1"/>
    <col min="12036" max="12036" width="3.21875" style="2" customWidth="1"/>
    <col min="12037" max="12037" width="14.77734375" style="2" customWidth="1"/>
    <col min="12038" max="12038" width="3.21875" style="2" customWidth="1"/>
    <col min="12039" max="12039" width="14.5546875" style="2" customWidth="1"/>
    <col min="12040" max="12040" width="3.21875" style="2" customWidth="1"/>
    <col min="12041" max="12289" width="8.77734375" style="2"/>
    <col min="12290" max="12290" width="24" style="2" customWidth="1"/>
    <col min="12291" max="12291" width="13.5546875" style="2" customWidth="1"/>
    <col min="12292" max="12292" width="3.21875" style="2" customWidth="1"/>
    <col min="12293" max="12293" width="14.77734375" style="2" customWidth="1"/>
    <col min="12294" max="12294" width="3.21875" style="2" customWidth="1"/>
    <col min="12295" max="12295" width="14.5546875" style="2" customWidth="1"/>
    <col min="12296" max="12296" width="3.21875" style="2" customWidth="1"/>
    <col min="12297" max="12545" width="8.77734375" style="2"/>
    <col min="12546" max="12546" width="24" style="2" customWidth="1"/>
    <col min="12547" max="12547" width="13.5546875" style="2" customWidth="1"/>
    <col min="12548" max="12548" width="3.21875" style="2" customWidth="1"/>
    <col min="12549" max="12549" width="14.77734375" style="2" customWidth="1"/>
    <col min="12550" max="12550" width="3.21875" style="2" customWidth="1"/>
    <col min="12551" max="12551" width="14.5546875" style="2" customWidth="1"/>
    <col min="12552" max="12552" width="3.21875" style="2" customWidth="1"/>
    <col min="12553" max="12801" width="8.77734375" style="2"/>
    <col min="12802" max="12802" width="24" style="2" customWidth="1"/>
    <col min="12803" max="12803" width="13.5546875" style="2" customWidth="1"/>
    <col min="12804" max="12804" width="3.21875" style="2" customWidth="1"/>
    <col min="12805" max="12805" width="14.77734375" style="2" customWidth="1"/>
    <col min="12806" max="12806" width="3.21875" style="2" customWidth="1"/>
    <col min="12807" max="12807" width="14.5546875" style="2" customWidth="1"/>
    <col min="12808" max="12808" width="3.21875" style="2" customWidth="1"/>
    <col min="12809" max="13057" width="8.77734375" style="2"/>
    <col min="13058" max="13058" width="24" style="2" customWidth="1"/>
    <col min="13059" max="13059" width="13.5546875" style="2" customWidth="1"/>
    <col min="13060" max="13060" width="3.21875" style="2" customWidth="1"/>
    <col min="13061" max="13061" width="14.77734375" style="2" customWidth="1"/>
    <col min="13062" max="13062" width="3.21875" style="2" customWidth="1"/>
    <col min="13063" max="13063" width="14.5546875" style="2" customWidth="1"/>
    <col min="13064" max="13064" width="3.21875" style="2" customWidth="1"/>
    <col min="13065" max="13313" width="8.77734375" style="2"/>
    <col min="13314" max="13314" width="24" style="2" customWidth="1"/>
    <col min="13315" max="13315" width="13.5546875" style="2" customWidth="1"/>
    <col min="13316" max="13316" width="3.21875" style="2" customWidth="1"/>
    <col min="13317" max="13317" width="14.77734375" style="2" customWidth="1"/>
    <col min="13318" max="13318" width="3.21875" style="2" customWidth="1"/>
    <col min="13319" max="13319" width="14.5546875" style="2" customWidth="1"/>
    <col min="13320" max="13320" width="3.21875" style="2" customWidth="1"/>
    <col min="13321" max="13569" width="8.77734375" style="2"/>
    <col min="13570" max="13570" width="24" style="2" customWidth="1"/>
    <col min="13571" max="13571" width="13.5546875" style="2" customWidth="1"/>
    <col min="13572" max="13572" width="3.21875" style="2" customWidth="1"/>
    <col min="13573" max="13573" width="14.77734375" style="2" customWidth="1"/>
    <col min="13574" max="13574" width="3.21875" style="2" customWidth="1"/>
    <col min="13575" max="13575" width="14.5546875" style="2" customWidth="1"/>
    <col min="13576" max="13576" width="3.21875" style="2" customWidth="1"/>
    <col min="13577" max="13825" width="8.77734375" style="2"/>
    <col min="13826" max="13826" width="24" style="2" customWidth="1"/>
    <col min="13827" max="13827" width="13.5546875" style="2" customWidth="1"/>
    <col min="13828" max="13828" width="3.21875" style="2" customWidth="1"/>
    <col min="13829" max="13829" width="14.77734375" style="2" customWidth="1"/>
    <col min="13830" max="13830" width="3.21875" style="2" customWidth="1"/>
    <col min="13831" max="13831" width="14.5546875" style="2" customWidth="1"/>
    <col min="13832" max="13832" width="3.21875" style="2" customWidth="1"/>
    <col min="13833" max="14081" width="8.77734375" style="2"/>
    <col min="14082" max="14082" width="24" style="2" customWidth="1"/>
    <col min="14083" max="14083" width="13.5546875" style="2" customWidth="1"/>
    <col min="14084" max="14084" width="3.21875" style="2" customWidth="1"/>
    <col min="14085" max="14085" width="14.77734375" style="2" customWidth="1"/>
    <col min="14086" max="14086" width="3.21875" style="2" customWidth="1"/>
    <col min="14087" max="14087" width="14.5546875" style="2" customWidth="1"/>
    <col min="14088" max="14088" width="3.21875" style="2" customWidth="1"/>
    <col min="14089" max="14337" width="8.77734375" style="2"/>
    <col min="14338" max="14338" width="24" style="2" customWidth="1"/>
    <col min="14339" max="14339" width="13.5546875" style="2" customWidth="1"/>
    <col min="14340" max="14340" width="3.21875" style="2" customWidth="1"/>
    <col min="14341" max="14341" width="14.77734375" style="2" customWidth="1"/>
    <col min="14342" max="14342" width="3.21875" style="2" customWidth="1"/>
    <col min="14343" max="14343" width="14.5546875" style="2" customWidth="1"/>
    <col min="14344" max="14344" width="3.21875" style="2" customWidth="1"/>
    <col min="14345" max="14593" width="8.77734375" style="2"/>
    <col min="14594" max="14594" width="24" style="2" customWidth="1"/>
    <col min="14595" max="14595" width="13.5546875" style="2" customWidth="1"/>
    <col min="14596" max="14596" width="3.21875" style="2" customWidth="1"/>
    <col min="14597" max="14597" width="14.77734375" style="2" customWidth="1"/>
    <col min="14598" max="14598" width="3.21875" style="2" customWidth="1"/>
    <col min="14599" max="14599" width="14.5546875" style="2" customWidth="1"/>
    <col min="14600" max="14600" width="3.21875" style="2" customWidth="1"/>
    <col min="14601" max="14849" width="8.77734375" style="2"/>
    <col min="14850" max="14850" width="24" style="2" customWidth="1"/>
    <col min="14851" max="14851" width="13.5546875" style="2" customWidth="1"/>
    <col min="14852" max="14852" width="3.21875" style="2" customWidth="1"/>
    <col min="14853" max="14853" width="14.77734375" style="2" customWidth="1"/>
    <col min="14854" max="14854" width="3.21875" style="2" customWidth="1"/>
    <col min="14855" max="14855" width="14.5546875" style="2" customWidth="1"/>
    <col min="14856" max="14856" width="3.21875" style="2" customWidth="1"/>
    <col min="14857" max="15105" width="8.77734375" style="2"/>
    <col min="15106" max="15106" width="24" style="2" customWidth="1"/>
    <col min="15107" max="15107" width="13.5546875" style="2" customWidth="1"/>
    <col min="15108" max="15108" width="3.21875" style="2" customWidth="1"/>
    <col min="15109" max="15109" width="14.77734375" style="2" customWidth="1"/>
    <col min="15110" max="15110" width="3.21875" style="2" customWidth="1"/>
    <col min="15111" max="15111" width="14.5546875" style="2" customWidth="1"/>
    <col min="15112" max="15112" width="3.21875" style="2" customWidth="1"/>
    <col min="15113" max="15361" width="8.77734375" style="2"/>
    <col min="15362" max="15362" width="24" style="2" customWidth="1"/>
    <col min="15363" max="15363" width="13.5546875" style="2" customWidth="1"/>
    <col min="15364" max="15364" width="3.21875" style="2" customWidth="1"/>
    <col min="15365" max="15365" width="14.77734375" style="2" customWidth="1"/>
    <col min="15366" max="15366" width="3.21875" style="2" customWidth="1"/>
    <col min="15367" max="15367" width="14.5546875" style="2" customWidth="1"/>
    <col min="15368" max="15368" width="3.21875" style="2" customWidth="1"/>
    <col min="15369" max="15617" width="8.77734375" style="2"/>
    <col min="15618" max="15618" width="24" style="2" customWidth="1"/>
    <col min="15619" max="15619" width="13.5546875" style="2" customWidth="1"/>
    <col min="15620" max="15620" width="3.21875" style="2" customWidth="1"/>
    <col min="15621" max="15621" width="14.77734375" style="2" customWidth="1"/>
    <col min="15622" max="15622" width="3.21875" style="2" customWidth="1"/>
    <col min="15623" max="15623" width="14.5546875" style="2" customWidth="1"/>
    <col min="15624" max="15624" width="3.21875" style="2" customWidth="1"/>
    <col min="15625" max="15873" width="8.77734375" style="2"/>
    <col min="15874" max="15874" width="24" style="2" customWidth="1"/>
    <col min="15875" max="15875" width="13.5546875" style="2" customWidth="1"/>
    <col min="15876" max="15876" width="3.21875" style="2" customWidth="1"/>
    <col min="15877" max="15877" width="14.77734375" style="2" customWidth="1"/>
    <col min="15878" max="15878" width="3.21875" style="2" customWidth="1"/>
    <col min="15879" max="15879" width="14.5546875" style="2" customWidth="1"/>
    <col min="15880" max="15880" width="3.21875" style="2" customWidth="1"/>
    <col min="15881" max="16129" width="8.77734375" style="2"/>
    <col min="16130" max="16130" width="24" style="2" customWidth="1"/>
    <col min="16131" max="16131" width="13.5546875" style="2" customWidth="1"/>
    <col min="16132" max="16132" width="3.21875" style="2" customWidth="1"/>
    <col min="16133" max="16133" width="14.77734375" style="2" customWidth="1"/>
    <col min="16134" max="16134" width="3.21875" style="2" customWidth="1"/>
    <col min="16135" max="16135" width="14.5546875" style="2" customWidth="1"/>
    <col min="16136" max="16136" width="3.21875" style="2" customWidth="1"/>
    <col min="16137" max="16384" width="8.77734375" style="2"/>
  </cols>
  <sheetData>
    <row r="1" spans="1:8" ht="20.399999999999999">
      <c r="A1" s="1" t="s">
        <v>1</v>
      </c>
      <c r="E1" s="3"/>
      <c r="G1" s="3"/>
    </row>
    <row r="2" spans="1:8" ht="15.75" customHeight="1">
      <c r="A2" s="1216" t="s">
        <v>2</v>
      </c>
      <c r="B2" s="1216"/>
      <c r="C2" s="1217" t="s">
        <v>3</v>
      </c>
      <c r="D2" s="4"/>
      <c r="E2" s="1217" t="s">
        <v>4</v>
      </c>
      <c r="F2" s="4"/>
      <c r="G2" s="1217" t="s">
        <v>5</v>
      </c>
      <c r="H2" s="4"/>
    </row>
    <row r="3" spans="1:8" ht="22.5" customHeight="1">
      <c r="A3" s="4"/>
      <c r="B3" s="4"/>
      <c r="C3" s="1217"/>
      <c r="D3" s="4"/>
      <c r="E3" s="1217"/>
      <c r="F3" s="4"/>
      <c r="G3" s="1217"/>
      <c r="H3" s="4"/>
    </row>
    <row r="4" spans="1:8" ht="13.8" thickBot="1">
      <c r="A4" s="5" t="s">
        <v>6</v>
      </c>
      <c r="C4" s="6">
        <f>+'Master Budget Sheet'!BB64</f>
        <v>25</v>
      </c>
      <c r="D4" s="4"/>
      <c r="E4" s="7">
        <f>+C4*'Master Budget Sheet'!$BB$8</f>
        <v>23.75</v>
      </c>
      <c r="F4" s="4"/>
      <c r="G4" s="8">
        <f>+E4</f>
        <v>23.75</v>
      </c>
      <c r="H4" s="4"/>
    </row>
    <row r="5" spans="1:8">
      <c r="A5" s="4"/>
      <c r="B5" s="4"/>
      <c r="C5" s="4"/>
      <c r="D5" s="4"/>
      <c r="E5" s="9"/>
      <c r="F5" s="4"/>
      <c r="G5" s="10"/>
      <c r="H5" s="4"/>
    </row>
    <row r="6" spans="1:8">
      <c r="A6" s="5" t="s">
        <v>7</v>
      </c>
      <c r="C6" s="11"/>
      <c r="D6" s="4"/>
      <c r="E6" s="9"/>
      <c r="F6" s="4"/>
      <c r="G6" s="10"/>
      <c r="H6" s="4"/>
    </row>
    <row r="7" spans="1:8" ht="14.4" thickBot="1">
      <c r="B7" s="12" t="s">
        <v>8</v>
      </c>
      <c r="C7" s="6">
        <f>SUM('Master Budget Sheet'!BB65:BB67)</f>
        <v>75</v>
      </c>
      <c r="D7" s="4"/>
      <c r="E7" s="7">
        <f>+C7*'Master Budget Sheet'!$BB$8</f>
        <v>71.25</v>
      </c>
      <c r="F7" s="4"/>
      <c r="G7" s="8">
        <f>+E7</f>
        <v>71.25</v>
      </c>
      <c r="H7" s="4"/>
    </row>
    <row r="8" spans="1:8" ht="14.4" thickBot="1">
      <c r="B8" s="12" t="s">
        <v>9</v>
      </c>
      <c r="C8" s="13">
        <f>SUM('Master Budget Sheet'!BB68:BB70)</f>
        <v>75</v>
      </c>
      <c r="D8" s="4"/>
      <c r="E8" s="7">
        <f>+C8*'Master Budget Sheet'!$BB$8</f>
        <v>71.25</v>
      </c>
      <c r="F8" s="4"/>
      <c r="G8" s="60">
        <f>+E8</f>
        <v>71.25</v>
      </c>
      <c r="H8" s="4"/>
    </row>
    <row r="9" spans="1:8">
      <c r="A9" s="4"/>
      <c r="B9" s="4"/>
      <c r="C9" s="4"/>
      <c r="D9" s="4"/>
      <c r="E9" s="14">
        <f>IF(E8+E7=0,0,E8+E7)</f>
        <v>142.5</v>
      </c>
      <c r="F9" s="4"/>
      <c r="G9" s="14">
        <f>IF(G8+G7=0,0,G8+G7)</f>
        <v>142.5</v>
      </c>
      <c r="H9" s="4"/>
    </row>
    <row r="10" spans="1:8" ht="13.8" thickBot="1">
      <c r="A10" s="5" t="s">
        <v>10</v>
      </c>
      <c r="C10" s="6">
        <f>SUM('Master Budget Sheet'!BB71:BB76)</f>
        <v>150</v>
      </c>
      <c r="D10" s="4"/>
      <c r="E10" s="7">
        <f>+C10*'Master Budget Sheet'!$BB$8</f>
        <v>142.5</v>
      </c>
      <c r="F10" s="4"/>
      <c r="G10" s="8">
        <f>+E10</f>
        <v>142.5</v>
      </c>
      <c r="H10" s="4"/>
    </row>
    <row r="11" spans="1:8">
      <c r="A11" s="15"/>
      <c r="B11" s="4"/>
      <c r="C11" s="16"/>
      <c r="D11" s="4"/>
      <c r="E11" s="17"/>
      <c r="F11" s="4"/>
      <c r="G11" s="18"/>
      <c r="H11" s="4"/>
    </row>
    <row r="12" spans="1:8">
      <c r="A12" s="4"/>
      <c r="B12" s="1218" t="s">
        <v>11</v>
      </c>
      <c r="C12" s="1218"/>
      <c r="D12" s="1218"/>
      <c r="E12" s="1218"/>
      <c r="F12" s="1218"/>
      <c r="G12" s="1218"/>
      <c r="H12" s="4"/>
    </row>
    <row r="13" spans="1:8">
      <c r="A13" s="4"/>
      <c r="B13" s="4"/>
      <c r="C13" s="1215"/>
      <c r="D13" s="1215"/>
      <c r="E13" s="19"/>
      <c r="F13" s="20"/>
      <c r="G13" s="19"/>
      <c r="H13" s="20"/>
    </row>
    <row r="14" spans="1:8" ht="13.8" thickBot="1">
      <c r="A14" s="21" t="s">
        <v>12</v>
      </c>
      <c r="C14" s="11"/>
      <c r="D14" s="4"/>
      <c r="E14" s="7"/>
      <c r="F14" s="4"/>
      <c r="G14" s="8"/>
      <c r="H14" s="4"/>
    </row>
    <row r="15" spans="1:8">
      <c r="A15" s="21" t="s">
        <v>13</v>
      </c>
      <c r="C15" s="11"/>
      <c r="D15" s="4"/>
      <c r="E15" s="22"/>
      <c r="F15" s="4"/>
      <c r="G15" s="10"/>
      <c r="H15" s="4"/>
    </row>
    <row r="16" spans="1:8">
      <c r="A16" s="23"/>
      <c r="B16" s="4"/>
      <c r="C16" s="11"/>
      <c r="D16" s="4"/>
      <c r="E16" s="17"/>
      <c r="F16" s="4"/>
      <c r="G16" s="10"/>
      <c r="H16" s="4"/>
    </row>
    <row r="17" spans="1:8">
      <c r="A17" s="21" t="s">
        <v>14</v>
      </c>
      <c r="C17" s="11"/>
      <c r="D17" s="4"/>
      <c r="E17" s="11"/>
      <c r="F17" s="4"/>
      <c r="G17" s="10"/>
      <c r="H17" s="4"/>
    </row>
    <row r="18" spans="1:8" ht="27" thickBot="1">
      <c r="A18" s="21"/>
      <c r="B18" s="24" t="s">
        <v>15</v>
      </c>
      <c r="C18" s="11"/>
      <c r="D18" s="4"/>
      <c r="E18" s="25"/>
      <c r="F18" s="4"/>
      <c r="G18" s="10"/>
      <c r="H18" s="4"/>
    </row>
    <row r="19" spans="1:8" ht="40.200000000000003" thickBot="1">
      <c r="A19" s="21"/>
      <c r="B19" s="24" t="s">
        <v>16</v>
      </c>
      <c r="C19" s="11"/>
      <c r="D19" s="4"/>
      <c r="E19" s="26"/>
      <c r="F19" s="4"/>
      <c r="G19" s="10"/>
      <c r="H19" s="4"/>
    </row>
    <row r="20" spans="1:8">
      <c r="A20" s="4"/>
      <c r="B20" s="4"/>
      <c r="C20" s="11"/>
      <c r="D20" s="4"/>
      <c r="E20" s="11"/>
      <c r="F20" s="4"/>
      <c r="G20" s="10"/>
      <c r="H20" s="4"/>
    </row>
    <row r="21" spans="1:8">
      <c r="A21" s="27" t="s">
        <v>17</v>
      </c>
      <c r="E21" s="4"/>
      <c r="F21" s="11"/>
      <c r="G21" s="11"/>
      <c r="H21" s="11"/>
    </row>
    <row r="22" spans="1:8" ht="13.8" thickBot="1">
      <c r="A22" s="28"/>
      <c r="B22" s="2" t="s">
        <v>18</v>
      </c>
      <c r="C22" s="29"/>
      <c r="D22" s="11"/>
      <c r="E22" s="11"/>
      <c r="F22" s="11"/>
      <c r="G22" s="11"/>
      <c r="H22" s="11"/>
    </row>
    <row r="23" spans="1:8" ht="13.8" thickBot="1">
      <c r="B23" s="2" t="s">
        <v>19</v>
      </c>
      <c r="C23" s="29"/>
      <c r="D23" s="11"/>
      <c r="E23" s="11"/>
      <c r="F23" s="11"/>
      <c r="G23" s="11"/>
      <c r="H23" s="11"/>
    </row>
    <row r="24" spans="1:8">
      <c r="A24" s="11"/>
      <c r="B24" s="11"/>
      <c r="C24" s="11"/>
      <c r="D24" s="11"/>
      <c r="E24" s="11"/>
      <c r="F24" s="11"/>
      <c r="G24" s="11"/>
      <c r="H24" s="11"/>
    </row>
  </sheetData>
  <sheetProtection password="CC16" sheet="1"/>
  <mergeCells count="6">
    <mergeCell ref="C13:D13"/>
    <mergeCell ref="A2:B2"/>
    <mergeCell ref="C2:C3"/>
    <mergeCell ref="E2:E3"/>
    <mergeCell ref="G2:G3"/>
    <mergeCell ref="B12:G12"/>
  </mergeCells>
  <conditionalFormatting sqref="F13 H13">
    <cfRule type="expression" dxfId="6" priority="1" stopIfTrue="1">
      <formula>E10=0</formula>
    </cfRule>
    <cfRule type="expression" dxfId="5" priority="2" stopIfTrue="1">
      <formula>E13="Grade 7 thru"</formula>
    </cfRule>
    <cfRule type="expression" dxfId="4" priority="3" stopIfTrue="1">
      <formula>E10&gt;99.99</formula>
    </cfRule>
  </conditionalFormatting>
  <pageMargins left="0.75" right="0.75" top="1" bottom="1" header="0.5" footer="0.5"/>
  <pageSetup orientation="portrait" r:id="rId1"/>
  <headerFooter alignWithMargins="0">
    <oddFooter>&amp;L&amp;F</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6"/>
  <dimension ref="A1:Q37"/>
  <sheetViews>
    <sheetView showGridLines="0" zoomScale="90" zoomScaleNormal="100" workbookViewId="0">
      <selection activeCell="N36" sqref="N36:O36"/>
    </sheetView>
  </sheetViews>
  <sheetFormatPr defaultRowHeight="13.2"/>
  <cols>
    <col min="1" max="1" width="4.21875" style="30" customWidth="1"/>
    <col min="2" max="2" width="2.5546875" style="2" customWidth="1"/>
    <col min="3" max="4" width="8.77734375" style="2"/>
    <col min="5" max="5" width="5.77734375" style="2" customWidth="1"/>
    <col min="6" max="6" width="8.77734375" style="2" customWidth="1"/>
    <col min="7" max="7" width="3.21875" style="2" customWidth="1"/>
    <col min="8" max="8" width="10.21875" style="2" customWidth="1"/>
    <col min="9" max="9" width="3.77734375" style="2" customWidth="1"/>
    <col min="10" max="10" width="8.21875" style="2" customWidth="1"/>
    <col min="11" max="11" width="6.21875" style="2" customWidth="1"/>
    <col min="12" max="12" width="5.5546875" style="2" customWidth="1"/>
    <col min="13" max="13" width="10.77734375" style="2" customWidth="1"/>
    <col min="14" max="14" width="8.21875" style="2" customWidth="1"/>
    <col min="15" max="15" width="12.21875" style="2" customWidth="1"/>
    <col min="16" max="16" width="10.21875" style="2" customWidth="1"/>
    <col min="17" max="17" width="9.21875" style="32" customWidth="1"/>
    <col min="18" max="256" width="8.77734375" style="2"/>
    <col min="257" max="257" width="4.21875" style="2" customWidth="1"/>
    <col min="258" max="258" width="2.5546875" style="2" customWidth="1"/>
    <col min="259" max="260" width="8.77734375" style="2"/>
    <col min="261" max="261" width="5.77734375" style="2" customWidth="1"/>
    <col min="262" max="262" width="8.77734375" style="2" customWidth="1"/>
    <col min="263" max="263" width="3.21875" style="2" customWidth="1"/>
    <col min="264" max="264" width="10.21875" style="2" customWidth="1"/>
    <col min="265" max="265" width="3.77734375" style="2" customWidth="1"/>
    <col min="266" max="266" width="8.21875" style="2" customWidth="1"/>
    <col min="267" max="267" width="6.21875" style="2" customWidth="1"/>
    <col min="268" max="268" width="5.5546875" style="2" customWidth="1"/>
    <col min="269" max="269" width="10.77734375" style="2" customWidth="1"/>
    <col min="270" max="270" width="8.21875" style="2" customWidth="1"/>
    <col min="271" max="271" width="12.21875" style="2" customWidth="1"/>
    <col min="272" max="272" width="10.21875" style="2" customWidth="1"/>
    <col min="273" max="273" width="9.21875" style="2" customWidth="1"/>
    <col min="274" max="512" width="8.77734375" style="2"/>
    <col min="513" max="513" width="4.21875" style="2" customWidth="1"/>
    <col min="514" max="514" width="2.5546875" style="2" customWidth="1"/>
    <col min="515" max="516" width="8.77734375" style="2"/>
    <col min="517" max="517" width="5.77734375" style="2" customWidth="1"/>
    <col min="518" max="518" width="8.77734375" style="2" customWidth="1"/>
    <col min="519" max="519" width="3.21875" style="2" customWidth="1"/>
    <col min="520" max="520" width="10.21875" style="2" customWidth="1"/>
    <col min="521" max="521" width="3.77734375" style="2" customWidth="1"/>
    <col min="522" max="522" width="8.21875" style="2" customWidth="1"/>
    <col min="523" max="523" width="6.21875" style="2" customWidth="1"/>
    <col min="524" max="524" width="5.5546875" style="2" customWidth="1"/>
    <col min="525" max="525" width="10.77734375" style="2" customWidth="1"/>
    <col min="526" max="526" width="8.21875" style="2" customWidth="1"/>
    <col min="527" max="527" width="12.21875" style="2" customWidth="1"/>
    <col min="528" max="528" width="10.21875" style="2" customWidth="1"/>
    <col min="529" max="529" width="9.21875" style="2" customWidth="1"/>
    <col min="530" max="768" width="8.77734375" style="2"/>
    <col min="769" max="769" width="4.21875" style="2" customWidth="1"/>
    <col min="770" max="770" width="2.5546875" style="2" customWidth="1"/>
    <col min="771" max="772" width="8.77734375" style="2"/>
    <col min="773" max="773" width="5.77734375" style="2" customWidth="1"/>
    <col min="774" max="774" width="8.77734375" style="2" customWidth="1"/>
    <col min="775" max="775" width="3.21875" style="2" customWidth="1"/>
    <col min="776" max="776" width="10.21875" style="2" customWidth="1"/>
    <col min="777" max="777" width="3.77734375" style="2" customWidth="1"/>
    <col min="778" max="778" width="8.21875" style="2" customWidth="1"/>
    <col min="779" max="779" width="6.21875" style="2" customWidth="1"/>
    <col min="780" max="780" width="5.5546875" style="2" customWidth="1"/>
    <col min="781" max="781" width="10.77734375" style="2" customWidth="1"/>
    <col min="782" max="782" width="8.21875" style="2" customWidth="1"/>
    <col min="783" max="783" width="12.21875" style="2" customWidth="1"/>
    <col min="784" max="784" width="10.21875" style="2" customWidth="1"/>
    <col min="785" max="785" width="9.21875" style="2" customWidth="1"/>
    <col min="786" max="1024" width="8.77734375" style="2"/>
    <col min="1025" max="1025" width="4.21875" style="2" customWidth="1"/>
    <col min="1026" max="1026" width="2.5546875" style="2" customWidth="1"/>
    <col min="1027" max="1028" width="8.77734375" style="2"/>
    <col min="1029" max="1029" width="5.77734375" style="2" customWidth="1"/>
    <col min="1030" max="1030" width="8.77734375" style="2" customWidth="1"/>
    <col min="1031" max="1031" width="3.21875" style="2" customWidth="1"/>
    <col min="1032" max="1032" width="10.21875" style="2" customWidth="1"/>
    <col min="1033" max="1033" width="3.77734375" style="2" customWidth="1"/>
    <col min="1034" max="1034" width="8.21875" style="2" customWidth="1"/>
    <col min="1035" max="1035" width="6.21875" style="2" customWidth="1"/>
    <col min="1036" max="1036" width="5.5546875" style="2" customWidth="1"/>
    <col min="1037" max="1037" width="10.77734375" style="2" customWidth="1"/>
    <col min="1038" max="1038" width="8.21875" style="2" customWidth="1"/>
    <col min="1039" max="1039" width="12.21875" style="2" customWidth="1"/>
    <col min="1040" max="1040" width="10.21875" style="2" customWidth="1"/>
    <col min="1041" max="1041" width="9.21875" style="2" customWidth="1"/>
    <col min="1042" max="1280" width="8.77734375" style="2"/>
    <col min="1281" max="1281" width="4.21875" style="2" customWidth="1"/>
    <col min="1282" max="1282" width="2.5546875" style="2" customWidth="1"/>
    <col min="1283" max="1284" width="8.77734375" style="2"/>
    <col min="1285" max="1285" width="5.77734375" style="2" customWidth="1"/>
    <col min="1286" max="1286" width="8.77734375" style="2" customWidth="1"/>
    <col min="1287" max="1287" width="3.21875" style="2" customWidth="1"/>
    <col min="1288" max="1288" width="10.21875" style="2" customWidth="1"/>
    <col min="1289" max="1289" width="3.77734375" style="2" customWidth="1"/>
    <col min="1290" max="1290" width="8.21875" style="2" customWidth="1"/>
    <col min="1291" max="1291" width="6.21875" style="2" customWidth="1"/>
    <col min="1292" max="1292" width="5.5546875" style="2" customWidth="1"/>
    <col min="1293" max="1293" width="10.77734375" style="2" customWidth="1"/>
    <col min="1294" max="1294" width="8.21875" style="2" customWidth="1"/>
    <col min="1295" max="1295" width="12.21875" style="2" customWidth="1"/>
    <col min="1296" max="1296" width="10.21875" style="2" customWidth="1"/>
    <col min="1297" max="1297" width="9.21875" style="2" customWidth="1"/>
    <col min="1298" max="1536" width="8.77734375" style="2"/>
    <col min="1537" max="1537" width="4.21875" style="2" customWidth="1"/>
    <col min="1538" max="1538" width="2.5546875" style="2" customWidth="1"/>
    <col min="1539" max="1540" width="8.77734375" style="2"/>
    <col min="1541" max="1541" width="5.77734375" style="2" customWidth="1"/>
    <col min="1542" max="1542" width="8.77734375" style="2" customWidth="1"/>
    <col min="1543" max="1543" width="3.21875" style="2" customWidth="1"/>
    <col min="1544" max="1544" width="10.21875" style="2" customWidth="1"/>
    <col min="1545" max="1545" width="3.77734375" style="2" customWidth="1"/>
    <col min="1546" max="1546" width="8.21875" style="2" customWidth="1"/>
    <col min="1547" max="1547" width="6.21875" style="2" customWidth="1"/>
    <col min="1548" max="1548" width="5.5546875" style="2" customWidth="1"/>
    <col min="1549" max="1549" width="10.77734375" style="2" customWidth="1"/>
    <col min="1550" max="1550" width="8.21875" style="2" customWidth="1"/>
    <col min="1551" max="1551" width="12.21875" style="2" customWidth="1"/>
    <col min="1552" max="1552" width="10.21875" style="2" customWidth="1"/>
    <col min="1553" max="1553" width="9.21875" style="2" customWidth="1"/>
    <col min="1554" max="1792" width="8.77734375" style="2"/>
    <col min="1793" max="1793" width="4.21875" style="2" customWidth="1"/>
    <col min="1794" max="1794" width="2.5546875" style="2" customWidth="1"/>
    <col min="1795" max="1796" width="8.77734375" style="2"/>
    <col min="1797" max="1797" width="5.77734375" style="2" customWidth="1"/>
    <col min="1798" max="1798" width="8.77734375" style="2" customWidth="1"/>
    <col min="1799" max="1799" width="3.21875" style="2" customWidth="1"/>
    <col min="1800" max="1800" width="10.21875" style="2" customWidth="1"/>
    <col min="1801" max="1801" width="3.77734375" style="2" customWidth="1"/>
    <col min="1802" max="1802" width="8.21875" style="2" customWidth="1"/>
    <col min="1803" max="1803" width="6.21875" style="2" customWidth="1"/>
    <col min="1804" max="1804" width="5.5546875" style="2" customWidth="1"/>
    <col min="1805" max="1805" width="10.77734375" style="2" customWidth="1"/>
    <col min="1806" max="1806" width="8.21875" style="2" customWidth="1"/>
    <col min="1807" max="1807" width="12.21875" style="2" customWidth="1"/>
    <col min="1808" max="1808" width="10.21875" style="2" customWidth="1"/>
    <col min="1809" max="1809" width="9.21875" style="2" customWidth="1"/>
    <col min="1810" max="2048" width="8.77734375" style="2"/>
    <col min="2049" max="2049" width="4.21875" style="2" customWidth="1"/>
    <col min="2050" max="2050" width="2.5546875" style="2" customWidth="1"/>
    <col min="2051" max="2052" width="8.77734375" style="2"/>
    <col min="2053" max="2053" width="5.77734375" style="2" customWidth="1"/>
    <col min="2054" max="2054" width="8.77734375" style="2" customWidth="1"/>
    <col min="2055" max="2055" width="3.21875" style="2" customWidth="1"/>
    <col min="2056" max="2056" width="10.21875" style="2" customWidth="1"/>
    <col min="2057" max="2057" width="3.77734375" style="2" customWidth="1"/>
    <col min="2058" max="2058" width="8.21875" style="2" customWidth="1"/>
    <col min="2059" max="2059" width="6.21875" style="2" customWidth="1"/>
    <col min="2060" max="2060" width="5.5546875" style="2" customWidth="1"/>
    <col min="2061" max="2061" width="10.77734375" style="2" customWidth="1"/>
    <col min="2062" max="2062" width="8.21875" style="2" customWidth="1"/>
    <col min="2063" max="2063" width="12.21875" style="2" customWidth="1"/>
    <col min="2064" max="2064" width="10.21875" style="2" customWidth="1"/>
    <col min="2065" max="2065" width="9.21875" style="2" customWidth="1"/>
    <col min="2066" max="2304" width="8.77734375" style="2"/>
    <col min="2305" max="2305" width="4.21875" style="2" customWidth="1"/>
    <col min="2306" max="2306" width="2.5546875" style="2" customWidth="1"/>
    <col min="2307" max="2308" width="8.77734375" style="2"/>
    <col min="2309" max="2309" width="5.77734375" style="2" customWidth="1"/>
    <col min="2310" max="2310" width="8.77734375" style="2" customWidth="1"/>
    <col min="2311" max="2311" width="3.21875" style="2" customWidth="1"/>
    <col min="2312" max="2312" width="10.21875" style="2" customWidth="1"/>
    <col min="2313" max="2313" width="3.77734375" style="2" customWidth="1"/>
    <col min="2314" max="2314" width="8.21875" style="2" customWidth="1"/>
    <col min="2315" max="2315" width="6.21875" style="2" customWidth="1"/>
    <col min="2316" max="2316" width="5.5546875" style="2" customWidth="1"/>
    <col min="2317" max="2317" width="10.77734375" style="2" customWidth="1"/>
    <col min="2318" max="2318" width="8.21875" style="2" customWidth="1"/>
    <col min="2319" max="2319" width="12.21875" style="2" customWidth="1"/>
    <col min="2320" max="2320" width="10.21875" style="2" customWidth="1"/>
    <col min="2321" max="2321" width="9.21875" style="2" customWidth="1"/>
    <col min="2322" max="2560" width="8.77734375" style="2"/>
    <col min="2561" max="2561" width="4.21875" style="2" customWidth="1"/>
    <col min="2562" max="2562" width="2.5546875" style="2" customWidth="1"/>
    <col min="2563" max="2564" width="8.77734375" style="2"/>
    <col min="2565" max="2565" width="5.77734375" style="2" customWidth="1"/>
    <col min="2566" max="2566" width="8.77734375" style="2" customWidth="1"/>
    <col min="2567" max="2567" width="3.21875" style="2" customWidth="1"/>
    <col min="2568" max="2568" width="10.21875" style="2" customWidth="1"/>
    <col min="2569" max="2569" width="3.77734375" style="2" customWidth="1"/>
    <col min="2570" max="2570" width="8.21875" style="2" customWidth="1"/>
    <col min="2571" max="2571" width="6.21875" style="2" customWidth="1"/>
    <col min="2572" max="2572" width="5.5546875" style="2" customWidth="1"/>
    <col min="2573" max="2573" width="10.77734375" style="2" customWidth="1"/>
    <col min="2574" max="2574" width="8.21875" style="2" customWidth="1"/>
    <col min="2575" max="2575" width="12.21875" style="2" customWidth="1"/>
    <col min="2576" max="2576" width="10.21875" style="2" customWidth="1"/>
    <col min="2577" max="2577" width="9.21875" style="2" customWidth="1"/>
    <col min="2578" max="2816" width="8.77734375" style="2"/>
    <col min="2817" max="2817" width="4.21875" style="2" customWidth="1"/>
    <col min="2818" max="2818" width="2.5546875" style="2" customWidth="1"/>
    <col min="2819" max="2820" width="8.77734375" style="2"/>
    <col min="2821" max="2821" width="5.77734375" style="2" customWidth="1"/>
    <col min="2822" max="2822" width="8.77734375" style="2" customWidth="1"/>
    <col min="2823" max="2823" width="3.21875" style="2" customWidth="1"/>
    <col min="2824" max="2824" width="10.21875" style="2" customWidth="1"/>
    <col min="2825" max="2825" width="3.77734375" style="2" customWidth="1"/>
    <col min="2826" max="2826" width="8.21875" style="2" customWidth="1"/>
    <col min="2827" max="2827" width="6.21875" style="2" customWidth="1"/>
    <col min="2828" max="2828" width="5.5546875" style="2" customWidth="1"/>
    <col min="2829" max="2829" width="10.77734375" style="2" customWidth="1"/>
    <col min="2830" max="2830" width="8.21875" style="2" customWidth="1"/>
    <col min="2831" max="2831" width="12.21875" style="2" customWidth="1"/>
    <col min="2832" max="2832" width="10.21875" style="2" customWidth="1"/>
    <col min="2833" max="2833" width="9.21875" style="2" customWidth="1"/>
    <col min="2834" max="3072" width="8.77734375" style="2"/>
    <col min="3073" max="3073" width="4.21875" style="2" customWidth="1"/>
    <col min="3074" max="3074" width="2.5546875" style="2" customWidth="1"/>
    <col min="3075" max="3076" width="8.77734375" style="2"/>
    <col min="3077" max="3077" width="5.77734375" style="2" customWidth="1"/>
    <col min="3078" max="3078" width="8.77734375" style="2" customWidth="1"/>
    <col min="3079" max="3079" width="3.21875" style="2" customWidth="1"/>
    <col min="3080" max="3080" width="10.21875" style="2" customWidth="1"/>
    <col min="3081" max="3081" width="3.77734375" style="2" customWidth="1"/>
    <col min="3082" max="3082" width="8.21875" style="2" customWidth="1"/>
    <col min="3083" max="3083" width="6.21875" style="2" customWidth="1"/>
    <col min="3084" max="3084" width="5.5546875" style="2" customWidth="1"/>
    <col min="3085" max="3085" width="10.77734375" style="2" customWidth="1"/>
    <col min="3086" max="3086" width="8.21875" style="2" customWidth="1"/>
    <col min="3087" max="3087" width="12.21875" style="2" customWidth="1"/>
    <col min="3088" max="3088" width="10.21875" style="2" customWidth="1"/>
    <col min="3089" max="3089" width="9.21875" style="2" customWidth="1"/>
    <col min="3090" max="3328" width="8.77734375" style="2"/>
    <col min="3329" max="3329" width="4.21875" style="2" customWidth="1"/>
    <col min="3330" max="3330" width="2.5546875" style="2" customWidth="1"/>
    <col min="3331" max="3332" width="8.77734375" style="2"/>
    <col min="3333" max="3333" width="5.77734375" style="2" customWidth="1"/>
    <col min="3334" max="3334" width="8.77734375" style="2" customWidth="1"/>
    <col min="3335" max="3335" width="3.21875" style="2" customWidth="1"/>
    <col min="3336" max="3336" width="10.21875" style="2" customWidth="1"/>
    <col min="3337" max="3337" width="3.77734375" style="2" customWidth="1"/>
    <col min="3338" max="3338" width="8.21875" style="2" customWidth="1"/>
    <col min="3339" max="3339" width="6.21875" style="2" customWidth="1"/>
    <col min="3340" max="3340" width="5.5546875" style="2" customWidth="1"/>
    <col min="3341" max="3341" width="10.77734375" style="2" customWidth="1"/>
    <col min="3342" max="3342" width="8.21875" style="2" customWidth="1"/>
    <col min="3343" max="3343" width="12.21875" style="2" customWidth="1"/>
    <col min="3344" max="3344" width="10.21875" style="2" customWidth="1"/>
    <col min="3345" max="3345" width="9.21875" style="2" customWidth="1"/>
    <col min="3346" max="3584" width="8.77734375" style="2"/>
    <col min="3585" max="3585" width="4.21875" style="2" customWidth="1"/>
    <col min="3586" max="3586" width="2.5546875" style="2" customWidth="1"/>
    <col min="3587" max="3588" width="8.77734375" style="2"/>
    <col min="3589" max="3589" width="5.77734375" style="2" customWidth="1"/>
    <col min="3590" max="3590" width="8.77734375" style="2" customWidth="1"/>
    <col min="3591" max="3591" width="3.21875" style="2" customWidth="1"/>
    <col min="3592" max="3592" width="10.21875" style="2" customWidth="1"/>
    <col min="3593" max="3593" width="3.77734375" style="2" customWidth="1"/>
    <col min="3594" max="3594" width="8.21875" style="2" customWidth="1"/>
    <col min="3595" max="3595" width="6.21875" style="2" customWidth="1"/>
    <col min="3596" max="3596" width="5.5546875" style="2" customWidth="1"/>
    <col min="3597" max="3597" width="10.77734375" style="2" customWidth="1"/>
    <col min="3598" max="3598" width="8.21875" style="2" customWidth="1"/>
    <col min="3599" max="3599" width="12.21875" style="2" customWidth="1"/>
    <col min="3600" max="3600" width="10.21875" style="2" customWidth="1"/>
    <col min="3601" max="3601" width="9.21875" style="2" customWidth="1"/>
    <col min="3602" max="3840" width="8.77734375" style="2"/>
    <col min="3841" max="3841" width="4.21875" style="2" customWidth="1"/>
    <col min="3842" max="3842" width="2.5546875" style="2" customWidth="1"/>
    <col min="3843" max="3844" width="8.77734375" style="2"/>
    <col min="3845" max="3845" width="5.77734375" style="2" customWidth="1"/>
    <col min="3846" max="3846" width="8.77734375" style="2" customWidth="1"/>
    <col min="3847" max="3847" width="3.21875" style="2" customWidth="1"/>
    <col min="3848" max="3848" width="10.21875" style="2" customWidth="1"/>
    <col min="3849" max="3849" width="3.77734375" style="2" customWidth="1"/>
    <col min="3850" max="3850" width="8.21875" style="2" customWidth="1"/>
    <col min="3851" max="3851" width="6.21875" style="2" customWidth="1"/>
    <col min="3852" max="3852" width="5.5546875" style="2" customWidth="1"/>
    <col min="3853" max="3853" width="10.77734375" style="2" customWidth="1"/>
    <col min="3854" max="3854" width="8.21875" style="2" customWidth="1"/>
    <col min="3855" max="3855" width="12.21875" style="2" customWidth="1"/>
    <col min="3856" max="3856" width="10.21875" style="2" customWidth="1"/>
    <col min="3857" max="3857" width="9.21875" style="2" customWidth="1"/>
    <col min="3858" max="4096" width="8.77734375" style="2"/>
    <col min="4097" max="4097" width="4.21875" style="2" customWidth="1"/>
    <col min="4098" max="4098" width="2.5546875" style="2" customWidth="1"/>
    <col min="4099" max="4100" width="8.77734375" style="2"/>
    <col min="4101" max="4101" width="5.77734375" style="2" customWidth="1"/>
    <col min="4102" max="4102" width="8.77734375" style="2" customWidth="1"/>
    <col min="4103" max="4103" width="3.21875" style="2" customWidth="1"/>
    <col min="4104" max="4104" width="10.21875" style="2" customWidth="1"/>
    <col min="4105" max="4105" width="3.77734375" style="2" customWidth="1"/>
    <col min="4106" max="4106" width="8.21875" style="2" customWidth="1"/>
    <col min="4107" max="4107" width="6.21875" style="2" customWidth="1"/>
    <col min="4108" max="4108" width="5.5546875" style="2" customWidth="1"/>
    <col min="4109" max="4109" width="10.77734375" style="2" customWidth="1"/>
    <col min="4110" max="4110" width="8.21875" style="2" customWidth="1"/>
    <col min="4111" max="4111" width="12.21875" style="2" customWidth="1"/>
    <col min="4112" max="4112" width="10.21875" style="2" customWidth="1"/>
    <col min="4113" max="4113" width="9.21875" style="2" customWidth="1"/>
    <col min="4114" max="4352" width="8.77734375" style="2"/>
    <col min="4353" max="4353" width="4.21875" style="2" customWidth="1"/>
    <col min="4354" max="4354" width="2.5546875" style="2" customWidth="1"/>
    <col min="4355" max="4356" width="8.77734375" style="2"/>
    <col min="4357" max="4357" width="5.77734375" style="2" customWidth="1"/>
    <col min="4358" max="4358" width="8.77734375" style="2" customWidth="1"/>
    <col min="4359" max="4359" width="3.21875" style="2" customWidth="1"/>
    <col min="4360" max="4360" width="10.21875" style="2" customWidth="1"/>
    <col min="4361" max="4361" width="3.77734375" style="2" customWidth="1"/>
    <col min="4362" max="4362" width="8.21875" style="2" customWidth="1"/>
    <col min="4363" max="4363" width="6.21875" style="2" customWidth="1"/>
    <col min="4364" max="4364" width="5.5546875" style="2" customWidth="1"/>
    <col min="4365" max="4365" width="10.77734375" style="2" customWidth="1"/>
    <col min="4366" max="4366" width="8.21875" style="2" customWidth="1"/>
    <col min="4367" max="4367" width="12.21875" style="2" customWidth="1"/>
    <col min="4368" max="4368" width="10.21875" style="2" customWidth="1"/>
    <col min="4369" max="4369" width="9.21875" style="2" customWidth="1"/>
    <col min="4370" max="4608" width="8.77734375" style="2"/>
    <col min="4609" max="4609" width="4.21875" style="2" customWidth="1"/>
    <col min="4610" max="4610" width="2.5546875" style="2" customWidth="1"/>
    <col min="4611" max="4612" width="8.77734375" style="2"/>
    <col min="4613" max="4613" width="5.77734375" style="2" customWidth="1"/>
    <col min="4614" max="4614" width="8.77734375" style="2" customWidth="1"/>
    <col min="4615" max="4615" width="3.21875" style="2" customWidth="1"/>
    <col min="4616" max="4616" width="10.21875" style="2" customWidth="1"/>
    <col min="4617" max="4617" width="3.77734375" style="2" customWidth="1"/>
    <col min="4618" max="4618" width="8.21875" style="2" customWidth="1"/>
    <col min="4619" max="4619" width="6.21875" style="2" customWidth="1"/>
    <col min="4620" max="4620" width="5.5546875" style="2" customWidth="1"/>
    <col min="4621" max="4621" width="10.77734375" style="2" customWidth="1"/>
    <col min="4622" max="4622" width="8.21875" style="2" customWidth="1"/>
    <col min="4623" max="4623" width="12.21875" style="2" customWidth="1"/>
    <col min="4624" max="4624" width="10.21875" style="2" customWidth="1"/>
    <col min="4625" max="4625" width="9.21875" style="2" customWidth="1"/>
    <col min="4626" max="4864" width="8.77734375" style="2"/>
    <col min="4865" max="4865" width="4.21875" style="2" customWidth="1"/>
    <col min="4866" max="4866" width="2.5546875" style="2" customWidth="1"/>
    <col min="4867" max="4868" width="8.77734375" style="2"/>
    <col min="4869" max="4869" width="5.77734375" style="2" customWidth="1"/>
    <col min="4870" max="4870" width="8.77734375" style="2" customWidth="1"/>
    <col min="4871" max="4871" width="3.21875" style="2" customWidth="1"/>
    <col min="4872" max="4872" width="10.21875" style="2" customWidth="1"/>
    <col min="4873" max="4873" width="3.77734375" style="2" customWidth="1"/>
    <col min="4874" max="4874" width="8.21875" style="2" customWidth="1"/>
    <col min="4875" max="4875" width="6.21875" style="2" customWidth="1"/>
    <col min="4876" max="4876" width="5.5546875" style="2" customWidth="1"/>
    <col min="4877" max="4877" width="10.77734375" style="2" customWidth="1"/>
    <col min="4878" max="4878" width="8.21875" style="2" customWidth="1"/>
    <col min="4879" max="4879" width="12.21875" style="2" customWidth="1"/>
    <col min="4880" max="4880" width="10.21875" style="2" customWidth="1"/>
    <col min="4881" max="4881" width="9.21875" style="2" customWidth="1"/>
    <col min="4882" max="5120" width="8.77734375" style="2"/>
    <col min="5121" max="5121" width="4.21875" style="2" customWidth="1"/>
    <col min="5122" max="5122" width="2.5546875" style="2" customWidth="1"/>
    <col min="5123" max="5124" width="8.77734375" style="2"/>
    <col min="5125" max="5125" width="5.77734375" style="2" customWidth="1"/>
    <col min="5126" max="5126" width="8.77734375" style="2" customWidth="1"/>
    <col min="5127" max="5127" width="3.21875" style="2" customWidth="1"/>
    <col min="5128" max="5128" width="10.21875" style="2" customWidth="1"/>
    <col min="5129" max="5129" width="3.77734375" style="2" customWidth="1"/>
    <col min="5130" max="5130" width="8.21875" style="2" customWidth="1"/>
    <col min="5131" max="5131" width="6.21875" style="2" customWidth="1"/>
    <col min="5132" max="5132" width="5.5546875" style="2" customWidth="1"/>
    <col min="5133" max="5133" width="10.77734375" style="2" customWidth="1"/>
    <col min="5134" max="5134" width="8.21875" style="2" customWidth="1"/>
    <col min="5135" max="5135" width="12.21875" style="2" customWidth="1"/>
    <col min="5136" max="5136" width="10.21875" style="2" customWidth="1"/>
    <col min="5137" max="5137" width="9.21875" style="2" customWidth="1"/>
    <col min="5138" max="5376" width="8.77734375" style="2"/>
    <col min="5377" max="5377" width="4.21875" style="2" customWidth="1"/>
    <col min="5378" max="5378" width="2.5546875" style="2" customWidth="1"/>
    <col min="5379" max="5380" width="8.77734375" style="2"/>
    <col min="5381" max="5381" width="5.77734375" style="2" customWidth="1"/>
    <col min="5382" max="5382" width="8.77734375" style="2" customWidth="1"/>
    <col min="5383" max="5383" width="3.21875" style="2" customWidth="1"/>
    <col min="5384" max="5384" width="10.21875" style="2" customWidth="1"/>
    <col min="5385" max="5385" width="3.77734375" style="2" customWidth="1"/>
    <col min="5386" max="5386" width="8.21875" style="2" customWidth="1"/>
    <col min="5387" max="5387" width="6.21875" style="2" customWidth="1"/>
    <col min="5388" max="5388" width="5.5546875" style="2" customWidth="1"/>
    <col min="5389" max="5389" width="10.77734375" style="2" customWidth="1"/>
    <col min="5390" max="5390" width="8.21875" style="2" customWidth="1"/>
    <col min="5391" max="5391" width="12.21875" style="2" customWidth="1"/>
    <col min="5392" max="5392" width="10.21875" style="2" customWidth="1"/>
    <col min="5393" max="5393" width="9.21875" style="2" customWidth="1"/>
    <col min="5394" max="5632" width="8.77734375" style="2"/>
    <col min="5633" max="5633" width="4.21875" style="2" customWidth="1"/>
    <col min="5634" max="5634" width="2.5546875" style="2" customWidth="1"/>
    <col min="5635" max="5636" width="8.77734375" style="2"/>
    <col min="5637" max="5637" width="5.77734375" style="2" customWidth="1"/>
    <col min="5638" max="5638" width="8.77734375" style="2" customWidth="1"/>
    <col min="5639" max="5639" width="3.21875" style="2" customWidth="1"/>
    <col min="5640" max="5640" width="10.21875" style="2" customWidth="1"/>
    <col min="5641" max="5641" width="3.77734375" style="2" customWidth="1"/>
    <col min="5642" max="5642" width="8.21875" style="2" customWidth="1"/>
    <col min="5643" max="5643" width="6.21875" style="2" customWidth="1"/>
    <col min="5644" max="5644" width="5.5546875" style="2" customWidth="1"/>
    <col min="5645" max="5645" width="10.77734375" style="2" customWidth="1"/>
    <col min="5646" max="5646" width="8.21875" style="2" customWidth="1"/>
    <col min="5647" max="5647" width="12.21875" style="2" customWidth="1"/>
    <col min="5648" max="5648" width="10.21875" style="2" customWidth="1"/>
    <col min="5649" max="5649" width="9.21875" style="2" customWidth="1"/>
    <col min="5650" max="5888" width="8.77734375" style="2"/>
    <col min="5889" max="5889" width="4.21875" style="2" customWidth="1"/>
    <col min="5890" max="5890" width="2.5546875" style="2" customWidth="1"/>
    <col min="5891" max="5892" width="8.77734375" style="2"/>
    <col min="5893" max="5893" width="5.77734375" style="2" customWidth="1"/>
    <col min="5894" max="5894" width="8.77734375" style="2" customWidth="1"/>
    <col min="5895" max="5895" width="3.21875" style="2" customWidth="1"/>
    <col min="5896" max="5896" width="10.21875" style="2" customWidth="1"/>
    <col min="5897" max="5897" width="3.77734375" style="2" customWidth="1"/>
    <col min="5898" max="5898" width="8.21875" style="2" customWidth="1"/>
    <col min="5899" max="5899" width="6.21875" style="2" customWidth="1"/>
    <col min="5900" max="5900" width="5.5546875" style="2" customWidth="1"/>
    <col min="5901" max="5901" width="10.77734375" style="2" customWidth="1"/>
    <col min="5902" max="5902" width="8.21875" style="2" customWidth="1"/>
    <col min="5903" max="5903" width="12.21875" style="2" customWidth="1"/>
    <col min="5904" max="5904" width="10.21875" style="2" customWidth="1"/>
    <col min="5905" max="5905" width="9.21875" style="2" customWidth="1"/>
    <col min="5906" max="6144" width="8.77734375" style="2"/>
    <col min="6145" max="6145" width="4.21875" style="2" customWidth="1"/>
    <col min="6146" max="6146" width="2.5546875" style="2" customWidth="1"/>
    <col min="6147" max="6148" width="8.77734375" style="2"/>
    <col min="6149" max="6149" width="5.77734375" style="2" customWidth="1"/>
    <col min="6150" max="6150" width="8.77734375" style="2" customWidth="1"/>
    <col min="6151" max="6151" width="3.21875" style="2" customWidth="1"/>
    <col min="6152" max="6152" width="10.21875" style="2" customWidth="1"/>
    <col min="6153" max="6153" width="3.77734375" style="2" customWidth="1"/>
    <col min="6154" max="6154" width="8.21875" style="2" customWidth="1"/>
    <col min="6155" max="6155" width="6.21875" style="2" customWidth="1"/>
    <col min="6156" max="6156" width="5.5546875" style="2" customWidth="1"/>
    <col min="6157" max="6157" width="10.77734375" style="2" customWidth="1"/>
    <col min="6158" max="6158" width="8.21875" style="2" customWidth="1"/>
    <col min="6159" max="6159" width="12.21875" style="2" customWidth="1"/>
    <col min="6160" max="6160" width="10.21875" style="2" customWidth="1"/>
    <col min="6161" max="6161" width="9.21875" style="2" customWidth="1"/>
    <col min="6162" max="6400" width="8.77734375" style="2"/>
    <col min="6401" max="6401" width="4.21875" style="2" customWidth="1"/>
    <col min="6402" max="6402" width="2.5546875" style="2" customWidth="1"/>
    <col min="6403" max="6404" width="8.77734375" style="2"/>
    <col min="6405" max="6405" width="5.77734375" style="2" customWidth="1"/>
    <col min="6406" max="6406" width="8.77734375" style="2" customWidth="1"/>
    <col min="6407" max="6407" width="3.21875" style="2" customWidth="1"/>
    <col min="6408" max="6408" width="10.21875" style="2" customWidth="1"/>
    <col min="6409" max="6409" width="3.77734375" style="2" customWidth="1"/>
    <col min="6410" max="6410" width="8.21875" style="2" customWidth="1"/>
    <col min="6411" max="6411" width="6.21875" style="2" customWidth="1"/>
    <col min="6412" max="6412" width="5.5546875" style="2" customWidth="1"/>
    <col min="6413" max="6413" width="10.77734375" style="2" customWidth="1"/>
    <col min="6414" max="6414" width="8.21875" style="2" customWidth="1"/>
    <col min="6415" max="6415" width="12.21875" style="2" customWidth="1"/>
    <col min="6416" max="6416" width="10.21875" style="2" customWidth="1"/>
    <col min="6417" max="6417" width="9.21875" style="2" customWidth="1"/>
    <col min="6418" max="6656" width="8.77734375" style="2"/>
    <col min="6657" max="6657" width="4.21875" style="2" customWidth="1"/>
    <col min="6658" max="6658" width="2.5546875" style="2" customWidth="1"/>
    <col min="6659" max="6660" width="8.77734375" style="2"/>
    <col min="6661" max="6661" width="5.77734375" style="2" customWidth="1"/>
    <col min="6662" max="6662" width="8.77734375" style="2" customWidth="1"/>
    <col min="6663" max="6663" width="3.21875" style="2" customWidth="1"/>
    <col min="6664" max="6664" width="10.21875" style="2" customWidth="1"/>
    <col min="6665" max="6665" width="3.77734375" style="2" customWidth="1"/>
    <col min="6666" max="6666" width="8.21875" style="2" customWidth="1"/>
    <col min="6667" max="6667" width="6.21875" style="2" customWidth="1"/>
    <col min="6668" max="6668" width="5.5546875" style="2" customWidth="1"/>
    <col min="6669" max="6669" width="10.77734375" style="2" customWidth="1"/>
    <col min="6670" max="6670" width="8.21875" style="2" customWidth="1"/>
    <col min="6671" max="6671" width="12.21875" style="2" customWidth="1"/>
    <col min="6672" max="6672" width="10.21875" style="2" customWidth="1"/>
    <col min="6673" max="6673" width="9.21875" style="2" customWidth="1"/>
    <col min="6674" max="6912" width="8.77734375" style="2"/>
    <col min="6913" max="6913" width="4.21875" style="2" customWidth="1"/>
    <col min="6914" max="6914" width="2.5546875" style="2" customWidth="1"/>
    <col min="6915" max="6916" width="8.77734375" style="2"/>
    <col min="6917" max="6917" width="5.77734375" style="2" customWidth="1"/>
    <col min="6918" max="6918" width="8.77734375" style="2" customWidth="1"/>
    <col min="6919" max="6919" width="3.21875" style="2" customWidth="1"/>
    <col min="6920" max="6920" width="10.21875" style="2" customWidth="1"/>
    <col min="6921" max="6921" width="3.77734375" style="2" customWidth="1"/>
    <col min="6922" max="6922" width="8.21875" style="2" customWidth="1"/>
    <col min="6923" max="6923" width="6.21875" style="2" customWidth="1"/>
    <col min="6924" max="6924" width="5.5546875" style="2" customWidth="1"/>
    <col min="6925" max="6925" width="10.77734375" style="2" customWidth="1"/>
    <col min="6926" max="6926" width="8.21875" style="2" customWidth="1"/>
    <col min="6927" max="6927" width="12.21875" style="2" customWidth="1"/>
    <col min="6928" max="6928" width="10.21875" style="2" customWidth="1"/>
    <col min="6929" max="6929" width="9.21875" style="2" customWidth="1"/>
    <col min="6930" max="7168" width="8.77734375" style="2"/>
    <col min="7169" max="7169" width="4.21875" style="2" customWidth="1"/>
    <col min="7170" max="7170" width="2.5546875" style="2" customWidth="1"/>
    <col min="7171" max="7172" width="8.77734375" style="2"/>
    <col min="7173" max="7173" width="5.77734375" style="2" customWidth="1"/>
    <col min="7174" max="7174" width="8.77734375" style="2" customWidth="1"/>
    <col min="7175" max="7175" width="3.21875" style="2" customWidth="1"/>
    <col min="7176" max="7176" width="10.21875" style="2" customWidth="1"/>
    <col min="7177" max="7177" width="3.77734375" style="2" customWidth="1"/>
    <col min="7178" max="7178" width="8.21875" style="2" customWidth="1"/>
    <col min="7179" max="7179" width="6.21875" style="2" customWidth="1"/>
    <col min="7180" max="7180" width="5.5546875" style="2" customWidth="1"/>
    <col min="7181" max="7181" width="10.77734375" style="2" customWidth="1"/>
    <col min="7182" max="7182" width="8.21875" style="2" customWidth="1"/>
    <col min="7183" max="7183" width="12.21875" style="2" customWidth="1"/>
    <col min="7184" max="7184" width="10.21875" style="2" customWidth="1"/>
    <col min="7185" max="7185" width="9.21875" style="2" customWidth="1"/>
    <col min="7186" max="7424" width="8.77734375" style="2"/>
    <col min="7425" max="7425" width="4.21875" style="2" customWidth="1"/>
    <col min="7426" max="7426" width="2.5546875" style="2" customWidth="1"/>
    <col min="7427" max="7428" width="8.77734375" style="2"/>
    <col min="7429" max="7429" width="5.77734375" style="2" customWidth="1"/>
    <col min="7430" max="7430" width="8.77734375" style="2" customWidth="1"/>
    <col min="7431" max="7431" width="3.21875" style="2" customWidth="1"/>
    <col min="7432" max="7432" width="10.21875" style="2" customWidth="1"/>
    <col min="7433" max="7433" width="3.77734375" style="2" customWidth="1"/>
    <col min="7434" max="7434" width="8.21875" style="2" customWidth="1"/>
    <col min="7435" max="7435" width="6.21875" style="2" customWidth="1"/>
    <col min="7436" max="7436" width="5.5546875" style="2" customWidth="1"/>
    <col min="7437" max="7437" width="10.77734375" style="2" customWidth="1"/>
    <col min="7438" max="7438" width="8.21875" style="2" customWidth="1"/>
    <col min="7439" max="7439" width="12.21875" style="2" customWidth="1"/>
    <col min="7440" max="7440" width="10.21875" style="2" customWidth="1"/>
    <col min="7441" max="7441" width="9.21875" style="2" customWidth="1"/>
    <col min="7442" max="7680" width="8.77734375" style="2"/>
    <col min="7681" max="7681" width="4.21875" style="2" customWidth="1"/>
    <col min="7682" max="7682" width="2.5546875" style="2" customWidth="1"/>
    <col min="7683" max="7684" width="8.77734375" style="2"/>
    <col min="7685" max="7685" width="5.77734375" style="2" customWidth="1"/>
    <col min="7686" max="7686" width="8.77734375" style="2" customWidth="1"/>
    <col min="7687" max="7687" width="3.21875" style="2" customWidth="1"/>
    <col min="7688" max="7688" width="10.21875" style="2" customWidth="1"/>
    <col min="7689" max="7689" width="3.77734375" style="2" customWidth="1"/>
    <col min="7690" max="7690" width="8.21875" style="2" customWidth="1"/>
    <col min="7691" max="7691" width="6.21875" style="2" customWidth="1"/>
    <col min="7692" max="7692" width="5.5546875" style="2" customWidth="1"/>
    <col min="7693" max="7693" width="10.77734375" style="2" customWidth="1"/>
    <col min="7694" max="7694" width="8.21875" style="2" customWidth="1"/>
    <col min="7695" max="7695" width="12.21875" style="2" customWidth="1"/>
    <col min="7696" max="7696" width="10.21875" style="2" customWidth="1"/>
    <col min="7697" max="7697" width="9.21875" style="2" customWidth="1"/>
    <col min="7698" max="7936" width="8.77734375" style="2"/>
    <col min="7937" max="7937" width="4.21875" style="2" customWidth="1"/>
    <col min="7938" max="7938" width="2.5546875" style="2" customWidth="1"/>
    <col min="7939" max="7940" width="8.77734375" style="2"/>
    <col min="7941" max="7941" width="5.77734375" style="2" customWidth="1"/>
    <col min="7942" max="7942" width="8.77734375" style="2" customWidth="1"/>
    <col min="7943" max="7943" width="3.21875" style="2" customWidth="1"/>
    <col min="7944" max="7944" width="10.21875" style="2" customWidth="1"/>
    <col min="7945" max="7945" width="3.77734375" style="2" customWidth="1"/>
    <col min="7946" max="7946" width="8.21875" style="2" customWidth="1"/>
    <col min="7947" max="7947" width="6.21875" style="2" customWidth="1"/>
    <col min="7948" max="7948" width="5.5546875" style="2" customWidth="1"/>
    <col min="7949" max="7949" width="10.77734375" style="2" customWidth="1"/>
    <col min="7950" max="7950" width="8.21875" style="2" customWidth="1"/>
    <col min="7951" max="7951" width="12.21875" style="2" customWidth="1"/>
    <col min="7952" max="7952" width="10.21875" style="2" customWidth="1"/>
    <col min="7953" max="7953" width="9.21875" style="2" customWidth="1"/>
    <col min="7954" max="8192" width="8.77734375" style="2"/>
    <col min="8193" max="8193" width="4.21875" style="2" customWidth="1"/>
    <col min="8194" max="8194" width="2.5546875" style="2" customWidth="1"/>
    <col min="8195" max="8196" width="8.77734375" style="2"/>
    <col min="8197" max="8197" width="5.77734375" style="2" customWidth="1"/>
    <col min="8198" max="8198" width="8.77734375" style="2" customWidth="1"/>
    <col min="8199" max="8199" width="3.21875" style="2" customWidth="1"/>
    <col min="8200" max="8200" width="10.21875" style="2" customWidth="1"/>
    <col min="8201" max="8201" width="3.77734375" style="2" customWidth="1"/>
    <col min="8202" max="8202" width="8.21875" style="2" customWidth="1"/>
    <col min="8203" max="8203" width="6.21875" style="2" customWidth="1"/>
    <col min="8204" max="8204" width="5.5546875" style="2" customWidth="1"/>
    <col min="8205" max="8205" width="10.77734375" style="2" customWidth="1"/>
    <col min="8206" max="8206" width="8.21875" style="2" customWidth="1"/>
    <col min="8207" max="8207" width="12.21875" style="2" customWidth="1"/>
    <col min="8208" max="8208" width="10.21875" style="2" customWidth="1"/>
    <col min="8209" max="8209" width="9.21875" style="2" customWidth="1"/>
    <col min="8210" max="8448" width="8.77734375" style="2"/>
    <col min="8449" max="8449" width="4.21875" style="2" customWidth="1"/>
    <col min="8450" max="8450" width="2.5546875" style="2" customWidth="1"/>
    <col min="8451" max="8452" width="8.77734375" style="2"/>
    <col min="8453" max="8453" width="5.77734375" style="2" customWidth="1"/>
    <col min="8454" max="8454" width="8.77734375" style="2" customWidth="1"/>
    <col min="8455" max="8455" width="3.21875" style="2" customWidth="1"/>
    <col min="8456" max="8456" width="10.21875" style="2" customWidth="1"/>
    <col min="8457" max="8457" width="3.77734375" style="2" customWidth="1"/>
    <col min="8458" max="8458" width="8.21875" style="2" customWidth="1"/>
    <col min="8459" max="8459" width="6.21875" style="2" customWidth="1"/>
    <col min="8460" max="8460" width="5.5546875" style="2" customWidth="1"/>
    <col min="8461" max="8461" width="10.77734375" style="2" customWidth="1"/>
    <col min="8462" max="8462" width="8.21875" style="2" customWidth="1"/>
    <col min="8463" max="8463" width="12.21875" style="2" customWidth="1"/>
    <col min="8464" max="8464" width="10.21875" style="2" customWidth="1"/>
    <col min="8465" max="8465" width="9.21875" style="2" customWidth="1"/>
    <col min="8466" max="8704" width="8.77734375" style="2"/>
    <col min="8705" max="8705" width="4.21875" style="2" customWidth="1"/>
    <col min="8706" max="8706" width="2.5546875" style="2" customWidth="1"/>
    <col min="8707" max="8708" width="8.77734375" style="2"/>
    <col min="8709" max="8709" width="5.77734375" style="2" customWidth="1"/>
    <col min="8710" max="8710" width="8.77734375" style="2" customWidth="1"/>
    <col min="8711" max="8711" width="3.21875" style="2" customWidth="1"/>
    <col min="8712" max="8712" width="10.21875" style="2" customWidth="1"/>
    <col min="8713" max="8713" width="3.77734375" style="2" customWidth="1"/>
    <col min="8714" max="8714" width="8.21875" style="2" customWidth="1"/>
    <col min="8715" max="8715" width="6.21875" style="2" customWidth="1"/>
    <col min="8716" max="8716" width="5.5546875" style="2" customWidth="1"/>
    <col min="8717" max="8717" width="10.77734375" style="2" customWidth="1"/>
    <col min="8718" max="8718" width="8.21875" style="2" customWidth="1"/>
    <col min="8719" max="8719" width="12.21875" style="2" customWidth="1"/>
    <col min="8720" max="8720" width="10.21875" style="2" customWidth="1"/>
    <col min="8721" max="8721" width="9.21875" style="2" customWidth="1"/>
    <col min="8722" max="8960" width="8.77734375" style="2"/>
    <col min="8961" max="8961" width="4.21875" style="2" customWidth="1"/>
    <col min="8962" max="8962" width="2.5546875" style="2" customWidth="1"/>
    <col min="8963" max="8964" width="8.77734375" style="2"/>
    <col min="8965" max="8965" width="5.77734375" style="2" customWidth="1"/>
    <col min="8966" max="8966" width="8.77734375" style="2" customWidth="1"/>
    <col min="8967" max="8967" width="3.21875" style="2" customWidth="1"/>
    <col min="8968" max="8968" width="10.21875" style="2" customWidth="1"/>
    <col min="8969" max="8969" width="3.77734375" style="2" customWidth="1"/>
    <col min="8970" max="8970" width="8.21875" style="2" customWidth="1"/>
    <col min="8971" max="8971" width="6.21875" style="2" customWidth="1"/>
    <col min="8972" max="8972" width="5.5546875" style="2" customWidth="1"/>
    <col min="8973" max="8973" width="10.77734375" style="2" customWidth="1"/>
    <col min="8974" max="8974" width="8.21875" style="2" customWidth="1"/>
    <col min="8975" max="8975" width="12.21875" style="2" customWidth="1"/>
    <col min="8976" max="8976" width="10.21875" style="2" customWidth="1"/>
    <col min="8977" max="8977" width="9.21875" style="2" customWidth="1"/>
    <col min="8978" max="9216" width="8.77734375" style="2"/>
    <col min="9217" max="9217" width="4.21875" style="2" customWidth="1"/>
    <col min="9218" max="9218" width="2.5546875" style="2" customWidth="1"/>
    <col min="9219" max="9220" width="8.77734375" style="2"/>
    <col min="9221" max="9221" width="5.77734375" style="2" customWidth="1"/>
    <col min="9222" max="9222" width="8.77734375" style="2" customWidth="1"/>
    <col min="9223" max="9223" width="3.21875" style="2" customWidth="1"/>
    <col min="9224" max="9224" width="10.21875" style="2" customWidth="1"/>
    <col min="9225" max="9225" width="3.77734375" style="2" customWidth="1"/>
    <col min="9226" max="9226" width="8.21875" style="2" customWidth="1"/>
    <col min="9227" max="9227" width="6.21875" style="2" customWidth="1"/>
    <col min="9228" max="9228" width="5.5546875" style="2" customWidth="1"/>
    <col min="9229" max="9229" width="10.77734375" style="2" customWidth="1"/>
    <col min="9230" max="9230" width="8.21875" style="2" customWidth="1"/>
    <col min="9231" max="9231" width="12.21875" style="2" customWidth="1"/>
    <col min="9232" max="9232" width="10.21875" style="2" customWidth="1"/>
    <col min="9233" max="9233" width="9.21875" style="2" customWidth="1"/>
    <col min="9234" max="9472" width="8.77734375" style="2"/>
    <col min="9473" max="9473" width="4.21875" style="2" customWidth="1"/>
    <col min="9474" max="9474" width="2.5546875" style="2" customWidth="1"/>
    <col min="9475" max="9476" width="8.77734375" style="2"/>
    <col min="9477" max="9477" width="5.77734375" style="2" customWidth="1"/>
    <col min="9478" max="9478" width="8.77734375" style="2" customWidth="1"/>
    <col min="9479" max="9479" width="3.21875" style="2" customWidth="1"/>
    <col min="9480" max="9480" width="10.21875" style="2" customWidth="1"/>
    <col min="9481" max="9481" width="3.77734375" style="2" customWidth="1"/>
    <col min="9482" max="9482" width="8.21875" style="2" customWidth="1"/>
    <col min="9483" max="9483" width="6.21875" style="2" customWidth="1"/>
    <col min="9484" max="9484" width="5.5546875" style="2" customWidth="1"/>
    <col min="9485" max="9485" width="10.77734375" style="2" customWidth="1"/>
    <col min="9486" max="9486" width="8.21875" style="2" customWidth="1"/>
    <col min="9487" max="9487" width="12.21875" style="2" customWidth="1"/>
    <col min="9488" max="9488" width="10.21875" style="2" customWidth="1"/>
    <col min="9489" max="9489" width="9.21875" style="2" customWidth="1"/>
    <col min="9490" max="9728" width="8.77734375" style="2"/>
    <col min="9729" max="9729" width="4.21875" style="2" customWidth="1"/>
    <col min="9730" max="9730" width="2.5546875" style="2" customWidth="1"/>
    <col min="9731" max="9732" width="8.77734375" style="2"/>
    <col min="9733" max="9733" width="5.77734375" style="2" customWidth="1"/>
    <col min="9734" max="9734" width="8.77734375" style="2" customWidth="1"/>
    <col min="9735" max="9735" width="3.21875" style="2" customWidth="1"/>
    <col min="9736" max="9736" width="10.21875" style="2" customWidth="1"/>
    <col min="9737" max="9737" width="3.77734375" style="2" customWidth="1"/>
    <col min="9738" max="9738" width="8.21875" style="2" customWidth="1"/>
    <col min="9739" max="9739" width="6.21875" style="2" customWidth="1"/>
    <col min="9740" max="9740" width="5.5546875" style="2" customWidth="1"/>
    <col min="9741" max="9741" width="10.77734375" style="2" customWidth="1"/>
    <col min="9742" max="9742" width="8.21875" style="2" customWidth="1"/>
    <col min="9743" max="9743" width="12.21875" style="2" customWidth="1"/>
    <col min="9744" max="9744" width="10.21875" style="2" customWidth="1"/>
    <col min="9745" max="9745" width="9.21875" style="2" customWidth="1"/>
    <col min="9746" max="9984" width="8.77734375" style="2"/>
    <col min="9985" max="9985" width="4.21875" style="2" customWidth="1"/>
    <col min="9986" max="9986" width="2.5546875" style="2" customWidth="1"/>
    <col min="9987" max="9988" width="8.77734375" style="2"/>
    <col min="9989" max="9989" width="5.77734375" style="2" customWidth="1"/>
    <col min="9990" max="9990" width="8.77734375" style="2" customWidth="1"/>
    <col min="9991" max="9991" width="3.21875" style="2" customWidth="1"/>
    <col min="9992" max="9992" width="10.21875" style="2" customWidth="1"/>
    <col min="9993" max="9993" width="3.77734375" style="2" customWidth="1"/>
    <col min="9994" max="9994" width="8.21875" style="2" customWidth="1"/>
    <col min="9995" max="9995" width="6.21875" style="2" customWidth="1"/>
    <col min="9996" max="9996" width="5.5546875" style="2" customWidth="1"/>
    <col min="9997" max="9997" width="10.77734375" style="2" customWidth="1"/>
    <col min="9998" max="9998" width="8.21875" style="2" customWidth="1"/>
    <col min="9999" max="9999" width="12.21875" style="2" customWidth="1"/>
    <col min="10000" max="10000" width="10.21875" style="2" customWidth="1"/>
    <col min="10001" max="10001" width="9.21875" style="2" customWidth="1"/>
    <col min="10002" max="10240" width="8.77734375" style="2"/>
    <col min="10241" max="10241" width="4.21875" style="2" customWidth="1"/>
    <col min="10242" max="10242" width="2.5546875" style="2" customWidth="1"/>
    <col min="10243" max="10244" width="8.77734375" style="2"/>
    <col min="10245" max="10245" width="5.77734375" style="2" customWidth="1"/>
    <col min="10246" max="10246" width="8.77734375" style="2" customWidth="1"/>
    <col min="10247" max="10247" width="3.21875" style="2" customWidth="1"/>
    <col min="10248" max="10248" width="10.21875" style="2" customWidth="1"/>
    <col min="10249" max="10249" width="3.77734375" style="2" customWidth="1"/>
    <col min="10250" max="10250" width="8.21875" style="2" customWidth="1"/>
    <col min="10251" max="10251" width="6.21875" style="2" customWidth="1"/>
    <col min="10252" max="10252" width="5.5546875" style="2" customWidth="1"/>
    <col min="10253" max="10253" width="10.77734375" style="2" customWidth="1"/>
    <col min="10254" max="10254" width="8.21875" style="2" customWidth="1"/>
    <col min="10255" max="10255" width="12.21875" style="2" customWidth="1"/>
    <col min="10256" max="10256" width="10.21875" style="2" customWidth="1"/>
    <col min="10257" max="10257" width="9.21875" style="2" customWidth="1"/>
    <col min="10258" max="10496" width="8.77734375" style="2"/>
    <col min="10497" max="10497" width="4.21875" style="2" customWidth="1"/>
    <col min="10498" max="10498" width="2.5546875" style="2" customWidth="1"/>
    <col min="10499" max="10500" width="8.77734375" style="2"/>
    <col min="10501" max="10501" width="5.77734375" style="2" customWidth="1"/>
    <col min="10502" max="10502" width="8.77734375" style="2" customWidth="1"/>
    <col min="10503" max="10503" width="3.21875" style="2" customWidth="1"/>
    <col min="10504" max="10504" width="10.21875" style="2" customWidth="1"/>
    <col min="10505" max="10505" width="3.77734375" style="2" customWidth="1"/>
    <col min="10506" max="10506" width="8.21875" style="2" customWidth="1"/>
    <col min="10507" max="10507" width="6.21875" style="2" customWidth="1"/>
    <col min="10508" max="10508" width="5.5546875" style="2" customWidth="1"/>
    <col min="10509" max="10509" width="10.77734375" style="2" customWidth="1"/>
    <col min="10510" max="10510" width="8.21875" style="2" customWidth="1"/>
    <col min="10511" max="10511" width="12.21875" style="2" customWidth="1"/>
    <col min="10512" max="10512" width="10.21875" style="2" customWidth="1"/>
    <col min="10513" max="10513" width="9.21875" style="2" customWidth="1"/>
    <col min="10514" max="10752" width="8.77734375" style="2"/>
    <col min="10753" max="10753" width="4.21875" style="2" customWidth="1"/>
    <col min="10754" max="10754" width="2.5546875" style="2" customWidth="1"/>
    <col min="10755" max="10756" width="8.77734375" style="2"/>
    <col min="10757" max="10757" width="5.77734375" style="2" customWidth="1"/>
    <col min="10758" max="10758" width="8.77734375" style="2" customWidth="1"/>
    <col min="10759" max="10759" width="3.21875" style="2" customWidth="1"/>
    <col min="10760" max="10760" width="10.21875" style="2" customWidth="1"/>
    <col min="10761" max="10761" width="3.77734375" style="2" customWidth="1"/>
    <col min="10762" max="10762" width="8.21875" style="2" customWidth="1"/>
    <col min="10763" max="10763" width="6.21875" style="2" customWidth="1"/>
    <col min="10764" max="10764" width="5.5546875" style="2" customWidth="1"/>
    <col min="10765" max="10765" width="10.77734375" style="2" customWidth="1"/>
    <col min="10766" max="10766" width="8.21875" style="2" customWidth="1"/>
    <col min="10767" max="10767" width="12.21875" style="2" customWidth="1"/>
    <col min="10768" max="10768" width="10.21875" style="2" customWidth="1"/>
    <col min="10769" max="10769" width="9.21875" style="2" customWidth="1"/>
    <col min="10770" max="11008" width="8.77734375" style="2"/>
    <col min="11009" max="11009" width="4.21875" style="2" customWidth="1"/>
    <col min="11010" max="11010" width="2.5546875" style="2" customWidth="1"/>
    <col min="11011" max="11012" width="8.77734375" style="2"/>
    <col min="11013" max="11013" width="5.77734375" style="2" customWidth="1"/>
    <col min="11014" max="11014" width="8.77734375" style="2" customWidth="1"/>
    <col min="11015" max="11015" width="3.21875" style="2" customWidth="1"/>
    <col min="11016" max="11016" width="10.21875" style="2" customWidth="1"/>
    <col min="11017" max="11017" width="3.77734375" style="2" customWidth="1"/>
    <col min="11018" max="11018" width="8.21875" style="2" customWidth="1"/>
    <col min="11019" max="11019" width="6.21875" style="2" customWidth="1"/>
    <col min="11020" max="11020" width="5.5546875" style="2" customWidth="1"/>
    <col min="11021" max="11021" width="10.77734375" style="2" customWidth="1"/>
    <col min="11022" max="11022" width="8.21875" style="2" customWidth="1"/>
    <col min="11023" max="11023" width="12.21875" style="2" customWidth="1"/>
    <col min="11024" max="11024" width="10.21875" style="2" customWidth="1"/>
    <col min="11025" max="11025" width="9.21875" style="2" customWidth="1"/>
    <col min="11026" max="11264" width="8.77734375" style="2"/>
    <col min="11265" max="11265" width="4.21875" style="2" customWidth="1"/>
    <col min="11266" max="11266" width="2.5546875" style="2" customWidth="1"/>
    <col min="11267" max="11268" width="8.77734375" style="2"/>
    <col min="11269" max="11269" width="5.77734375" style="2" customWidth="1"/>
    <col min="11270" max="11270" width="8.77734375" style="2" customWidth="1"/>
    <col min="11271" max="11271" width="3.21875" style="2" customWidth="1"/>
    <col min="11272" max="11272" width="10.21875" style="2" customWidth="1"/>
    <col min="11273" max="11273" width="3.77734375" style="2" customWidth="1"/>
    <col min="11274" max="11274" width="8.21875" style="2" customWidth="1"/>
    <col min="11275" max="11275" width="6.21875" style="2" customWidth="1"/>
    <col min="11276" max="11276" width="5.5546875" style="2" customWidth="1"/>
    <col min="11277" max="11277" width="10.77734375" style="2" customWidth="1"/>
    <col min="11278" max="11278" width="8.21875" style="2" customWidth="1"/>
    <col min="11279" max="11279" width="12.21875" style="2" customWidth="1"/>
    <col min="11280" max="11280" width="10.21875" style="2" customWidth="1"/>
    <col min="11281" max="11281" width="9.21875" style="2" customWidth="1"/>
    <col min="11282" max="11520" width="8.77734375" style="2"/>
    <col min="11521" max="11521" width="4.21875" style="2" customWidth="1"/>
    <col min="11522" max="11522" width="2.5546875" style="2" customWidth="1"/>
    <col min="11523" max="11524" width="8.77734375" style="2"/>
    <col min="11525" max="11525" width="5.77734375" style="2" customWidth="1"/>
    <col min="11526" max="11526" width="8.77734375" style="2" customWidth="1"/>
    <col min="11527" max="11527" width="3.21875" style="2" customWidth="1"/>
    <col min="11528" max="11528" width="10.21875" style="2" customWidth="1"/>
    <col min="11529" max="11529" width="3.77734375" style="2" customWidth="1"/>
    <col min="11530" max="11530" width="8.21875" style="2" customWidth="1"/>
    <col min="11531" max="11531" width="6.21875" style="2" customWidth="1"/>
    <col min="11532" max="11532" width="5.5546875" style="2" customWidth="1"/>
    <col min="11533" max="11533" width="10.77734375" style="2" customWidth="1"/>
    <col min="11534" max="11534" width="8.21875" style="2" customWidth="1"/>
    <col min="11535" max="11535" width="12.21875" style="2" customWidth="1"/>
    <col min="11536" max="11536" width="10.21875" style="2" customWidth="1"/>
    <col min="11537" max="11537" width="9.21875" style="2" customWidth="1"/>
    <col min="11538" max="11776" width="8.77734375" style="2"/>
    <col min="11777" max="11777" width="4.21875" style="2" customWidth="1"/>
    <col min="11778" max="11778" width="2.5546875" style="2" customWidth="1"/>
    <col min="11779" max="11780" width="8.77734375" style="2"/>
    <col min="11781" max="11781" width="5.77734375" style="2" customWidth="1"/>
    <col min="11782" max="11782" width="8.77734375" style="2" customWidth="1"/>
    <col min="11783" max="11783" width="3.21875" style="2" customWidth="1"/>
    <col min="11784" max="11784" width="10.21875" style="2" customWidth="1"/>
    <col min="11785" max="11785" width="3.77734375" style="2" customWidth="1"/>
    <col min="11786" max="11786" width="8.21875" style="2" customWidth="1"/>
    <col min="11787" max="11787" width="6.21875" style="2" customWidth="1"/>
    <col min="11788" max="11788" width="5.5546875" style="2" customWidth="1"/>
    <col min="11789" max="11789" width="10.77734375" style="2" customWidth="1"/>
    <col min="11790" max="11790" width="8.21875" style="2" customWidth="1"/>
    <col min="11791" max="11791" width="12.21875" style="2" customWidth="1"/>
    <col min="11792" max="11792" width="10.21875" style="2" customWidth="1"/>
    <col min="11793" max="11793" width="9.21875" style="2" customWidth="1"/>
    <col min="11794" max="12032" width="8.77734375" style="2"/>
    <col min="12033" max="12033" width="4.21875" style="2" customWidth="1"/>
    <col min="12034" max="12034" width="2.5546875" style="2" customWidth="1"/>
    <col min="12035" max="12036" width="8.77734375" style="2"/>
    <col min="12037" max="12037" width="5.77734375" style="2" customWidth="1"/>
    <col min="12038" max="12038" width="8.77734375" style="2" customWidth="1"/>
    <col min="12039" max="12039" width="3.21875" style="2" customWidth="1"/>
    <col min="12040" max="12040" width="10.21875" style="2" customWidth="1"/>
    <col min="12041" max="12041" width="3.77734375" style="2" customWidth="1"/>
    <col min="12042" max="12042" width="8.21875" style="2" customWidth="1"/>
    <col min="12043" max="12043" width="6.21875" style="2" customWidth="1"/>
    <col min="12044" max="12044" width="5.5546875" style="2" customWidth="1"/>
    <col min="12045" max="12045" width="10.77734375" style="2" customWidth="1"/>
    <col min="12046" max="12046" width="8.21875" style="2" customWidth="1"/>
    <col min="12047" max="12047" width="12.21875" style="2" customWidth="1"/>
    <col min="12048" max="12048" width="10.21875" style="2" customWidth="1"/>
    <col min="12049" max="12049" width="9.21875" style="2" customWidth="1"/>
    <col min="12050" max="12288" width="8.77734375" style="2"/>
    <col min="12289" max="12289" width="4.21875" style="2" customWidth="1"/>
    <col min="12290" max="12290" width="2.5546875" style="2" customWidth="1"/>
    <col min="12291" max="12292" width="8.77734375" style="2"/>
    <col min="12293" max="12293" width="5.77734375" style="2" customWidth="1"/>
    <col min="12294" max="12294" width="8.77734375" style="2" customWidth="1"/>
    <col min="12295" max="12295" width="3.21875" style="2" customWidth="1"/>
    <col min="12296" max="12296" width="10.21875" style="2" customWidth="1"/>
    <col min="12297" max="12297" width="3.77734375" style="2" customWidth="1"/>
    <col min="12298" max="12298" width="8.21875" style="2" customWidth="1"/>
    <col min="12299" max="12299" width="6.21875" style="2" customWidth="1"/>
    <col min="12300" max="12300" width="5.5546875" style="2" customWidth="1"/>
    <col min="12301" max="12301" width="10.77734375" style="2" customWidth="1"/>
    <col min="12302" max="12302" width="8.21875" style="2" customWidth="1"/>
    <col min="12303" max="12303" width="12.21875" style="2" customWidth="1"/>
    <col min="12304" max="12304" width="10.21875" style="2" customWidth="1"/>
    <col min="12305" max="12305" width="9.21875" style="2" customWidth="1"/>
    <col min="12306" max="12544" width="8.77734375" style="2"/>
    <col min="12545" max="12545" width="4.21875" style="2" customWidth="1"/>
    <col min="12546" max="12546" width="2.5546875" style="2" customWidth="1"/>
    <col min="12547" max="12548" width="8.77734375" style="2"/>
    <col min="12549" max="12549" width="5.77734375" style="2" customWidth="1"/>
    <col min="12550" max="12550" width="8.77734375" style="2" customWidth="1"/>
    <col min="12551" max="12551" width="3.21875" style="2" customWidth="1"/>
    <col min="12552" max="12552" width="10.21875" style="2" customWidth="1"/>
    <col min="12553" max="12553" width="3.77734375" style="2" customWidth="1"/>
    <col min="12554" max="12554" width="8.21875" style="2" customWidth="1"/>
    <col min="12555" max="12555" width="6.21875" style="2" customWidth="1"/>
    <col min="12556" max="12556" width="5.5546875" style="2" customWidth="1"/>
    <col min="12557" max="12557" width="10.77734375" style="2" customWidth="1"/>
    <col min="12558" max="12558" width="8.21875" style="2" customWidth="1"/>
    <col min="12559" max="12559" width="12.21875" style="2" customWidth="1"/>
    <col min="12560" max="12560" width="10.21875" style="2" customWidth="1"/>
    <col min="12561" max="12561" width="9.21875" style="2" customWidth="1"/>
    <col min="12562" max="12800" width="8.77734375" style="2"/>
    <col min="12801" max="12801" width="4.21875" style="2" customWidth="1"/>
    <col min="12802" max="12802" width="2.5546875" style="2" customWidth="1"/>
    <col min="12803" max="12804" width="8.77734375" style="2"/>
    <col min="12805" max="12805" width="5.77734375" style="2" customWidth="1"/>
    <col min="12806" max="12806" width="8.77734375" style="2" customWidth="1"/>
    <col min="12807" max="12807" width="3.21875" style="2" customWidth="1"/>
    <col min="12808" max="12808" width="10.21875" style="2" customWidth="1"/>
    <col min="12809" max="12809" width="3.77734375" style="2" customWidth="1"/>
    <col min="12810" max="12810" width="8.21875" style="2" customWidth="1"/>
    <col min="12811" max="12811" width="6.21875" style="2" customWidth="1"/>
    <col min="12812" max="12812" width="5.5546875" style="2" customWidth="1"/>
    <col min="12813" max="12813" width="10.77734375" style="2" customWidth="1"/>
    <col min="12814" max="12814" width="8.21875" style="2" customWidth="1"/>
    <col min="12815" max="12815" width="12.21875" style="2" customWidth="1"/>
    <col min="12816" max="12816" width="10.21875" style="2" customWidth="1"/>
    <col min="12817" max="12817" width="9.21875" style="2" customWidth="1"/>
    <col min="12818" max="13056" width="8.77734375" style="2"/>
    <col min="13057" max="13057" width="4.21875" style="2" customWidth="1"/>
    <col min="13058" max="13058" width="2.5546875" style="2" customWidth="1"/>
    <col min="13059" max="13060" width="8.77734375" style="2"/>
    <col min="13061" max="13061" width="5.77734375" style="2" customWidth="1"/>
    <col min="13062" max="13062" width="8.77734375" style="2" customWidth="1"/>
    <col min="13063" max="13063" width="3.21875" style="2" customWidth="1"/>
    <col min="13064" max="13064" width="10.21875" style="2" customWidth="1"/>
    <col min="13065" max="13065" width="3.77734375" style="2" customWidth="1"/>
    <col min="13066" max="13066" width="8.21875" style="2" customWidth="1"/>
    <col min="13067" max="13067" width="6.21875" style="2" customWidth="1"/>
    <col min="13068" max="13068" width="5.5546875" style="2" customWidth="1"/>
    <col min="13069" max="13069" width="10.77734375" style="2" customWidth="1"/>
    <col min="13070" max="13070" width="8.21875" style="2" customWidth="1"/>
    <col min="13071" max="13071" width="12.21875" style="2" customWidth="1"/>
    <col min="13072" max="13072" width="10.21875" style="2" customWidth="1"/>
    <col min="13073" max="13073" width="9.21875" style="2" customWidth="1"/>
    <col min="13074" max="13312" width="8.77734375" style="2"/>
    <col min="13313" max="13313" width="4.21875" style="2" customWidth="1"/>
    <col min="13314" max="13314" width="2.5546875" style="2" customWidth="1"/>
    <col min="13315" max="13316" width="8.77734375" style="2"/>
    <col min="13317" max="13317" width="5.77734375" style="2" customWidth="1"/>
    <col min="13318" max="13318" width="8.77734375" style="2" customWidth="1"/>
    <col min="13319" max="13319" width="3.21875" style="2" customWidth="1"/>
    <col min="13320" max="13320" width="10.21875" style="2" customWidth="1"/>
    <col min="13321" max="13321" width="3.77734375" style="2" customWidth="1"/>
    <col min="13322" max="13322" width="8.21875" style="2" customWidth="1"/>
    <col min="13323" max="13323" width="6.21875" style="2" customWidth="1"/>
    <col min="13324" max="13324" width="5.5546875" style="2" customWidth="1"/>
    <col min="13325" max="13325" width="10.77734375" style="2" customWidth="1"/>
    <col min="13326" max="13326" width="8.21875" style="2" customWidth="1"/>
    <col min="13327" max="13327" width="12.21875" style="2" customWidth="1"/>
    <col min="13328" max="13328" width="10.21875" style="2" customWidth="1"/>
    <col min="13329" max="13329" width="9.21875" style="2" customWidth="1"/>
    <col min="13330" max="13568" width="8.77734375" style="2"/>
    <col min="13569" max="13569" width="4.21875" style="2" customWidth="1"/>
    <col min="13570" max="13570" width="2.5546875" style="2" customWidth="1"/>
    <col min="13571" max="13572" width="8.77734375" style="2"/>
    <col min="13573" max="13573" width="5.77734375" style="2" customWidth="1"/>
    <col min="13574" max="13574" width="8.77734375" style="2" customWidth="1"/>
    <col min="13575" max="13575" width="3.21875" style="2" customWidth="1"/>
    <col min="13576" max="13576" width="10.21875" style="2" customWidth="1"/>
    <col min="13577" max="13577" width="3.77734375" style="2" customWidth="1"/>
    <col min="13578" max="13578" width="8.21875" style="2" customWidth="1"/>
    <col min="13579" max="13579" width="6.21875" style="2" customWidth="1"/>
    <col min="13580" max="13580" width="5.5546875" style="2" customWidth="1"/>
    <col min="13581" max="13581" width="10.77734375" style="2" customWidth="1"/>
    <col min="13582" max="13582" width="8.21875" style="2" customWidth="1"/>
    <col min="13583" max="13583" width="12.21875" style="2" customWidth="1"/>
    <col min="13584" max="13584" width="10.21875" style="2" customWidth="1"/>
    <col min="13585" max="13585" width="9.21875" style="2" customWidth="1"/>
    <col min="13586" max="13824" width="8.77734375" style="2"/>
    <col min="13825" max="13825" width="4.21875" style="2" customWidth="1"/>
    <col min="13826" max="13826" width="2.5546875" style="2" customWidth="1"/>
    <col min="13827" max="13828" width="8.77734375" style="2"/>
    <col min="13829" max="13829" width="5.77734375" style="2" customWidth="1"/>
    <col min="13830" max="13830" width="8.77734375" style="2" customWidth="1"/>
    <col min="13831" max="13831" width="3.21875" style="2" customWidth="1"/>
    <col min="13832" max="13832" width="10.21875" style="2" customWidth="1"/>
    <col min="13833" max="13833" width="3.77734375" style="2" customWidth="1"/>
    <col min="13834" max="13834" width="8.21875" style="2" customWidth="1"/>
    <col min="13835" max="13835" width="6.21875" style="2" customWidth="1"/>
    <col min="13836" max="13836" width="5.5546875" style="2" customWidth="1"/>
    <col min="13837" max="13837" width="10.77734375" style="2" customWidth="1"/>
    <col min="13838" max="13838" width="8.21875" style="2" customWidth="1"/>
    <col min="13839" max="13839" width="12.21875" style="2" customWidth="1"/>
    <col min="13840" max="13840" width="10.21875" style="2" customWidth="1"/>
    <col min="13841" max="13841" width="9.21875" style="2" customWidth="1"/>
    <col min="13842" max="14080" width="8.77734375" style="2"/>
    <col min="14081" max="14081" width="4.21875" style="2" customWidth="1"/>
    <col min="14082" max="14082" width="2.5546875" style="2" customWidth="1"/>
    <col min="14083" max="14084" width="8.77734375" style="2"/>
    <col min="14085" max="14085" width="5.77734375" style="2" customWidth="1"/>
    <col min="14086" max="14086" width="8.77734375" style="2" customWidth="1"/>
    <col min="14087" max="14087" width="3.21875" style="2" customWidth="1"/>
    <col min="14088" max="14088" width="10.21875" style="2" customWidth="1"/>
    <col min="14089" max="14089" width="3.77734375" style="2" customWidth="1"/>
    <col min="14090" max="14090" width="8.21875" style="2" customWidth="1"/>
    <col min="14091" max="14091" width="6.21875" style="2" customWidth="1"/>
    <col min="14092" max="14092" width="5.5546875" style="2" customWidth="1"/>
    <col min="14093" max="14093" width="10.77734375" style="2" customWidth="1"/>
    <col min="14094" max="14094" width="8.21875" style="2" customWidth="1"/>
    <col min="14095" max="14095" width="12.21875" style="2" customWidth="1"/>
    <col min="14096" max="14096" width="10.21875" style="2" customWidth="1"/>
    <col min="14097" max="14097" width="9.21875" style="2" customWidth="1"/>
    <col min="14098" max="14336" width="8.77734375" style="2"/>
    <col min="14337" max="14337" width="4.21875" style="2" customWidth="1"/>
    <col min="14338" max="14338" width="2.5546875" style="2" customWidth="1"/>
    <col min="14339" max="14340" width="8.77734375" style="2"/>
    <col min="14341" max="14341" width="5.77734375" style="2" customWidth="1"/>
    <col min="14342" max="14342" width="8.77734375" style="2" customWidth="1"/>
    <col min="14343" max="14343" width="3.21875" style="2" customWidth="1"/>
    <col min="14344" max="14344" width="10.21875" style="2" customWidth="1"/>
    <col min="14345" max="14345" width="3.77734375" style="2" customWidth="1"/>
    <col min="14346" max="14346" width="8.21875" style="2" customWidth="1"/>
    <col min="14347" max="14347" width="6.21875" style="2" customWidth="1"/>
    <col min="14348" max="14348" width="5.5546875" style="2" customWidth="1"/>
    <col min="14349" max="14349" width="10.77734375" style="2" customWidth="1"/>
    <col min="14350" max="14350" width="8.21875" style="2" customWidth="1"/>
    <col min="14351" max="14351" width="12.21875" style="2" customWidth="1"/>
    <col min="14352" max="14352" width="10.21875" style="2" customWidth="1"/>
    <col min="14353" max="14353" width="9.21875" style="2" customWidth="1"/>
    <col min="14354" max="14592" width="8.77734375" style="2"/>
    <col min="14593" max="14593" width="4.21875" style="2" customWidth="1"/>
    <col min="14594" max="14594" width="2.5546875" style="2" customWidth="1"/>
    <col min="14595" max="14596" width="8.77734375" style="2"/>
    <col min="14597" max="14597" width="5.77734375" style="2" customWidth="1"/>
    <col min="14598" max="14598" width="8.77734375" style="2" customWidth="1"/>
    <col min="14599" max="14599" width="3.21875" style="2" customWidth="1"/>
    <col min="14600" max="14600" width="10.21875" style="2" customWidth="1"/>
    <col min="14601" max="14601" width="3.77734375" style="2" customWidth="1"/>
    <col min="14602" max="14602" width="8.21875" style="2" customWidth="1"/>
    <col min="14603" max="14603" width="6.21875" style="2" customWidth="1"/>
    <col min="14604" max="14604" width="5.5546875" style="2" customWidth="1"/>
    <col min="14605" max="14605" width="10.77734375" style="2" customWidth="1"/>
    <col min="14606" max="14606" width="8.21875" style="2" customWidth="1"/>
    <col min="14607" max="14607" width="12.21875" style="2" customWidth="1"/>
    <col min="14608" max="14608" width="10.21875" style="2" customWidth="1"/>
    <col min="14609" max="14609" width="9.21875" style="2" customWidth="1"/>
    <col min="14610" max="14848" width="8.77734375" style="2"/>
    <col min="14849" max="14849" width="4.21875" style="2" customWidth="1"/>
    <col min="14850" max="14850" width="2.5546875" style="2" customWidth="1"/>
    <col min="14851" max="14852" width="8.77734375" style="2"/>
    <col min="14853" max="14853" width="5.77734375" style="2" customWidth="1"/>
    <col min="14854" max="14854" width="8.77734375" style="2" customWidth="1"/>
    <col min="14855" max="14855" width="3.21875" style="2" customWidth="1"/>
    <col min="14856" max="14856" width="10.21875" style="2" customWidth="1"/>
    <col min="14857" max="14857" width="3.77734375" style="2" customWidth="1"/>
    <col min="14858" max="14858" width="8.21875" style="2" customWidth="1"/>
    <col min="14859" max="14859" width="6.21875" style="2" customWidth="1"/>
    <col min="14860" max="14860" width="5.5546875" style="2" customWidth="1"/>
    <col min="14861" max="14861" width="10.77734375" style="2" customWidth="1"/>
    <col min="14862" max="14862" width="8.21875" style="2" customWidth="1"/>
    <col min="14863" max="14863" width="12.21875" style="2" customWidth="1"/>
    <col min="14864" max="14864" width="10.21875" style="2" customWidth="1"/>
    <col min="14865" max="14865" width="9.21875" style="2" customWidth="1"/>
    <col min="14866" max="15104" width="8.77734375" style="2"/>
    <col min="15105" max="15105" width="4.21875" style="2" customWidth="1"/>
    <col min="15106" max="15106" width="2.5546875" style="2" customWidth="1"/>
    <col min="15107" max="15108" width="8.77734375" style="2"/>
    <col min="15109" max="15109" width="5.77734375" style="2" customWidth="1"/>
    <col min="15110" max="15110" width="8.77734375" style="2" customWidth="1"/>
    <col min="15111" max="15111" width="3.21875" style="2" customWidth="1"/>
    <col min="15112" max="15112" width="10.21875" style="2" customWidth="1"/>
    <col min="15113" max="15113" width="3.77734375" style="2" customWidth="1"/>
    <col min="15114" max="15114" width="8.21875" style="2" customWidth="1"/>
    <col min="15115" max="15115" width="6.21875" style="2" customWidth="1"/>
    <col min="15116" max="15116" width="5.5546875" style="2" customWidth="1"/>
    <col min="15117" max="15117" width="10.77734375" style="2" customWidth="1"/>
    <col min="15118" max="15118" width="8.21875" style="2" customWidth="1"/>
    <col min="15119" max="15119" width="12.21875" style="2" customWidth="1"/>
    <col min="15120" max="15120" width="10.21875" style="2" customWidth="1"/>
    <col min="15121" max="15121" width="9.21875" style="2" customWidth="1"/>
    <col min="15122" max="15360" width="8.77734375" style="2"/>
    <col min="15361" max="15361" width="4.21875" style="2" customWidth="1"/>
    <col min="15362" max="15362" width="2.5546875" style="2" customWidth="1"/>
    <col min="15363" max="15364" width="8.77734375" style="2"/>
    <col min="15365" max="15365" width="5.77734375" style="2" customWidth="1"/>
    <col min="15366" max="15366" width="8.77734375" style="2" customWidth="1"/>
    <col min="15367" max="15367" width="3.21875" style="2" customWidth="1"/>
    <col min="15368" max="15368" width="10.21875" style="2" customWidth="1"/>
    <col min="15369" max="15369" width="3.77734375" style="2" customWidth="1"/>
    <col min="15370" max="15370" width="8.21875" style="2" customWidth="1"/>
    <col min="15371" max="15371" width="6.21875" style="2" customWidth="1"/>
    <col min="15372" max="15372" width="5.5546875" style="2" customWidth="1"/>
    <col min="15373" max="15373" width="10.77734375" style="2" customWidth="1"/>
    <col min="15374" max="15374" width="8.21875" style="2" customWidth="1"/>
    <col min="15375" max="15375" width="12.21875" style="2" customWidth="1"/>
    <col min="15376" max="15376" width="10.21875" style="2" customWidth="1"/>
    <col min="15377" max="15377" width="9.21875" style="2" customWidth="1"/>
    <col min="15378" max="15616" width="8.77734375" style="2"/>
    <col min="15617" max="15617" width="4.21875" style="2" customWidth="1"/>
    <col min="15618" max="15618" width="2.5546875" style="2" customWidth="1"/>
    <col min="15619" max="15620" width="8.77734375" style="2"/>
    <col min="15621" max="15621" width="5.77734375" style="2" customWidth="1"/>
    <col min="15622" max="15622" width="8.77734375" style="2" customWidth="1"/>
    <col min="15623" max="15623" width="3.21875" style="2" customWidth="1"/>
    <col min="15624" max="15624" width="10.21875" style="2" customWidth="1"/>
    <col min="15625" max="15625" width="3.77734375" style="2" customWidth="1"/>
    <col min="15626" max="15626" width="8.21875" style="2" customWidth="1"/>
    <col min="15627" max="15627" width="6.21875" style="2" customWidth="1"/>
    <col min="15628" max="15628" width="5.5546875" style="2" customWidth="1"/>
    <col min="15629" max="15629" width="10.77734375" style="2" customWidth="1"/>
    <col min="15630" max="15630" width="8.21875" style="2" customWidth="1"/>
    <col min="15631" max="15631" width="12.21875" style="2" customWidth="1"/>
    <col min="15632" max="15632" width="10.21875" style="2" customWidth="1"/>
    <col min="15633" max="15633" width="9.21875" style="2" customWidth="1"/>
    <col min="15634" max="15872" width="8.77734375" style="2"/>
    <col min="15873" max="15873" width="4.21875" style="2" customWidth="1"/>
    <col min="15874" max="15874" width="2.5546875" style="2" customWidth="1"/>
    <col min="15875" max="15876" width="8.77734375" style="2"/>
    <col min="15877" max="15877" width="5.77734375" style="2" customWidth="1"/>
    <col min="15878" max="15878" width="8.77734375" style="2" customWidth="1"/>
    <col min="15879" max="15879" width="3.21875" style="2" customWidth="1"/>
    <col min="15880" max="15880" width="10.21875" style="2" customWidth="1"/>
    <col min="15881" max="15881" width="3.77734375" style="2" customWidth="1"/>
    <col min="15882" max="15882" width="8.21875" style="2" customWidth="1"/>
    <col min="15883" max="15883" width="6.21875" style="2" customWidth="1"/>
    <col min="15884" max="15884" width="5.5546875" style="2" customWidth="1"/>
    <col min="15885" max="15885" width="10.77734375" style="2" customWidth="1"/>
    <col min="15886" max="15886" width="8.21875" style="2" customWidth="1"/>
    <col min="15887" max="15887" width="12.21875" style="2" customWidth="1"/>
    <col min="15888" max="15888" width="10.21875" style="2" customWidth="1"/>
    <col min="15889" max="15889" width="9.21875" style="2" customWidth="1"/>
    <col min="15890" max="16128" width="8.77734375" style="2"/>
    <col min="16129" max="16129" width="4.21875" style="2" customWidth="1"/>
    <col min="16130" max="16130" width="2.5546875" style="2" customWidth="1"/>
    <col min="16131" max="16132" width="8.77734375" style="2"/>
    <col min="16133" max="16133" width="5.77734375" style="2" customWidth="1"/>
    <col min="16134" max="16134" width="8.77734375" style="2" customWidth="1"/>
    <col min="16135" max="16135" width="3.21875" style="2" customWidth="1"/>
    <col min="16136" max="16136" width="10.21875" style="2" customWidth="1"/>
    <col min="16137" max="16137" width="3.77734375" style="2" customWidth="1"/>
    <col min="16138" max="16138" width="8.21875" style="2" customWidth="1"/>
    <col min="16139" max="16139" width="6.21875" style="2" customWidth="1"/>
    <col min="16140" max="16140" width="5.5546875" style="2" customWidth="1"/>
    <col min="16141" max="16141" width="10.77734375" style="2" customWidth="1"/>
    <col min="16142" max="16142" width="8.21875" style="2" customWidth="1"/>
    <col min="16143" max="16143" width="12.21875" style="2" customWidth="1"/>
    <col min="16144" max="16144" width="10.21875" style="2" customWidth="1"/>
    <col min="16145" max="16145" width="9.21875" style="2" customWidth="1"/>
    <col min="16146" max="16384" width="8.77734375" style="2"/>
  </cols>
  <sheetData>
    <row r="1" spans="1:17" ht="14.25" customHeight="1">
      <c r="P1" s="31"/>
    </row>
    <row r="2" spans="1:17" ht="15.6">
      <c r="A2" s="1220" t="s">
        <v>20</v>
      </c>
      <c r="B2" s="1220"/>
      <c r="C2" s="1220"/>
      <c r="D2" s="1220"/>
      <c r="E2" s="1220"/>
      <c r="F2" s="1220"/>
      <c r="G2" s="1220"/>
      <c r="H2" s="1220"/>
      <c r="I2" s="1220"/>
      <c r="J2" s="1220"/>
      <c r="K2" s="1220"/>
      <c r="L2" s="1220"/>
      <c r="M2" s="1220"/>
      <c r="N2" s="1220"/>
      <c r="O2" s="1220"/>
    </row>
    <row r="3" spans="1:17" ht="15.6">
      <c r="A3" s="1220" t="s">
        <v>21</v>
      </c>
      <c r="B3" s="1220"/>
      <c r="C3" s="1220"/>
      <c r="D3" s="1220"/>
      <c r="E3" s="1220"/>
      <c r="F3" s="1220"/>
      <c r="G3" s="1220"/>
      <c r="H3" s="1220"/>
      <c r="I3" s="1220"/>
      <c r="J3" s="1220"/>
      <c r="K3" s="1220"/>
      <c r="L3" s="1220"/>
      <c r="M3" s="1220"/>
      <c r="N3" s="1220"/>
      <c r="O3" s="1220"/>
    </row>
    <row r="4" spans="1:17" ht="7.5" customHeight="1"/>
    <row r="5" spans="1:17" ht="31.5" customHeight="1">
      <c r="A5" s="33" t="s">
        <v>22</v>
      </c>
      <c r="F5" s="34" t="s">
        <v>23</v>
      </c>
      <c r="H5" s="35" t="s">
        <v>24</v>
      </c>
      <c r="I5" s="36"/>
      <c r="J5" s="1221" t="s">
        <v>25</v>
      </c>
      <c r="K5" s="1217"/>
      <c r="M5" s="3" t="s">
        <v>26</v>
      </c>
      <c r="O5" s="37" t="s">
        <v>27</v>
      </c>
    </row>
    <row r="6" spans="1:17" ht="6.75" customHeight="1"/>
    <row r="7" spans="1:17" ht="15">
      <c r="B7" s="5" t="s">
        <v>6</v>
      </c>
      <c r="F7" s="38">
        <f>IF('Input (8)'!$E$4=0,"0",'Input (8)'!$E$4)</f>
        <v>23.75</v>
      </c>
      <c r="G7" s="39"/>
      <c r="J7" s="1222">
        <f>IF('Input (8)'!$E$4=0,"0",'Input (8)'!$E$4)</f>
        <v>23.75</v>
      </c>
      <c r="K7" s="1222"/>
      <c r="L7" s="40" t="s">
        <v>28</v>
      </c>
      <c r="M7" s="41">
        <f>IF('Input (8)'!E4=0,0,LOOKUP(J7,'criteria (8)'!$A$3:$A$10,'criteria (8)'!$B$3:$B$10))</f>
        <v>40</v>
      </c>
      <c r="N7" s="42" t="s">
        <v>29</v>
      </c>
      <c r="O7" s="38">
        <f>IF(Q7=0,0,IF(Q7&lt;LOOKUP(J7,'criteria (8)'!$A$3:$A$10,'criteria (8)'!$C$3:$C$10),LOOKUP(J7,'criteria (8)'!$A$3:$A$10,'criteria (8)'!$C$3:$C$10),IF(LOOKUP(J7,'criteria (8)'!$A$3:$A$10,'criteria (8)'!$C$3:$C$10)=0,0,Q7)))</f>
        <v>0.75</v>
      </c>
      <c r="P7" s="28" t="str">
        <f>IF('Input (8)'!E4=0," ",IF(O7=0,"ADD to 1-6",IF(O7=Q7," ","Minimum")))</f>
        <v>Minimum</v>
      </c>
      <c r="Q7" s="32">
        <f>ROUND(IF('Input (8)'!E4=0,0,IF(M7=0,0,(J7/M7))),2)</f>
        <v>0.59</v>
      </c>
    </row>
    <row r="8" spans="1:17" ht="6.75" customHeight="1">
      <c r="J8" s="43"/>
      <c r="K8" s="43"/>
      <c r="O8" s="43"/>
    </row>
    <row r="9" spans="1:17">
      <c r="B9" s="5" t="s">
        <v>7</v>
      </c>
      <c r="J9" s="43"/>
      <c r="K9" s="43"/>
      <c r="O9" s="43"/>
    </row>
    <row r="10" spans="1:17">
      <c r="B10" s="28" t="s">
        <v>30</v>
      </c>
      <c r="J10" s="43"/>
      <c r="K10" s="43"/>
      <c r="O10" s="43"/>
    </row>
    <row r="11" spans="1:17" ht="16.5" customHeight="1">
      <c r="C11" s="12" t="s">
        <v>8</v>
      </c>
      <c r="F11" s="41" t="str">
        <f>IF(J11=0," ",IF($J$16&gt;300," ",'Input (8)'!E7))</f>
        <v xml:space="preserve"> </v>
      </c>
      <c r="G11" s="44" t="s">
        <v>31</v>
      </c>
      <c r="H11" s="38" t="str">
        <f>IF(J11=0," ",'C (8)'!H25)</f>
        <v xml:space="preserve"> </v>
      </c>
      <c r="I11" s="42" t="s">
        <v>29</v>
      </c>
      <c r="J11" s="1222">
        <f>IF('Input (8)'!E7=0,0,IF(SUM('Input (8)'!E7-'C (8)'!H25)+SUM('Input (8)'!E8-'C (8)'!H26)&gt;299.99,SUM('Input (8)'!E7-'C (8)'!H25),0))</f>
        <v>0</v>
      </c>
      <c r="K11" s="1222"/>
      <c r="L11" s="40" t="s">
        <v>28</v>
      </c>
      <c r="M11" s="41">
        <f>IF(SUM('Input (8)'!$E$7-'C (8)'!$H$25)+SUM('Input (8)'!$E$8-'C (8)'!$H$26)&gt;299.99,20,0)</f>
        <v>0</v>
      </c>
      <c r="N11" s="42" t="s">
        <v>29</v>
      </c>
      <c r="O11" s="38">
        <f>ROUND(IF(SUM('Input (8)'!$E$7-'C (8)'!$H$25)+SUM('Input (8)'!$E$8-'C (8)'!$H$26)&lt;299.99,0,IF(Q11+Q13&lt;15,0,(J11/M11))),2)</f>
        <v>0</v>
      </c>
      <c r="P11" s="2" t="str">
        <f>IF(O11=0," ",IF(O11=Q11," ","Minimum"))</f>
        <v xml:space="preserve"> </v>
      </c>
      <c r="Q11" s="32">
        <f>ROUND(IF(SUM('Input (8)'!$E$7-'C (8)'!$H$25)+SUM('Input (8)'!$E$8-'C (8)'!$H$26)&lt;299.99,0,(J11/M11)),2)</f>
        <v>0</v>
      </c>
    </row>
    <row r="12" spans="1:17" ht="9" customHeight="1">
      <c r="B12" s="12"/>
      <c r="J12" s="43"/>
      <c r="K12" s="43"/>
      <c r="O12" s="43"/>
    </row>
    <row r="13" spans="1:17" ht="15">
      <c r="C13" s="12" t="s">
        <v>9</v>
      </c>
      <c r="F13" s="41" t="str">
        <f>IF(J13=0," ",IF($J$16&gt;300," ",'Input (8)'!E8))</f>
        <v xml:space="preserve"> </v>
      </c>
      <c r="G13" s="44" t="s">
        <v>31</v>
      </c>
      <c r="H13" s="38" t="str">
        <f>IF(J13=0," ",'C (8)'!H26)</f>
        <v xml:space="preserve"> </v>
      </c>
      <c r="I13" s="42" t="s">
        <v>29</v>
      </c>
      <c r="J13" s="1222">
        <f>IF('Input (8)'!E8=0,0,IF(SUM('Input (8)'!E7-'C (8)'!H25)+SUM('Input (8)'!E8-'C (8)'!H26)&gt;299.99,SUM('Input (8)'!E8-'C (8)'!H26),0))</f>
        <v>0</v>
      </c>
      <c r="K13" s="1222"/>
      <c r="L13" s="40" t="s">
        <v>28</v>
      </c>
      <c r="M13" s="41">
        <f>IF(SUM('Input (8)'!$E$7-'C (8)'!$H$25)+SUM('Input (8)'!$E$8-'C (8)'!$H$26)&gt;299.99,23,0)</f>
        <v>0</v>
      </c>
      <c r="N13" s="42" t="s">
        <v>29</v>
      </c>
      <c r="O13" s="38">
        <f>ROUND(IF(SUM('Input (8)'!$E$7-'C (8)'!$H$25)+SUM('Input (8)'!$E$8-'C (8)'!$H$26)&lt;299.99,0,IF(Q11+Q13&lt;15,0,($J$13/$M$13))),2)</f>
        <v>0</v>
      </c>
      <c r="P13" s="2" t="str">
        <f>IF(O13=0," ",IF(O13=Q13," ","Minimum"))</f>
        <v xml:space="preserve"> </v>
      </c>
      <c r="Q13" s="32">
        <f>ROUND(IF(SUM('Input (8)'!$E$7-'C (8)'!$H$25)+SUM('Input (8)'!$E$8-'C (8)'!$H$26)&lt;299.99,0,($J$13/$M$13)),2)</f>
        <v>0</v>
      </c>
    </row>
    <row r="14" spans="1:17" ht="17.25" customHeight="1">
      <c r="B14" s="5" t="s">
        <v>7</v>
      </c>
      <c r="F14" s="36"/>
      <c r="G14" s="44"/>
      <c r="H14" s="39"/>
      <c r="I14" s="42"/>
      <c r="J14" s="39"/>
      <c r="K14" s="39"/>
      <c r="M14" s="36"/>
      <c r="N14" s="42"/>
      <c r="O14" s="39"/>
    </row>
    <row r="15" spans="1:17">
      <c r="B15" s="28" t="s">
        <v>32</v>
      </c>
      <c r="O15" s="39" t="str">
        <f>IF(P15="Minimum",15," ")</f>
        <v xml:space="preserve"> </v>
      </c>
      <c r="P15" s="2" t="str">
        <f>IF(Q11+Q13=0," ",IF(Q11+Q13&lt;15,"Minimum"," "))</f>
        <v xml:space="preserve"> </v>
      </c>
    </row>
    <row r="16" spans="1:17" ht="15">
      <c r="C16" s="12" t="s">
        <v>33</v>
      </c>
      <c r="F16" s="41">
        <f>IF(J16=0," ",IF(J16&lt;300,SUM('Input (8)'!E7+'Input (8)'!E8)," "))</f>
        <v>142.5</v>
      </c>
      <c r="G16" s="44" t="s">
        <v>31</v>
      </c>
      <c r="H16" s="38">
        <f>IF(J16=0," ",'C (8)'!H22)</f>
        <v>10.5</v>
      </c>
      <c r="I16" s="42" t="s">
        <v>29</v>
      </c>
      <c r="J16" s="1222">
        <f>IF('Input (8)'!E9=0,0,IF(SUM('Input (8)'!E7-'C (8)'!H25)+SUM('Input (8)'!E8-'C (8)'!H26)&lt;300,IF(P7="ADD to 1-6",SUM('Input (8)'!E7-'C (8)'!H25)+SUM('Input (8)'!E8-'C (8)'!H26)+'Input (8)'!E4,SUM('Input (8)'!E7-'C (8)'!H25)+SUM('Input (8)'!E8-'C (8)'!H26)),0))</f>
        <v>132</v>
      </c>
      <c r="K16" s="1222"/>
      <c r="L16" s="40" t="s">
        <v>28</v>
      </c>
      <c r="M16" s="41">
        <f>IF(J16=0,0,LOOKUP(J16,'criteria (8)'!$M$3:$M$11,'criteria (8)'!$N$3:$N$11))</f>
        <v>19</v>
      </c>
      <c r="N16" s="42" t="s">
        <v>29</v>
      </c>
      <c r="O16" s="38">
        <f>IF(Q16=0,0,IF(Q16&lt;LOOKUP(J16,'criteria (8)'!$M$3:$M$10,'criteria (8)'!$O$3:$O$10),LOOKUP(J16,'criteria (8)'!$M$3:$M$10,'criteria (8)'!$O$3:$O$10),Q16))</f>
        <v>6.95</v>
      </c>
      <c r="P16" s="2" t="str">
        <f>IF(O16=0," ",IF(O16=Q16," ","Minimum"))</f>
        <v xml:space="preserve"> </v>
      </c>
      <c r="Q16" s="32">
        <f>ROUND(IF('Input (8)'!E9=0,0,IF(SUM('Input (8)'!$E$7-'C (8)'!$H$25)+SUM('Input (8)'!$E$8-'C (8)'!$H$26)&gt;299.99,0,(J16/M16))),2)</f>
        <v>6.95</v>
      </c>
    </row>
    <row r="17" spans="1:17" ht="6" customHeight="1">
      <c r="J17" s="43"/>
      <c r="K17" s="43"/>
      <c r="O17" s="43"/>
    </row>
    <row r="18" spans="1:17" ht="15">
      <c r="B18" s="5" t="s">
        <v>10</v>
      </c>
      <c r="F18" s="41">
        <f>IF(J18=0," ",'Input (8)'!E10)</f>
        <v>142.5</v>
      </c>
      <c r="G18" s="44" t="s">
        <v>31</v>
      </c>
      <c r="H18" s="38">
        <f>IF('C (8)'!$H$43=0," ",'C (8)'!$H$43)</f>
        <v>8.25</v>
      </c>
      <c r="I18" s="42" t="s">
        <v>29</v>
      </c>
      <c r="J18" s="1222">
        <f>IF('Input (8)'!E10=0,0,SUM('Input (8)'!E10-'C (8)'!H43))</f>
        <v>134.25</v>
      </c>
      <c r="K18" s="1222"/>
      <c r="L18" s="40" t="s">
        <v>28</v>
      </c>
      <c r="M18" s="41">
        <f>IF('Input (8)'!C10=0,0,IF(J18&gt;99.99,LOOKUP(J18,'criteria (8)'!Q3:Q10,'criteria (8)'!R3:R10),12))</f>
        <v>12</v>
      </c>
      <c r="N18" s="42" t="s">
        <v>29</v>
      </c>
      <c r="O18" s="38">
        <f>ROUND(IF(J18=0,0,IF(J18&lt;99.99,IF(M18=0,8,(J18/M18)),IF(Q18&lt;LOOKUP(J18,'criteria (8)'!$Q$3:$Q$10,'criteria (8)'!$S$3:$S$10),LOOKUP(J18,'criteria (8)'!$Q$3:$Q$10,'criteria (8)'!$S$3:$S$10),Q18))),2)</f>
        <v>11.19</v>
      </c>
      <c r="P18" s="2" t="str">
        <f>IF(O18=0," ",IF(O18=Q18," ","Minimum"))</f>
        <v xml:space="preserve"> </v>
      </c>
      <c r="Q18" s="32">
        <f>ROUND(IF(M18=0,0,(J18/M18)),2)</f>
        <v>11.19</v>
      </c>
    </row>
    <row r="19" spans="1:17" ht="9" customHeight="1">
      <c r="B19" s="5"/>
      <c r="F19" s="36"/>
      <c r="G19" s="44"/>
      <c r="H19" s="39"/>
      <c r="I19" s="42"/>
      <c r="J19" s="39"/>
      <c r="K19" s="39"/>
      <c r="M19" s="36"/>
      <c r="N19" s="42"/>
      <c r="O19" s="36"/>
    </row>
    <row r="20" spans="1:17" ht="15">
      <c r="A20" s="45" t="s">
        <v>34</v>
      </c>
      <c r="J20" s="43"/>
      <c r="K20" s="43"/>
    </row>
    <row r="21" spans="1:17" ht="3.75" customHeight="1">
      <c r="J21" s="43"/>
      <c r="K21" s="43"/>
    </row>
    <row r="22" spans="1:17">
      <c r="B22" s="2" t="s">
        <v>35</v>
      </c>
      <c r="J22" s="1222" t="str">
        <f>IF('C (8)'!H55=0," ",'C (8)'!H55)</f>
        <v xml:space="preserve"> </v>
      </c>
      <c r="K22" s="1222"/>
    </row>
    <row r="23" spans="1:17" ht="9" customHeight="1">
      <c r="J23" s="43"/>
      <c r="K23" s="43"/>
    </row>
    <row r="24" spans="1:17">
      <c r="B24" s="2" t="s">
        <v>36</v>
      </c>
      <c r="J24" s="1222">
        <f>IF('C (8)'!H22=0," ",'C (8)'!H22)</f>
        <v>10.5</v>
      </c>
      <c r="K24" s="1222"/>
    </row>
    <row r="25" spans="1:17" ht="9" customHeight="1">
      <c r="J25" s="43"/>
      <c r="K25" s="43"/>
    </row>
    <row r="26" spans="1:17">
      <c r="B26" s="2" t="s">
        <v>37</v>
      </c>
      <c r="J26" s="1222">
        <f>IF('C (8)'!$H$43=0," ",'C (8)'!$H$43)</f>
        <v>8.25</v>
      </c>
      <c r="K26" s="1222"/>
    </row>
    <row r="27" spans="1:17" ht="8.25" customHeight="1">
      <c r="J27" s="43"/>
      <c r="K27" s="43"/>
    </row>
    <row r="28" spans="1:17" ht="6" customHeight="1">
      <c r="J28" s="39"/>
      <c r="K28" s="39"/>
    </row>
    <row r="29" spans="1:17" ht="15.6" thickBot="1">
      <c r="B29" s="46" t="s">
        <v>38</v>
      </c>
      <c r="J29" s="1219">
        <f>SUM(J22:K27)</f>
        <v>18.75</v>
      </c>
      <c r="K29" s="1219"/>
      <c r="L29" s="40" t="s">
        <v>28</v>
      </c>
      <c r="M29" s="41">
        <f>IF(SUM('Input (8)'!C4:C10)=0,0,IF(J29&gt;=14,LOOKUP(J29,'criteria (8)'!$U$3:$U$10,'criteria (8)'!$V$3:$V$10),0))</f>
        <v>14.5</v>
      </c>
      <c r="N29" s="42" t="s">
        <v>29</v>
      </c>
      <c r="O29" s="38">
        <f>IF(J29=0,0,IF(Q29&lt;LOOKUP(J29,'criteria (8)'!$U$3:$U$10,'criteria (8)'!$W$3:$W$10),LOOKUP(J29,'criteria (8)'!$U$3:$U$10,'criteria (8)'!$W$3:$W$10),Q29))</f>
        <v>1.29</v>
      </c>
      <c r="P29" s="2" t="str">
        <f>IF(O29=0," ",IF(O29=Q29," ","Minimum"))</f>
        <v xml:space="preserve"> </v>
      </c>
      <c r="Q29" s="32">
        <f>ROUND(IF(SUM('Input (8)'!C4:C10)=0,0,IF(M29=0,0,(J29/M29))),2)</f>
        <v>1.29</v>
      </c>
    </row>
    <row r="30" spans="1:17" ht="21" customHeight="1" thickTop="1">
      <c r="B30" s="47"/>
      <c r="C30" s="47"/>
      <c r="D30" s="47"/>
      <c r="E30" s="47"/>
      <c r="F30" s="47"/>
      <c r="G30" s="47"/>
      <c r="H30" s="47"/>
      <c r="J30" s="12"/>
      <c r="N30" s="42"/>
      <c r="O30" s="36"/>
      <c r="P30" s="46"/>
    </row>
    <row r="31" spans="1:17" ht="19.5" customHeight="1">
      <c r="A31" s="48" t="s">
        <v>39</v>
      </c>
    </row>
    <row r="32" spans="1:17" ht="15">
      <c r="B32" s="1223" t="str">
        <f>IF('Input (8)'!E14=0," ","Alternative Secondary High School")</f>
        <v xml:space="preserve"> </v>
      </c>
      <c r="C32" s="1223"/>
      <c r="D32" s="1223"/>
      <c r="E32" s="1223"/>
      <c r="F32" s="1223"/>
      <c r="G32" s="1223"/>
      <c r="J32" s="1222">
        <f>'Input (8)'!E14</f>
        <v>0</v>
      </c>
      <c r="K32" s="1222"/>
      <c r="L32" s="40" t="s">
        <v>28</v>
      </c>
      <c r="M32" s="41">
        <f>IF(J32=0,0,IF(Q32&lt;1,M18,12))</f>
        <v>0</v>
      </c>
      <c r="N32" s="42" t="s">
        <v>29</v>
      </c>
      <c r="O32" s="38">
        <f>ROUND(IF(J32=0,0,J32/M32),2)</f>
        <v>0</v>
      </c>
      <c r="P32" s="45"/>
      <c r="Q32" s="32">
        <f>ROUND(IF(J32=0,0,J32/12),2)</f>
        <v>0</v>
      </c>
    </row>
    <row r="33" spans="1:17" ht="11.25" customHeight="1">
      <c r="J33" s="43"/>
      <c r="K33" s="43"/>
      <c r="O33" s="43"/>
    </row>
    <row r="34" spans="1:17" ht="11.25" customHeight="1">
      <c r="B34" s="1223" t="str">
        <f>IF('Input (8)'!E15=0," ","Summer Alternative Secondary High School")</f>
        <v xml:space="preserve"> </v>
      </c>
      <c r="C34" s="1223"/>
      <c r="D34" s="1223"/>
      <c r="E34" s="1223"/>
      <c r="F34" s="1223"/>
      <c r="G34" s="1223"/>
      <c r="J34" s="1222">
        <f>'Input (8)'!E15</f>
        <v>0</v>
      </c>
      <c r="K34" s="1222"/>
      <c r="L34" s="40" t="s">
        <v>28</v>
      </c>
      <c r="M34" s="41">
        <f>IF(J34=0,0,40)</f>
        <v>0</v>
      </c>
      <c r="N34" s="42" t="s">
        <v>29</v>
      </c>
      <c r="O34" s="38">
        <f>ROUND(IF(J34=0,0,J34/M34),2)</f>
        <v>0</v>
      </c>
      <c r="P34" s="45"/>
      <c r="Q34" s="32">
        <f>ROUND(IF(J34=0,0,J34/12),2)</f>
        <v>0</v>
      </c>
    </row>
    <row r="35" spans="1:17" ht="13.5" customHeight="1">
      <c r="J35" s="36"/>
      <c r="K35" s="36"/>
      <c r="L35" s="40"/>
      <c r="M35" s="36"/>
      <c r="N35" s="42"/>
      <c r="O35" s="36"/>
      <c r="P35" s="46"/>
    </row>
    <row r="36" spans="1:17" ht="18.75" customHeight="1" thickBot="1">
      <c r="A36" s="45"/>
      <c r="B36" s="12" t="s">
        <v>40</v>
      </c>
      <c r="C36" s="46"/>
      <c r="D36" s="46"/>
      <c r="E36" s="46"/>
      <c r="F36" s="46"/>
      <c r="G36" s="46"/>
      <c r="H36" s="46"/>
      <c r="I36" s="46"/>
      <c r="J36" s="46"/>
      <c r="K36" s="46"/>
      <c r="M36" s="36" t="s">
        <v>29</v>
      </c>
      <c r="N36" s="1224">
        <f>ROUND(IF(SUM(O7:O34)=0,0,SUM(O7:O34)),2)</f>
        <v>20.18</v>
      </c>
      <c r="O36" s="1224"/>
    </row>
    <row r="37" spans="1:17" ht="13.8" thickTop="1"/>
  </sheetData>
  <sheetProtection password="CC16" sheet="1" objects="1" scenarios="1"/>
  <mergeCells count="17">
    <mergeCell ref="B32:G32"/>
    <mergeCell ref="J32:K32"/>
    <mergeCell ref="B34:G34"/>
    <mergeCell ref="J34:K34"/>
    <mergeCell ref="N36:O36"/>
    <mergeCell ref="J29:K29"/>
    <mergeCell ref="A2:O2"/>
    <mergeCell ref="A3:O3"/>
    <mergeCell ref="J5:K5"/>
    <mergeCell ref="J7:K7"/>
    <mergeCell ref="J11:K11"/>
    <mergeCell ref="J13:K13"/>
    <mergeCell ref="J16:K16"/>
    <mergeCell ref="J18:K18"/>
    <mergeCell ref="J22:K22"/>
    <mergeCell ref="J24:K24"/>
    <mergeCell ref="J26:K26"/>
  </mergeCells>
  <pageMargins left="0.5" right="0.5" top="0.5" bottom="0.5" header="0.25" footer="0.25"/>
  <pageSetup scale="81" orientation="portrait" r:id="rId1"/>
  <headerFooter alignWithMargins="0">
    <oddFooter>&amp;L&amp;F</oddFooter>
  </headerFooter>
  <colBreaks count="1" manualBreakCount="1">
    <brk id="16" max="1048575"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7"/>
  <dimension ref="A1:R37"/>
  <sheetViews>
    <sheetView showGridLines="0" zoomScale="90" zoomScaleNormal="100" workbookViewId="0">
      <selection activeCell="N36" sqref="N36:O36"/>
    </sheetView>
  </sheetViews>
  <sheetFormatPr defaultRowHeight="13.2"/>
  <cols>
    <col min="1" max="1" width="4.21875" style="30" customWidth="1"/>
    <col min="2" max="2" width="2.5546875" style="2" customWidth="1"/>
    <col min="3" max="6" width="8.77734375" style="2"/>
    <col min="7" max="7" width="4.5546875" style="2" customWidth="1"/>
    <col min="8" max="8" width="10.21875" style="2" customWidth="1"/>
    <col min="9" max="9" width="3.21875" style="2" customWidth="1"/>
    <col min="10" max="10" width="8.77734375" style="2"/>
    <col min="11" max="11" width="6.21875" style="2" customWidth="1"/>
    <col min="12" max="12" width="3.77734375" style="2" customWidth="1"/>
    <col min="13" max="13" width="10.77734375" style="2" customWidth="1"/>
    <col min="14" max="14" width="4.21875" style="2" customWidth="1"/>
    <col min="15" max="15" width="12.21875" style="2" customWidth="1"/>
    <col min="16" max="16" width="10.21875" style="2" customWidth="1"/>
    <col min="17" max="17" width="9.21875" style="32" customWidth="1"/>
    <col min="18" max="256" width="8.77734375" style="2"/>
    <col min="257" max="257" width="4.21875" style="2" customWidth="1"/>
    <col min="258" max="258" width="2.5546875" style="2" customWidth="1"/>
    <col min="259" max="262" width="8.77734375" style="2"/>
    <col min="263" max="263" width="4.5546875" style="2" customWidth="1"/>
    <col min="264" max="264" width="10.21875" style="2" customWidth="1"/>
    <col min="265" max="265" width="3.21875" style="2" customWidth="1"/>
    <col min="266" max="266" width="8.77734375" style="2"/>
    <col min="267" max="267" width="6.21875" style="2" customWidth="1"/>
    <col min="268" max="268" width="3.77734375" style="2" customWidth="1"/>
    <col min="269" max="269" width="10.77734375" style="2" customWidth="1"/>
    <col min="270" max="270" width="4.21875" style="2" customWidth="1"/>
    <col min="271" max="271" width="12.21875" style="2" customWidth="1"/>
    <col min="272" max="272" width="10.21875" style="2" customWidth="1"/>
    <col min="273" max="273" width="9.21875" style="2" customWidth="1"/>
    <col min="274" max="512" width="8.77734375" style="2"/>
    <col min="513" max="513" width="4.21875" style="2" customWidth="1"/>
    <col min="514" max="514" width="2.5546875" style="2" customWidth="1"/>
    <col min="515" max="518" width="8.77734375" style="2"/>
    <col min="519" max="519" width="4.5546875" style="2" customWidth="1"/>
    <col min="520" max="520" width="10.21875" style="2" customWidth="1"/>
    <col min="521" max="521" width="3.21875" style="2" customWidth="1"/>
    <col min="522" max="522" width="8.77734375" style="2"/>
    <col min="523" max="523" width="6.21875" style="2" customWidth="1"/>
    <col min="524" max="524" width="3.77734375" style="2" customWidth="1"/>
    <col min="525" max="525" width="10.77734375" style="2" customWidth="1"/>
    <col min="526" max="526" width="4.21875" style="2" customWidth="1"/>
    <col min="527" max="527" width="12.21875" style="2" customWidth="1"/>
    <col min="528" max="528" width="10.21875" style="2" customWidth="1"/>
    <col min="529" max="529" width="9.21875" style="2" customWidth="1"/>
    <col min="530" max="768" width="8.77734375" style="2"/>
    <col min="769" max="769" width="4.21875" style="2" customWidth="1"/>
    <col min="770" max="770" width="2.5546875" style="2" customWidth="1"/>
    <col min="771" max="774" width="8.77734375" style="2"/>
    <col min="775" max="775" width="4.5546875" style="2" customWidth="1"/>
    <col min="776" max="776" width="10.21875" style="2" customWidth="1"/>
    <col min="777" max="777" width="3.21875" style="2" customWidth="1"/>
    <col min="778" max="778" width="8.77734375" style="2"/>
    <col min="779" max="779" width="6.21875" style="2" customWidth="1"/>
    <col min="780" max="780" width="3.77734375" style="2" customWidth="1"/>
    <col min="781" max="781" width="10.77734375" style="2" customWidth="1"/>
    <col min="782" max="782" width="4.21875" style="2" customWidth="1"/>
    <col min="783" max="783" width="12.21875" style="2" customWidth="1"/>
    <col min="784" max="784" width="10.21875" style="2" customWidth="1"/>
    <col min="785" max="785" width="9.21875" style="2" customWidth="1"/>
    <col min="786" max="1024" width="8.77734375" style="2"/>
    <col min="1025" max="1025" width="4.21875" style="2" customWidth="1"/>
    <col min="1026" max="1026" width="2.5546875" style="2" customWidth="1"/>
    <col min="1027" max="1030" width="8.77734375" style="2"/>
    <col min="1031" max="1031" width="4.5546875" style="2" customWidth="1"/>
    <col min="1032" max="1032" width="10.21875" style="2" customWidth="1"/>
    <col min="1033" max="1033" width="3.21875" style="2" customWidth="1"/>
    <col min="1034" max="1034" width="8.77734375" style="2"/>
    <col min="1035" max="1035" width="6.21875" style="2" customWidth="1"/>
    <col min="1036" max="1036" width="3.77734375" style="2" customWidth="1"/>
    <col min="1037" max="1037" width="10.77734375" style="2" customWidth="1"/>
    <col min="1038" max="1038" width="4.21875" style="2" customWidth="1"/>
    <col min="1039" max="1039" width="12.21875" style="2" customWidth="1"/>
    <col min="1040" max="1040" width="10.21875" style="2" customWidth="1"/>
    <col min="1041" max="1041" width="9.21875" style="2" customWidth="1"/>
    <col min="1042" max="1280" width="8.77734375" style="2"/>
    <col min="1281" max="1281" width="4.21875" style="2" customWidth="1"/>
    <col min="1282" max="1282" width="2.5546875" style="2" customWidth="1"/>
    <col min="1283" max="1286" width="8.77734375" style="2"/>
    <col min="1287" max="1287" width="4.5546875" style="2" customWidth="1"/>
    <col min="1288" max="1288" width="10.21875" style="2" customWidth="1"/>
    <col min="1289" max="1289" width="3.21875" style="2" customWidth="1"/>
    <col min="1290" max="1290" width="8.77734375" style="2"/>
    <col min="1291" max="1291" width="6.21875" style="2" customWidth="1"/>
    <col min="1292" max="1292" width="3.77734375" style="2" customWidth="1"/>
    <col min="1293" max="1293" width="10.77734375" style="2" customWidth="1"/>
    <col min="1294" max="1294" width="4.21875" style="2" customWidth="1"/>
    <col min="1295" max="1295" width="12.21875" style="2" customWidth="1"/>
    <col min="1296" max="1296" width="10.21875" style="2" customWidth="1"/>
    <col min="1297" max="1297" width="9.21875" style="2" customWidth="1"/>
    <col min="1298" max="1536" width="8.77734375" style="2"/>
    <col min="1537" max="1537" width="4.21875" style="2" customWidth="1"/>
    <col min="1538" max="1538" width="2.5546875" style="2" customWidth="1"/>
    <col min="1539" max="1542" width="8.77734375" style="2"/>
    <col min="1543" max="1543" width="4.5546875" style="2" customWidth="1"/>
    <col min="1544" max="1544" width="10.21875" style="2" customWidth="1"/>
    <col min="1545" max="1545" width="3.21875" style="2" customWidth="1"/>
    <col min="1546" max="1546" width="8.77734375" style="2"/>
    <col min="1547" max="1547" width="6.21875" style="2" customWidth="1"/>
    <col min="1548" max="1548" width="3.77734375" style="2" customWidth="1"/>
    <col min="1549" max="1549" width="10.77734375" style="2" customWidth="1"/>
    <col min="1550" max="1550" width="4.21875" style="2" customWidth="1"/>
    <col min="1551" max="1551" width="12.21875" style="2" customWidth="1"/>
    <col min="1552" max="1552" width="10.21875" style="2" customWidth="1"/>
    <col min="1553" max="1553" width="9.21875" style="2" customWidth="1"/>
    <col min="1554" max="1792" width="8.77734375" style="2"/>
    <col min="1793" max="1793" width="4.21875" style="2" customWidth="1"/>
    <col min="1794" max="1794" width="2.5546875" style="2" customWidth="1"/>
    <col min="1795" max="1798" width="8.77734375" style="2"/>
    <col min="1799" max="1799" width="4.5546875" style="2" customWidth="1"/>
    <col min="1800" max="1800" width="10.21875" style="2" customWidth="1"/>
    <col min="1801" max="1801" width="3.21875" style="2" customWidth="1"/>
    <col min="1802" max="1802" width="8.77734375" style="2"/>
    <col min="1803" max="1803" width="6.21875" style="2" customWidth="1"/>
    <col min="1804" max="1804" width="3.77734375" style="2" customWidth="1"/>
    <col min="1805" max="1805" width="10.77734375" style="2" customWidth="1"/>
    <col min="1806" max="1806" width="4.21875" style="2" customWidth="1"/>
    <col min="1807" max="1807" width="12.21875" style="2" customWidth="1"/>
    <col min="1808" max="1808" width="10.21875" style="2" customWidth="1"/>
    <col min="1809" max="1809" width="9.21875" style="2" customWidth="1"/>
    <col min="1810" max="2048" width="8.77734375" style="2"/>
    <col min="2049" max="2049" width="4.21875" style="2" customWidth="1"/>
    <col min="2050" max="2050" width="2.5546875" style="2" customWidth="1"/>
    <col min="2051" max="2054" width="8.77734375" style="2"/>
    <col min="2055" max="2055" width="4.5546875" style="2" customWidth="1"/>
    <col min="2056" max="2056" width="10.21875" style="2" customWidth="1"/>
    <col min="2057" max="2057" width="3.21875" style="2" customWidth="1"/>
    <col min="2058" max="2058" width="8.77734375" style="2"/>
    <col min="2059" max="2059" width="6.21875" style="2" customWidth="1"/>
    <col min="2060" max="2060" width="3.77734375" style="2" customWidth="1"/>
    <col min="2061" max="2061" width="10.77734375" style="2" customWidth="1"/>
    <col min="2062" max="2062" width="4.21875" style="2" customWidth="1"/>
    <col min="2063" max="2063" width="12.21875" style="2" customWidth="1"/>
    <col min="2064" max="2064" width="10.21875" style="2" customWidth="1"/>
    <col min="2065" max="2065" width="9.21875" style="2" customWidth="1"/>
    <col min="2066" max="2304" width="8.77734375" style="2"/>
    <col min="2305" max="2305" width="4.21875" style="2" customWidth="1"/>
    <col min="2306" max="2306" width="2.5546875" style="2" customWidth="1"/>
    <col min="2307" max="2310" width="8.77734375" style="2"/>
    <col min="2311" max="2311" width="4.5546875" style="2" customWidth="1"/>
    <col min="2312" max="2312" width="10.21875" style="2" customWidth="1"/>
    <col min="2313" max="2313" width="3.21875" style="2" customWidth="1"/>
    <col min="2314" max="2314" width="8.77734375" style="2"/>
    <col min="2315" max="2315" width="6.21875" style="2" customWidth="1"/>
    <col min="2316" max="2316" width="3.77734375" style="2" customWidth="1"/>
    <col min="2317" max="2317" width="10.77734375" style="2" customWidth="1"/>
    <col min="2318" max="2318" width="4.21875" style="2" customWidth="1"/>
    <col min="2319" max="2319" width="12.21875" style="2" customWidth="1"/>
    <col min="2320" max="2320" width="10.21875" style="2" customWidth="1"/>
    <col min="2321" max="2321" width="9.21875" style="2" customWidth="1"/>
    <col min="2322" max="2560" width="8.77734375" style="2"/>
    <col min="2561" max="2561" width="4.21875" style="2" customWidth="1"/>
    <col min="2562" max="2562" width="2.5546875" style="2" customWidth="1"/>
    <col min="2563" max="2566" width="8.77734375" style="2"/>
    <col min="2567" max="2567" width="4.5546875" style="2" customWidth="1"/>
    <col min="2568" max="2568" width="10.21875" style="2" customWidth="1"/>
    <col min="2569" max="2569" width="3.21875" style="2" customWidth="1"/>
    <col min="2570" max="2570" width="8.77734375" style="2"/>
    <col min="2571" max="2571" width="6.21875" style="2" customWidth="1"/>
    <col min="2572" max="2572" width="3.77734375" style="2" customWidth="1"/>
    <col min="2573" max="2573" width="10.77734375" style="2" customWidth="1"/>
    <col min="2574" max="2574" width="4.21875" style="2" customWidth="1"/>
    <col min="2575" max="2575" width="12.21875" style="2" customWidth="1"/>
    <col min="2576" max="2576" width="10.21875" style="2" customWidth="1"/>
    <col min="2577" max="2577" width="9.21875" style="2" customWidth="1"/>
    <col min="2578" max="2816" width="8.77734375" style="2"/>
    <col min="2817" max="2817" width="4.21875" style="2" customWidth="1"/>
    <col min="2818" max="2818" width="2.5546875" style="2" customWidth="1"/>
    <col min="2819" max="2822" width="8.77734375" style="2"/>
    <col min="2823" max="2823" width="4.5546875" style="2" customWidth="1"/>
    <col min="2824" max="2824" width="10.21875" style="2" customWidth="1"/>
    <col min="2825" max="2825" width="3.21875" style="2" customWidth="1"/>
    <col min="2826" max="2826" width="8.77734375" style="2"/>
    <col min="2827" max="2827" width="6.21875" style="2" customWidth="1"/>
    <col min="2828" max="2828" width="3.77734375" style="2" customWidth="1"/>
    <col min="2829" max="2829" width="10.77734375" style="2" customWidth="1"/>
    <col min="2830" max="2830" width="4.21875" style="2" customWidth="1"/>
    <col min="2831" max="2831" width="12.21875" style="2" customWidth="1"/>
    <col min="2832" max="2832" width="10.21875" style="2" customWidth="1"/>
    <col min="2833" max="2833" width="9.21875" style="2" customWidth="1"/>
    <col min="2834" max="3072" width="8.77734375" style="2"/>
    <col min="3073" max="3073" width="4.21875" style="2" customWidth="1"/>
    <col min="3074" max="3074" width="2.5546875" style="2" customWidth="1"/>
    <col min="3075" max="3078" width="8.77734375" style="2"/>
    <col min="3079" max="3079" width="4.5546875" style="2" customWidth="1"/>
    <col min="3080" max="3080" width="10.21875" style="2" customWidth="1"/>
    <col min="3081" max="3081" width="3.21875" style="2" customWidth="1"/>
    <col min="3082" max="3082" width="8.77734375" style="2"/>
    <col min="3083" max="3083" width="6.21875" style="2" customWidth="1"/>
    <col min="3084" max="3084" width="3.77734375" style="2" customWidth="1"/>
    <col min="3085" max="3085" width="10.77734375" style="2" customWidth="1"/>
    <col min="3086" max="3086" width="4.21875" style="2" customWidth="1"/>
    <col min="3087" max="3087" width="12.21875" style="2" customWidth="1"/>
    <col min="3088" max="3088" width="10.21875" style="2" customWidth="1"/>
    <col min="3089" max="3089" width="9.21875" style="2" customWidth="1"/>
    <col min="3090" max="3328" width="8.77734375" style="2"/>
    <col min="3329" max="3329" width="4.21875" style="2" customWidth="1"/>
    <col min="3330" max="3330" width="2.5546875" style="2" customWidth="1"/>
    <col min="3331" max="3334" width="8.77734375" style="2"/>
    <col min="3335" max="3335" width="4.5546875" style="2" customWidth="1"/>
    <col min="3336" max="3336" width="10.21875" style="2" customWidth="1"/>
    <col min="3337" max="3337" width="3.21875" style="2" customWidth="1"/>
    <col min="3338" max="3338" width="8.77734375" style="2"/>
    <col min="3339" max="3339" width="6.21875" style="2" customWidth="1"/>
    <col min="3340" max="3340" width="3.77734375" style="2" customWidth="1"/>
    <col min="3341" max="3341" width="10.77734375" style="2" customWidth="1"/>
    <col min="3342" max="3342" width="4.21875" style="2" customWidth="1"/>
    <col min="3343" max="3343" width="12.21875" style="2" customWidth="1"/>
    <col min="3344" max="3344" width="10.21875" style="2" customWidth="1"/>
    <col min="3345" max="3345" width="9.21875" style="2" customWidth="1"/>
    <col min="3346" max="3584" width="8.77734375" style="2"/>
    <col min="3585" max="3585" width="4.21875" style="2" customWidth="1"/>
    <col min="3586" max="3586" width="2.5546875" style="2" customWidth="1"/>
    <col min="3587" max="3590" width="8.77734375" style="2"/>
    <col min="3591" max="3591" width="4.5546875" style="2" customWidth="1"/>
    <col min="3592" max="3592" width="10.21875" style="2" customWidth="1"/>
    <col min="3593" max="3593" width="3.21875" style="2" customWidth="1"/>
    <col min="3594" max="3594" width="8.77734375" style="2"/>
    <col min="3595" max="3595" width="6.21875" style="2" customWidth="1"/>
    <col min="3596" max="3596" width="3.77734375" style="2" customWidth="1"/>
    <col min="3597" max="3597" width="10.77734375" style="2" customWidth="1"/>
    <col min="3598" max="3598" width="4.21875" style="2" customWidth="1"/>
    <col min="3599" max="3599" width="12.21875" style="2" customWidth="1"/>
    <col min="3600" max="3600" width="10.21875" style="2" customWidth="1"/>
    <col min="3601" max="3601" width="9.21875" style="2" customWidth="1"/>
    <col min="3602" max="3840" width="8.77734375" style="2"/>
    <col min="3841" max="3841" width="4.21875" style="2" customWidth="1"/>
    <col min="3842" max="3842" width="2.5546875" style="2" customWidth="1"/>
    <col min="3843" max="3846" width="8.77734375" style="2"/>
    <col min="3847" max="3847" width="4.5546875" style="2" customWidth="1"/>
    <col min="3848" max="3848" width="10.21875" style="2" customWidth="1"/>
    <col min="3849" max="3849" width="3.21875" style="2" customWidth="1"/>
    <col min="3850" max="3850" width="8.77734375" style="2"/>
    <col min="3851" max="3851" width="6.21875" style="2" customWidth="1"/>
    <col min="3852" max="3852" width="3.77734375" style="2" customWidth="1"/>
    <col min="3853" max="3853" width="10.77734375" style="2" customWidth="1"/>
    <col min="3854" max="3854" width="4.21875" style="2" customWidth="1"/>
    <col min="3855" max="3855" width="12.21875" style="2" customWidth="1"/>
    <col min="3856" max="3856" width="10.21875" style="2" customWidth="1"/>
    <col min="3857" max="3857" width="9.21875" style="2" customWidth="1"/>
    <col min="3858" max="4096" width="8.77734375" style="2"/>
    <col min="4097" max="4097" width="4.21875" style="2" customWidth="1"/>
    <col min="4098" max="4098" width="2.5546875" style="2" customWidth="1"/>
    <col min="4099" max="4102" width="8.77734375" style="2"/>
    <col min="4103" max="4103" width="4.5546875" style="2" customWidth="1"/>
    <col min="4104" max="4104" width="10.21875" style="2" customWidth="1"/>
    <col min="4105" max="4105" width="3.21875" style="2" customWidth="1"/>
    <col min="4106" max="4106" width="8.77734375" style="2"/>
    <col min="4107" max="4107" width="6.21875" style="2" customWidth="1"/>
    <col min="4108" max="4108" width="3.77734375" style="2" customWidth="1"/>
    <col min="4109" max="4109" width="10.77734375" style="2" customWidth="1"/>
    <col min="4110" max="4110" width="4.21875" style="2" customWidth="1"/>
    <col min="4111" max="4111" width="12.21875" style="2" customWidth="1"/>
    <col min="4112" max="4112" width="10.21875" style="2" customWidth="1"/>
    <col min="4113" max="4113" width="9.21875" style="2" customWidth="1"/>
    <col min="4114" max="4352" width="8.77734375" style="2"/>
    <col min="4353" max="4353" width="4.21875" style="2" customWidth="1"/>
    <col min="4354" max="4354" width="2.5546875" style="2" customWidth="1"/>
    <col min="4355" max="4358" width="8.77734375" style="2"/>
    <col min="4359" max="4359" width="4.5546875" style="2" customWidth="1"/>
    <col min="4360" max="4360" width="10.21875" style="2" customWidth="1"/>
    <col min="4361" max="4361" width="3.21875" style="2" customWidth="1"/>
    <col min="4362" max="4362" width="8.77734375" style="2"/>
    <col min="4363" max="4363" width="6.21875" style="2" customWidth="1"/>
    <col min="4364" max="4364" width="3.77734375" style="2" customWidth="1"/>
    <col min="4365" max="4365" width="10.77734375" style="2" customWidth="1"/>
    <col min="4366" max="4366" width="4.21875" style="2" customWidth="1"/>
    <col min="4367" max="4367" width="12.21875" style="2" customWidth="1"/>
    <col min="4368" max="4368" width="10.21875" style="2" customWidth="1"/>
    <col min="4369" max="4369" width="9.21875" style="2" customWidth="1"/>
    <col min="4370" max="4608" width="8.77734375" style="2"/>
    <col min="4609" max="4609" width="4.21875" style="2" customWidth="1"/>
    <col min="4610" max="4610" width="2.5546875" style="2" customWidth="1"/>
    <col min="4611" max="4614" width="8.77734375" style="2"/>
    <col min="4615" max="4615" width="4.5546875" style="2" customWidth="1"/>
    <col min="4616" max="4616" width="10.21875" style="2" customWidth="1"/>
    <col min="4617" max="4617" width="3.21875" style="2" customWidth="1"/>
    <col min="4618" max="4618" width="8.77734375" style="2"/>
    <col min="4619" max="4619" width="6.21875" style="2" customWidth="1"/>
    <col min="4620" max="4620" width="3.77734375" style="2" customWidth="1"/>
    <col min="4621" max="4621" width="10.77734375" style="2" customWidth="1"/>
    <col min="4622" max="4622" width="4.21875" style="2" customWidth="1"/>
    <col min="4623" max="4623" width="12.21875" style="2" customWidth="1"/>
    <col min="4624" max="4624" width="10.21875" style="2" customWidth="1"/>
    <col min="4625" max="4625" width="9.21875" style="2" customWidth="1"/>
    <col min="4626" max="4864" width="8.77734375" style="2"/>
    <col min="4865" max="4865" width="4.21875" style="2" customWidth="1"/>
    <col min="4866" max="4866" width="2.5546875" style="2" customWidth="1"/>
    <col min="4867" max="4870" width="8.77734375" style="2"/>
    <col min="4871" max="4871" width="4.5546875" style="2" customWidth="1"/>
    <col min="4872" max="4872" width="10.21875" style="2" customWidth="1"/>
    <col min="4873" max="4873" width="3.21875" style="2" customWidth="1"/>
    <col min="4874" max="4874" width="8.77734375" style="2"/>
    <col min="4875" max="4875" width="6.21875" style="2" customWidth="1"/>
    <col min="4876" max="4876" width="3.77734375" style="2" customWidth="1"/>
    <col min="4877" max="4877" width="10.77734375" style="2" customWidth="1"/>
    <col min="4878" max="4878" width="4.21875" style="2" customWidth="1"/>
    <col min="4879" max="4879" width="12.21875" style="2" customWidth="1"/>
    <col min="4880" max="4880" width="10.21875" style="2" customWidth="1"/>
    <col min="4881" max="4881" width="9.21875" style="2" customWidth="1"/>
    <col min="4882" max="5120" width="8.77734375" style="2"/>
    <col min="5121" max="5121" width="4.21875" style="2" customWidth="1"/>
    <col min="5122" max="5122" width="2.5546875" style="2" customWidth="1"/>
    <col min="5123" max="5126" width="8.77734375" style="2"/>
    <col min="5127" max="5127" width="4.5546875" style="2" customWidth="1"/>
    <col min="5128" max="5128" width="10.21875" style="2" customWidth="1"/>
    <col min="5129" max="5129" width="3.21875" style="2" customWidth="1"/>
    <col min="5130" max="5130" width="8.77734375" style="2"/>
    <col min="5131" max="5131" width="6.21875" style="2" customWidth="1"/>
    <col min="5132" max="5132" width="3.77734375" style="2" customWidth="1"/>
    <col min="5133" max="5133" width="10.77734375" style="2" customWidth="1"/>
    <col min="5134" max="5134" width="4.21875" style="2" customWidth="1"/>
    <col min="5135" max="5135" width="12.21875" style="2" customWidth="1"/>
    <col min="5136" max="5136" width="10.21875" style="2" customWidth="1"/>
    <col min="5137" max="5137" width="9.21875" style="2" customWidth="1"/>
    <col min="5138" max="5376" width="8.77734375" style="2"/>
    <col min="5377" max="5377" width="4.21875" style="2" customWidth="1"/>
    <col min="5378" max="5378" width="2.5546875" style="2" customWidth="1"/>
    <col min="5379" max="5382" width="8.77734375" style="2"/>
    <col min="5383" max="5383" width="4.5546875" style="2" customWidth="1"/>
    <col min="5384" max="5384" width="10.21875" style="2" customWidth="1"/>
    <col min="5385" max="5385" width="3.21875" style="2" customWidth="1"/>
    <col min="5386" max="5386" width="8.77734375" style="2"/>
    <col min="5387" max="5387" width="6.21875" style="2" customWidth="1"/>
    <col min="5388" max="5388" width="3.77734375" style="2" customWidth="1"/>
    <col min="5389" max="5389" width="10.77734375" style="2" customWidth="1"/>
    <col min="5390" max="5390" width="4.21875" style="2" customWidth="1"/>
    <col min="5391" max="5391" width="12.21875" style="2" customWidth="1"/>
    <col min="5392" max="5392" width="10.21875" style="2" customWidth="1"/>
    <col min="5393" max="5393" width="9.21875" style="2" customWidth="1"/>
    <col min="5394" max="5632" width="8.77734375" style="2"/>
    <col min="5633" max="5633" width="4.21875" style="2" customWidth="1"/>
    <col min="5634" max="5634" width="2.5546875" style="2" customWidth="1"/>
    <col min="5635" max="5638" width="8.77734375" style="2"/>
    <col min="5639" max="5639" width="4.5546875" style="2" customWidth="1"/>
    <col min="5640" max="5640" width="10.21875" style="2" customWidth="1"/>
    <col min="5641" max="5641" width="3.21875" style="2" customWidth="1"/>
    <col min="5642" max="5642" width="8.77734375" style="2"/>
    <col min="5643" max="5643" width="6.21875" style="2" customWidth="1"/>
    <col min="5644" max="5644" width="3.77734375" style="2" customWidth="1"/>
    <col min="5645" max="5645" width="10.77734375" style="2" customWidth="1"/>
    <col min="5646" max="5646" width="4.21875" style="2" customWidth="1"/>
    <col min="5647" max="5647" width="12.21875" style="2" customWidth="1"/>
    <col min="5648" max="5648" width="10.21875" style="2" customWidth="1"/>
    <col min="5649" max="5649" width="9.21875" style="2" customWidth="1"/>
    <col min="5650" max="5888" width="8.77734375" style="2"/>
    <col min="5889" max="5889" width="4.21875" style="2" customWidth="1"/>
    <col min="5890" max="5890" width="2.5546875" style="2" customWidth="1"/>
    <col min="5891" max="5894" width="8.77734375" style="2"/>
    <col min="5895" max="5895" width="4.5546875" style="2" customWidth="1"/>
    <col min="5896" max="5896" width="10.21875" style="2" customWidth="1"/>
    <col min="5897" max="5897" width="3.21875" style="2" customWidth="1"/>
    <col min="5898" max="5898" width="8.77734375" style="2"/>
    <col min="5899" max="5899" width="6.21875" style="2" customWidth="1"/>
    <col min="5900" max="5900" width="3.77734375" style="2" customWidth="1"/>
    <col min="5901" max="5901" width="10.77734375" style="2" customWidth="1"/>
    <col min="5902" max="5902" width="4.21875" style="2" customWidth="1"/>
    <col min="5903" max="5903" width="12.21875" style="2" customWidth="1"/>
    <col min="5904" max="5904" width="10.21875" style="2" customWidth="1"/>
    <col min="5905" max="5905" width="9.21875" style="2" customWidth="1"/>
    <col min="5906" max="6144" width="8.77734375" style="2"/>
    <col min="6145" max="6145" width="4.21875" style="2" customWidth="1"/>
    <col min="6146" max="6146" width="2.5546875" style="2" customWidth="1"/>
    <col min="6147" max="6150" width="8.77734375" style="2"/>
    <col min="6151" max="6151" width="4.5546875" style="2" customWidth="1"/>
    <col min="6152" max="6152" width="10.21875" style="2" customWidth="1"/>
    <col min="6153" max="6153" width="3.21875" style="2" customWidth="1"/>
    <col min="6154" max="6154" width="8.77734375" style="2"/>
    <col min="6155" max="6155" width="6.21875" style="2" customWidth="1"/>
    <col min="6156" max="6156" width="3.77734375" style="2" customWidth="1"/>
    <col min="6157" max="6157" width="10.77734375" style="2" customWidth="1"/>
    <col min="6158" max="6158" width="4.21875" style="2" customWidth="1"/>
    <col min="6159" max="6159" width="12.21875" style="2" customWidth="1"/>
    <col min="6160" max="6160" width="10.21875" style="2" customWidth="1"/>
    <col min="6161" max="6161" width="9.21875" style="2" customWidth="1"/>
    <col min="6162" max="6400" width="8.77734375" style="2"/>
    <col min="6401" max="6401" width="4.21875" style="2" customWidth="1"/>
    <col min="6402" max="6402" width="2.5546875" style="2" customWidth="1"/>
    <col min="6403" max="6406" width="8.77734375" style="2"/>
    <col min="6407" max="6407" width="4.5546875" style="2" customWidth="1"/>
    <col min="6408" max="6408" width="10.21875" style="2" customWidth="1"/>
    <col min="6409" max="6409" width="3.21875" style="2" customWidth="1"/>
    <col min="6410" max="6410" width="8.77734375" style="2"/>
    <col min="6411" max="6411" width="6.21875" style="2" customWidth="1"/>
    <col min="6412" max="6412" width="3.77734375" style="2" customWidth="1"/>
    <col min="6413" max="6413" width="10.77734375" style="2" customWidth="1"/>
    <col min="6414" max="6414" width="4.21875" style="2" customWidth="1"/>
    <col min="6415" max="6415" width="12.21875" style="2" customWidth="1"/>
    <col min="6416" max="6416" width="10.21875" style="2" customWidth="1"/>
    <col min="6417" max="6417" width="9.21875" style="2" customWidth="1"/>
    <col min="6418" max="6656" width="8.77734375" style="2"/>
    <col min="6657" max="6657" width="4.21875" style="2" customWidth="1"/>
    <col min="6658" max="6658" width="2.5546875" style="2" customWidth="1"/>
    <col min="6659" max="6662" width="8.77734375" style="2"/>
    <col min="6663" max="6663" width="4.5546875" style="2" customWidth="1"/>
    <col min="6664" max="6664" width="10.21875" style="2" customWidth="1"/>
    <col min="6665" max="6665" width="3.21875" style="2" customWidth="1"/>
    <col min="6666" max="6666" width="8.77734375" style="2"/>
    <col min="6667" max="6667" width="6.21875" style="2" customWidth="1"/>
    <col min="6668" max="6668" width="3.77734375" style="2" customWidth="1"/>
    <col min="6669" max="6669" width="10.77734375" style="2" customWidth="1"/>
    <col min="6670" max="6670" width="4.21875" style="2" customWidth="1"/>
    <col min="6671" max="6671" width="12.21875" style="2" customWidth="1"/>
    <col min="6672" max="6672" width="10.21875" style="2" customWidth="1"/>
    <col min="6673" max="6673" width="9.21875" style="2" customWidth="1"/>
    <col min="6674" max="6912" width="8.77734375" style="2"/>
    <col min="6913" max="6913" width="4.21875" style="2" customWidth="1"/>
    <col min="6914" max="6914" width="2.5546875" style="2" customWidth="1"/>
    <col min="6915" max="6918" width="8.77734375" style="2"/>
    <col min="6919" max="6919" width="4.5546875" style="2" customWidth="1"/>
    <col min="6920" max="6920" width="10.21875" style="2" customWidth="1"/>
    <col min="6921" max="6921" width="3.21875" style="2" customWidth="1"/>
    <col min="6922" max="6922" width="8.77734375" style="2"/>
    <col min="6923" max="6923" width="6.21875" style="2" customWidth="1"/>
    <col min="6924" max="6924" width="3.77734375" style="2" customWidth="1"/>
    <col min="6925" max="6925" width="10.77734375" style="2" customWidth="1"/>
    <col min="6926" max="6926" width="4.21875" style="2" customWidth="1"/>
    <col min="6927" max="6927" width="12.21875" style="2" customWidth="1"/>
    <col min="6928" max="6928" width="10.21875" style="2" customWidth="1"/>
    <col min="6929" max="6929" width="9.21875" style="2" customWidth="1"/>
    <col min="6930" max="7168" width="8.77734375" style="2"/>
    <col min="7169" max="7169" width="4.21875" style="2" customWidth="1"/>
    <col min="7170" max="7170" width="2.5546875" style="2" customWidth="1"/>
    <col min="7171" max="7174" width="8.77734375" style="2"/>
    <col min="7175" max="7175" width="4.5546875" style="2" customWidth="1"/>
    <col min="7176" max="7176" width="10.21875" style="2" customWidth="1"/>
    <col min="7177" max="7177" width="3.21875" style="2" customWidth="1"/>
    <col min="7178" max="7178" width="8.77734375" style="2"/>
    <col min="7179" max="7179" width="6.21875" style="2" customWidth="1"/>
    <col min="7180" max="7180" width="3.77734375" style="2" customWidth="1"/>
    <col min="7181" max="7181" width="10.77734375" style="2" customWidth="1"/>
    <col min="7182" max="7182" width="4.21875" style="2" customWidth="1"/>
    <col min="7183" max="7183" width="12.21875" style="2" customWidth="1"/>
    <col min="7184" max="7184" width="10.21875" style="2" customWidth="1"/>
    <col min="7185" max="7185" width="9.21875" style="2" customWidth="1"/>
    <col min="7186" max="7424" width="8.77734375" style="2"/>
    <col min="7425" max="7425" width="4.21875" style="2" customWidth="1"/>
    <col min="7426" max="7426" width="2.5546875" style="2" customWidth="1"/>
    <col min="7427" max="7430" width="8.77734375" style="2"/>
    <col min="7431" max="7431" width="4.5546875" style="2" customWidth="1"/>
    <col min="7432" max="7432" width="10.21875" style="2" customWidth="1"/>
    <col min="7433" max="7433" width="3.21875" style="2" customWidth="1"/>
    <col min="7434" max="7434" width="8.77734375" style="2"/>
    <col min="7435" max="7435" width="6.21875" style="2" customWidth="1"/>
    <col min="7436" max="7436" width="3.77734375" style="2" customWidth="1"/>
    <col min="7437" max="7437" width="10.77734375" style="2" customWidth="1"/>
    <col min="7438" max="7438" width="4.21875" style="2" customWidth="1"/>
    <col min="7439" max="7439" width="12.21875" style="2" customWidth="1"/>
    <col min="7440" max="7440" width="10.21875" style="2" customWidth="1"/>
    <col min="7441" max="7441" width="9.21875" style="2" customWidth="1"/>
    <col min="7442" max="7680" width="8.77734375" style="2"/>
    <col min="7681" max="7681" width="4.21875" style="2" customWidth="1"/>
    <col min="7682" max="7682" width="2.5546875" style="2" customWidth="1"/>
    <col min="7683" max="7686" width="8.77734375" style="2"/>
    <col min="7687" max="7687" width="4.5546875" style="2" customWidth="1"/>
    <col min="7688" max="7688" width="10.21875" style="2" customWidth="1"/>
    <col min="7689" max="7689" width="3.21875" style="2" customWidth="1"/>
    <col min="7690" max="7690" width="8.77734375" style="2"/>
    <col min="7691" max="7691" width="6.21875" style="2" customWidth="1"/>
    <col min="7692" max="7692" width="3.77734375" style="2" customWidth="1"/>
    <col min="7693" max="7693" width="10.77734375" style="2" customWidth="1"/>
    <col min="7694" max="7694" width="4.21875" style="2" customWidth="1"/>
    <col min="7695" max="7695" width="12.21875" style="2" customWidth="1"/>
    <col min="7696" max="7696" width="10.21875" style="2" customWidth="1"/>
    <col min="7697" max="7697" width="9.21875" style="2" customWidth="1"/>
    <col min="7698" max="7936" width="8.77734375" style="2"/>
    <col min="7937" max="7937" width="4.21875" style="2" customWidth="1"/>
    <col min="7938" max="7938" width="2.5546875" style="2" customWidth="1"/>
    <col min="7939" max="7942" width="8.77734375" style="2"/>
    <col min="7943" max="7943" width="4.5546875" style="2" customWidth="1"/>
    <col min="7944" max="7944" width="10.21875" style="2" customWidth="1"/>
    <col min="7945" max="7945" width="3.21875" style="2" customWidth="1"/>
    <col min="7946" max="7946" width="8.77734375" style="2"/>
    <col min="7947" max="7947" width="6.21875" style="2" customWidth="1"/>
    <col min="7948" max="7948" width="3.77734375" style="2" customWidth="1"/>
    <col min="7949" max="7949" width="10.77734375" style="2" customWidth="1"/>
    <col min="7950" max="7950" width="4.21875" style="2" customWidth="1"/>
    <col min="7951" max="7951" width="12.21875" style="2" customWidth="1"/>
    <col min="7952" max="7952" width="10.21875" style="2" customWidth="1"/>
    <col min="7953" max="7953" width="9.21875" style="2" customWidth="1"/>
    <col min="7954" max="8192" width="8.77734375" style="2"/>
    <col min="8193" max="8193" width="4.21875" style="2" customWidth="1"/>
    <col min="8194" max="8194" width="2.5546875" style="2" customWidth="1"/>
    <col min="8195" max="8198" width="8.77734375" style="2"/>
    <col min="8199" max="8199" width="4.5546875" style="2" customWidth="1"/>
    <col min="8200" max="8200" width="10.21875" style="2" customWidth="1"/>
    <col min="8201" max="8201" width="3.21875" style="2" customWidth="1"/>
    <col min="8202" max="8202" width="8.77734375" style="2"/>
    <col min="8203" max="8203" width="6.21875" style="2" customWidth="1"/>
    <col min="8204" max="8204" width="3.77734375" style="2" customWidth="1"/>
    <col min="8205" max="8205" width="10.77734375" style="2" customWidth="1"/>
    <col min="8206" max="8206" width="4.21875" style="2" customWidth="1"/>
    <col min="8207" max="8207" width="12.21875" style="2" customWidth="1"/>
    <col min="8208" max="8208" width="10.21875" style="2" customWidth="1"/>
    <col min="8209" max="8209" width="9.21875" style="2" customWidth="1"/>
    <col min="8210" max="8448" width="8.77734375" style="2"/>
    <col min="8449" max="8449" width="4.21875" style="2" customWidth="1"/>
    <col min="8450" max="8450" width="2.5546875" style="2" customWidth="1"/>
    <col min="8451" max="8454" width="8.77734375" style="2"/>
    <col min="8455" max="8455" width="4.5546875" style="2" customWidth="1"/>
    <col min="8456" max="8456" width="10.21875" style="2" customWidth="1"/>
    <col min="8457" max="8457" width="3.21875" style="2" customWidth="1"/>
    <col min="8458" max="8458" width="8.77734375" style="2"/>
    <col min="8459" max="8459" width="6.21875" style="2" customWidth="1"/>
    <col min="8460" max="8460" width="3.77734375" style="2" customWidth="1"/>
    <col min="8461" max="8461" width="10.77734375" style="2" customWidth="1"/>
    <col min="8462" max="8462" width="4.21875" style="2" customWidth="1"/>
    <col min="8463" max="8463" width="12.21875" style="2" customWidth="1"/>
    <col min="8464" max="8464" width="10.21875" style="2" customWidth="1"/>
    <col min="8465" max="8465" width="9.21875" style="2" customWidth="1"/>
    <col min="8466" max="8704" width="8.77734375" style="2"/>
    <col min="8705" max="8705" width="4.21875" style="2" customWidth="1"/>
    <col min="8706" max="8706" width="2.5546875" style="2" customWidth="1"/>
    <col min="8707" max="8710" width="8.77734375" style="2"/>
    <col min="8711" max="8711" width="4.5546875" style="2" customWidth="1"/>
    <col min="8712" max="8712" width="10.21875" style="2" customWidth="1"/>
    <col min="8713" max="8713" width="3.21875" style="2" customWidth="1"/>
    <col min="8714" max="8714" width="8.77734375" style="2"/>
    <col min="8715" max="8715" width="6.21875" style="2" customWidth="1"/>
    <col min="8716" max="8716" width="3.77734375" style="2" customWidth="1"/>
    <col min="8717" max="8717" width="10.77734375" style="2" customWidth="1"/>
    <col min="8718" max="8718" width="4.21875" style="2" customWidth="1"/>
    <col min="8719" max="8719" width="12.21875" style="2" customWidth="1"/>
    <col min="8720" max="8720" width="10.21875" style="2" customWidth="1"/>
    <col min="8721" max="8721" width="9.21875" style="2" customWidth="1"/>
    <col min="8722" max="8960" width="8.77734375" style="2"/>
    <col min="8961" max="8961" width="4.21875" style="2" customWidth="1"/>
    <col min="8962" max="8962" width="2.5546875" style="2" customWidth="1"/>
    <col min="8963" max="8966" width="8.77734375" style="2"/>
    <col min="8967" max="8967" width="4.5546875" style="2" customWidth="1"/>
    <col min="8968" max="8968" width="10.21875" style="2" customWidth="1"/>
    <col min="8969" max="8969" width="3.21875" style="2" customWidth="1"/>
    <col min="8970" max="8970" width="8.77734375" style="2"/>
    <col min="8971" max="8971" width="6.21875" style="2" customWidth="1"/>
    <col min="8972" max="8972" width="3.77734375" style="2" customWidth="1"/>
    <col min="8973" max="8973" width="10.77734375" style="2" customWidth="1"/>
    <col min="8974" max="8974" width="4.21875" style="2" customWidth="1"/>
    <col min="8975" max="8975" width="12.21875" style="2" customWidth="1"/>
    <col min="8976" max="8976" width="10.21875" style="2" customWidth="1"/>
    <col min="8977" max="8977" width="9.21875" style="2" customWidth="1"/>
    <col min="8978" max="9216" width="8.77734375" style="2"/>
    <col min="9217" max="9217" width="4.21875" style="2" customWidth="1"/>
    <col min="9218" max="9218" width="2.5546875" style="2" customWidth="1"/>
    <col min="9219" max="9222" width="8.77734375" style="2"/>
    <col min="9223" max="9223" width="4.5546875" style="2" customWidth="1"/>
    <col min="9224" max="9224" width="10.21875" style="2" customWidth="1"/>
    <col min="9225" max="9225" width="3.21875" style="2" customWidth="1"/>
    <col min="9226" max="9226" width="8.77734375" style="2"/>
    <col min="9227" max="9227" width="6.21875" style="2" customWidth="1"/>
    <col min="9228" max="9228" width="3.77734375" style="2" customWidth="1"/>
    <col min="9229" max="9229" width="10.77734375" style="2" customWidth="1"/>
    <col min="9230" max="9230" width="4.21875" style="2" customWidth="1"/>
    <col min="9231" max="9231" width="12.21875" style="2" customWidth="1"/>
    <col min="9232" max="9232" width="10.21875" style="2" customWidth="1"/>
    <col min="9233" max="9233" width="9.21875" style="2" customWidth="1"/>
    <col min="9234" max="9472" width="8.77734375" style="2"/>
    <col min="9473" max="9473" width="4.21875" style="2" customWidth="1"/>
    <col min="9474" max="9474" width="2.5546875" style="2" customWidth="1"/>
    <col min="9475" max="9478" width="8.77734375" style="2"/>
    <col min="9479" max="9479" width="4.5546875" style="2" customWidth="1"/>
    <col min="9480" max="9480" width="10.21875" style="2" customWidth="1"/>
    <col min="9481" max="9481" width="3.21875" style="2" customWidth="1"/>
    <col min="9482" max="9482" width="8.77734375" style="2"/>
    <col min="9483" max="9483" width="6.21875" style="2" customWidth="1"/>
    <col min="9484" max="9484" width="3.77734375" style="2" customWidth="1"/>
    <col min="9485" max="9485" width="10.77734375" style="2" customWidth="1"/>
    <col min="9486" max="9486" width="4.21875" style="2" customWidth="1"/>
    <col min="9487" max="9487" width="12.21875" style="2" customWidth="1"/>
    <col min="9488" max="9488" width="10.21875" style="2" customWidth="1"/>
    <col min="9489" max="9489" width="9.21875" style="2" customWidth="1"/>
    <col min="9490" max="9728" width="8.77734375" style="2"/>
    <col min="9729" max="9729" width="4.21875" style="2" customWidth="1"/>
    <col min="9730" max="9730" width="2.5546875" style="2" customWidth="1"/>
    <col min="9731" max="9734" width="8.77734375" style="2"/>
    <col min="9735" max="9735" width="4.5546875" style="2" customWidth="1"/>
    <col min="9736" max="9736" width="10.21875" style="2" customWidth="1"/>
    <col min="9737" max="9737" width="3.21875" style="2" customWidth="1"/>
    <col min="9738" max="9738" width="8.77734375" style="2"/>
    <col min="9739" max="9739" width="6.21875" style="2" customWidth="1"/>
    <col min="9740" max="9740" width="3.77734375" style="2" customWidth="1"/>
    <col min="9741" max="9741" width="10.77734375" style="2" customWidth="1"/>
    <col min="9742" max="9742" width="4.21875" style="2" customWidth="1"/>
    <col min="9743" max="9743" width="12.21875" style="2" customWidth="1"/>
    <col min="9744" max="9744" width="10.21875" style="2" customWidth="1"/>
    <col min="9745" max="9745" width="9.21875" style="2" customWidth="1"/>
    <col min="9746" max="9984" width="8.77734375" style="2"/>
    <col min="9985" max="9985" width="4.21875" style="2" customWidth="1"/>
    <col min="9986" max="9986" width="2.5546875" style="2" customWidth="1"/>
    <col min="9987" max="9990" width="8.77734375" style="2"/>
    <col min="9991" max="9991" width="4.5546875" style="2" customWidth="1"/>
    <col min="9992" max="9992" width="10.21875" style="2" customWidth="1"/>
    <col min="9993" max="9993" width="3.21875" style="2" customWidth="1"/>
    <col min="9994" max="9994" width="8.77734375" style="2"/>
    <col min="9995" max="9995" width="6.21875" style="2" customWidth="1"/>
    <col min="9996" max="9996" width="3.77734375" style="2" customWidth="1"/>
    <col min="9997" max="9997" width="10.77734375" style="2" customWidth="1"/>
    <col min="9998" max="9998" width="4.21875" style="2" customWidth="1"/>
    <col min="9999" max="9999" width="12.21875" style="2" customWidth="1"/>
    <col min="10000" max="10000" width="10.21875" style="2" customWidth="1"/>
    <col min="10001" max="10001" width="9.21875" style="2" customWidth="1"/>
    <col min="10002" max="10240" width="8.77734375" style="2"/>
    <col min="10241" max="10241" width="4.21875" style="2" customWidth="1"/>
    <col min="10242" max="10242" width="2.5546875" style="2" customWidth="1"/>
    <col min="10243" max="10246" width="8.77734375" style="2"/>
    <col min="10247" max="10247" width="4.5546875" style="2" customWidth="1"/>
    <col min="10248" max="10248" width="10.21875" style="2" customWidth="1"/>
    <col min="10249" max="10249" width="3.21875" style="2" customWidth="1"/>
    <col min="10250" max="10250" width="8.77734375" style="2"/>
    <col min="10251" max="10251" width="6.21875" style="2" customWidth="1"/>
    <col min="10252" max="10252" width="3.77734375" style="2" customWidth="1"/>
    <col min="10253" max="10253" width="10.77734375" style="2" customWidth="1"/>
    <col min="10254" max="10254" width="4.21875" style="2" customWidth="1"/>
    <col min="10255" max="10255" width="12.21875" style="2" customWidth="1"/>
    <col min="10256" max="10256" width="10.21875" style="2" customWidth="1"/>
    <col min="10257" max="10257" width="9.21875" style="2" customWidth="1"/>
    <col min="10258" max="10496" width="8.77734375" style="2"/>
    <col min="10497" max="10497" width="4.21875" style="2" customWidth="1"/>
    <col min="10498" max="10498" width="2.5546875" style="2" customWidth="1"/>
    <col min="10499" max="10502" width="8.77734375" style="2"/>
    <col min="10503" max="10503" width="4.5546875" style="2" customWidth="1"/>
    <col min="10504" max="10504" width="10.21875" style="2" customWidth="1"/>
    <col min="10505" max="10505" width="3.21875" style="2" customWidth="1"/>
    <col min="10506" max="10506" width="8.77734375" style="2"/>
    <col min="10507" max="10507" width="6.21875" style="2" customWidth="1"/>
    <col min="10508" max="10508" width="3.77734375" style="2" customWidth="1"/>
    <col min="10509" max="10509" width="10.77734375" style="2" customWidth="1"/>
    <col min="10510" max="10510" width="4.21875" style="2" customWidth="1"/>
    <col min="10511" max="10511" width="12.21875" style="2" customWidth="1"/>
    <col min="10512" max="10512" width="10.21875" style="2" customWidth="1"/>
    <col min="10513" max="10513" width="9.21875" style="2" customWidth="1"/>
    <col min="10514" max="10752" width="8.77734375" style="2"/>
    <col min="10753" max="10753" width="4.21875" style="2" customWidth="1"/>
    <col min="10754" max="10754" width="2.5546875" style="2" customWidth="1"/>
    <col min="10755" max="10758" width="8.77734375" style="2"/>
    <col min="10759" max="10759" width="4.5546875" style="2" customWidth="1"/>
    <col min="10760" max="10760" width="10.21875" style="2" customWidth="1"/>
    <col min="10761" max="10761" width="3.21875" style="2" customWidth="1"/>
    <col min="10762" max="10762" width="8.77734375" style="2"/>
    <col min="10763" max="10763" width="6.21875" style="2" customWidth="1"/>
    <col min="10764" max="10764" width="3.77734375" style="2" customWidth="1"/>
    <col min="10765" max="10765" width="10.77734375" style="2" customWidth="1"/>
    <col min="10766" max="10766" width="4.21875" style="2" customWidth="1"/>
    <col min="10767" max="10767" width="12.21875" style="2" customWidth="1"/>
    <col min="10768" max="10768" width="10.21875" style="2" customWidth="1"/>
    <col min="10769" max="10769" width="9.21875" style="2" customWidth="1"/>
    <col min="10770" max="11008" width="8.77734375" style="2"/>
    <col min="11009" max="11009" width="4.21875" style="2" customWidth="1"/>
    <col min="11010" max="11010" width="2.5546875" style="2" customWidth="1"/>
    <col min="11011" max="11014" width="8.77734375" style="2"/>
    <col min="11015" max="11015" width="4.5546875" style="2" customWidth="1"/>
    <col min="11016" max="11016" width="10.21875" style="2" customWidth="1"/>
    <col min="11017" max="11017" width="3.21875" style="2" customWidth="1"/>
    <col min="11018" max="11018" width="8.77734375" style="2"/>
    <col min="11019" max="11019" width="6.21875" style="2" customWidth="1"/>
    <col min="11020" max="11020" width="3.77734375" style="2" customWidth="1"/>
    <col min="11021" max="11021" width="10.77734375" style="2" customWidth="1"/>
    <col min="11022" max="11022" width="4.21875" style="2" customWidth="1"/>
    <col min="11023" max="11023" width="12.21875" style="2" customWidth="1"/>
    <col min="11024" max="11024" width="10.21875" style="2" customWidth="1"/>
    <col min="11025" max="11025" width="9.21875" style="2" customWidth="1"/>
    <col min="11026" max="11264" width="8.77734375" style="2"/>
    <col min="11265" max="11265" width="4.21875" style="2" customWidth="1"/>
    <col min="11266" max="11266" width="2.5546875" style="2" customWidth="1"/>
    <col min="11267" max="11270" width="8.77734375" style="2"/>
    <col min="11271" max="11271" width="4.5546875" style="2" customWidth="1"/>
    <col min="11272" max="11272" width="10.21875" style="2" customWidth="1"/>
    <col min="11273" max="11273" width="3.21875" style="2" customWidth="1"/>
    <col min="11274" max="11274" width="8.77734375" style="2"/>
    <col min="11275" max="11275" width="6.21875" style="2" customWidth="1"/>
    <col min="11276" max="11276" width="3.77734375" style="2" customWidth="1"/>
    <col min="11277" max="11277" width="10.77734375" style="2" customWidth="1"/>
    <col min="11278" max="11278" width="4.21875" style="2" customWidth="1"/>
    <col min="11279" max="11279" width="12.21875" style="2" customWidth="1"/>
    <col min="11280" max="11280" width="10.21875" style="2" customWidth="1"/>
    <col min="11281" max="11281" width="9.21875" style="2" customWidth="1"/>
    <col min="11282" max="11520" width="8.77734375" style="2"/>
    <col min="11521" max="11521" width="4.21875" style="2" customWidth="1"/>
    <col min="11522" max="11522" width="2.5546875" style="2" customWidth="1"/>
    <col min="11523" max="11526" width="8.77734375" style="2"/>
    <col min="11527" max="11527" width="4.5546875" style="2" customWidth="1"/>
    <col min="11528" max="11528" width="10.21875" style="2" customWidth="1"/>
    <col min="11529" max="11529" width="3.21875" style="2" customWidth="1"/>
    <col min="11530" max="11530" width="8.77734375" style="2"/>
    <col min="11531" max="11531" width="6.21875" style="2" customWidth="1"/>
    <col min="11532" max="11532" width="3.77734375" style="2" customWidth="1"/>
    <col min="11533" max="11533" width="10.77734375" style="2" customWidth="1"/>
    <col min="11534" max="11534" width="4.21875" style="2" customWidth="1"/>
    <col min="11535" max="11535" width="12.21875" style="2" customWidth="1"/>
    <col min="11536" max="11536" width="10.21875" style="2" customWidth="1"/>
    <col min="11537" max="11537" width="9.21875" style="2" customWidth="1"/>
    <col min="11538" max="11776" width="8.77734375" style="2"/>
    <col min="11777" max="11777" width="4.21875" style="2" customWidth="1"/>
    <col min="11778" max="11778" width="2.5546875" style="2" customWidth="1"/>
    <col min="11779" max="11782" width="8.77734375" style="2"/>
    <col min="11783" max="11783" width="4.5546875" style="2" customWidth="1"/>
    <col min="11784" max="11784" width="10.21875" style="2" customWidth="1"/>
    <col min="11785" max="11785" width="3.21875" style="2" customWidth="1"/>
    <col min="11786" max="11786" width="8.77734375" style="2"/>
    <col min="11787" max="11787" width="6.21875" style="2" customWidth="1"/>
    <col min="11788" max="11788" width="3.77734375" style="2" customWidth="1"/>
    <col min="11789" max="11789" width="10.77734375" style="2" customWidth="1"/>
    <col min="11790" max="11790" width="4.21875" style="2" customWidth="1"/>
    <col min="11791" max="11791" width="12.21875" style="2" customWidth="1"/>
    <col min="11792" max="11792" width="10.21875" style="2" customWidth="1"/>
    <col min="11793" max="11793" width="9.21875" style="2" customWidth="1"/>
    <col min="11794" max="12032" width="8.77734375" style="2"/>
    <col min="12033" max="12033" width="4.21875" style="2" customWidth="1"/>
    <col min="12034" max="12034" width="2.5546875" style="2" customWidth="1"/>
    <col min="12035" max="12038" width="8.77734375" style="2"/>
    <col min="12039" max="12039" width="4.5546875" style="2" customWidth="1"/>
    <col min="12040" max="12040" width="10.21875" style="2" customWidth="1"/>
    <col min="12041" max="12041" width="3.21875" style="2" customWidth="1"/>
    <col min="12042" max="12042" width="8.77734375" style="2"/>
    <col min="12043" max="12043" width="6.21875" style="2" customWidth="1"/>
    <col min="12044" max="12044" width="3.77734375" style="2" customWidth="1"/>
    <col min="12045" max="12045" width="10.77734375" style="2" customWidth="1"/>
    <col min="12046" max="12046" width="4.21875" style="2" customWidth="1"/>
    <col min="12047" max="12047" width="12.21875" style="2" customWidth="1"/>
    <col min="12048" max="12048" width="10.21875" style="2" customWidth="1"/>
    <col min="12049" max="12049" width="9.21875" style="2" customWidth="1"/>
    <col min="12050" max="12288" width="8.77734375" style="2"/>
    <col min="12289" max="12289" width="4.21875" style="2" customWidth="1"/>
    <col min="12290" max="12290" width="2.5546875" style="2" customWidth="1"/>
    <col min="12291" max="12294" width="8.77734375" style="2"/>
    <col min="12295" max="12295" width="4.5546875" style="2" customWidth="1"/>
    <col min="12296" max="12296" width="10.21875" style="2" customWidth="1"/>
    <col min="12297" max="12297" width="3.21875" style="2" customWidth="1"/>
    <col min="12298" max="12298" width="8.77734375" style="2"/>
    <col min="12299" max="12299" width="6.21875" style="2" customWidth="1"/>
    <col min="12300" max="12300" width="3.77734375" style="2" customWidth="1"/>
    <col min="12301" max="12301" width="10.77734375" style="2" customWidth="1"/>
    <col min="12302" max="12302" width="4.21875" style="2" customWidth="1"/>
    <col min="12303" max="12303" width="12.21875" style="2" customWidth="1"/>
    <col min="12304" max="12304" width="10.21875" style="2" customWidth="1"/>
    <col min="12305" max="12305" width="9.21875" style="2" customWidth="1"/>
    <col min="12306" max="12544" width="8.77734375" style="2"/>
    <col min="12545" max="12545" width="4.21875" style="2" customWidth="1"/>
    <col min="12546" max="12546" width="2.5546875" style="2" customWidth="1"/>
    <col min="12547" max="12550" width="8.77734375" style="2"/>
    <col min="12551" max="12551" width="4.5546875" style="2" customWidth="1"/>
    <col min="12552" max="12552" width="10.21875" style="2" customWidth="1"/>
    <col min="12553" max="12553" width="3.21875" style="2" customWidth="1"/>
    <col min="12554" max="12554" width="8.77734375" style="2"/>
    <col min="12555" max="12555" width="6.21875" style="2" customWidth="1"/>
    <col min="12556" max="12556" width="3.77734375" style="2" customWidth="1"/>
    <col min="12557" max="12557" width="10.77734375" style="2" customWidth="1"/>
    <col min="12558" max="12558" width="4.21875" style="2" customWidth="1"/>
    <col min="12559" max="12559" width="12.21875" style="2" customWidth="1"/>
    <col min="12560" max="12560" width="10.21875" style="2" customWidth="1"/>
    <col min="12561" max="12561" width="9.21875" style="2" customWidth="1"/>
    <col min="12562" max="12800" width="8.77734375" style="2"/>
    <col min="12801" max="12801" width="4.21875" style="2" customWidth="1"/>
    <col min="12802" max="12802" width="2.5546875" style="2" customWidth="1"/>
    <col min="12803" max="12806" width="8.77734375" style="2"/>
    <col min="12807" max="12807" width="4.5546875" style="2" customWidth="1"/>
    <col min="12808" max="12808" width="10.21875" style="2" customWidth="1"/>
    <col min="12809" max="12809" width="3.21875" style="2" customWidth="1"/>
    <col min="12810" max="12810" width="8.77734375" style="2"/>
    <col min="12811" max="12811" width="6.21875" style="2" customWidth="1"/>
    <col min="12812" max="12812" width="3.77734375" style="2" customWidth="1"/>
    <col min="12813" max="12813" width="10.77734375" style="2" customWidth="1"/>
    <col min="12814" max="12814" width="4.21875" style="2" customWidth="1"/>
    <col min="12815" max="12815" width="12.21875" style="2" customWidth="1"/>
    <col min="12816" max="12816" width="10.21875" style="2" customWidth="1"/>
    <col min="12817" max="12817" width="9.21875" style="2" customWidth="1"/>
    <col min="12818" max="13056" width="8.77734375" style="2"/>
    <col min="13057" max="13057" width="4.21875" style="2" customWidth="1"/>
    <col min="13058" max="13058" width="2.5546875" style="2" customWidth="1"/>
    <col min="13059" max="13062" width="8.77734375" style="2"/>
    <col min="13063" max="13063" width="4.5546875" style="2" customWidth="1"/>
    <col min="13064" max="13064" width="10.21875" style="2" customWidth="1"/>
    <col min="13065" max="13065" width="3.21875" style="2" customWidth="1"/>
    <col min="13066" max="13066" width="8.77734375" style="2"/>
    <col min="13067" max="13067" width="6.21875" style="2" customWidth="1"/>
    <col min="13068" max="13068" width="3.77734375" style="2" customWidth="1"/>
    <col min="13069" max="13069" width="10.77734375" style="2" customWidth="1"/>
    <col min="13070" max="13070" width="4.21875" style="2" customWidth="1"/>
    <col min="13071" max="13071" width="12.21875" style="2" customWidth="1"/>
    <col min="13072" max="13072" width="10.21875" style="2" customWidth="1"/>
    <col min="13073" max="13073" width="9.21875" style="2" customWidth="1"/>
    <col min="13074" max="13312" width="8.77734375" style="2"/>
    <col min="13313" max="13313" width="4.21875" style="2" customWidth="1"/>
    <col min="13314" max="13314" width="2.5546875" style="2" customWidth="1"/>
    <col min="13315" max="13318" width="8.77734375" style="2"/>
    <col min="13319" max="13319" width="4.5546875" style="2" customWidth="1"/>
    <col min="13320" max="13320" width="10.21875" style="2" customWidth="1"/>
    <col min="13321" max="13321" width="3.21875" style="2" customWidth="1"/>
    <col min="13322" max="13322" width="8.77734375" style="2"/>
    <col min="13323" max="13323" width="6.21875" style="2" customWidth="1"/>
    <col min="13324" max="13324" width="3.77734375" style="2" customWidth="1"/>
    <col min="13325" max="13325" width="10.77734375" style="2" customWidth="1"/>
    <col min="13326" max="13326" width="4.21875" style="2" customWidth="1"/>
    <col min="13327" max="13327" width="12.21875" style="2" customWidth="1"/>
    <col min="13328" max="13328" width="10.21875" style="2" customWidth="1"/>
    <col min="13329" max="13329" width="9.21875" style="2" customWidth="1"/>
    <col min="13330" max="13568" width="8.77734375" style="2"/>
    <col min="13569" max="13569" width="4.21875" style="2" customWidth="1"/>
    <col min="13570" max="13570" width="2.5546875" style="2" customWidth="1"/>
    <col min="13571" max="13574" width="8.77734375" style="2"/>
    <col min="13575" max="13575" width="4.5546875" style="2" customWidth="1"/>
    <col min="13576" max="13576" width="10.21875" style="2" customWidth="1"/>
    <col min="13577" max="13577" width="3.21875" style="2" customWidth="1"/>
    <col min="13578" max="13578" width="8.77734375" style="2"/>
    <col min="13579" max="13579" width="6.21875" style="2" customWidth="1"/>
    <col min="13580" max="13580" width="3.77734375" style="2" customWidth="1"/>
    <col min="13581" max="13581" width="10.77734375" style="2" customWidth="1"/>
    <col min="13582" max="13582" width="4.21875" style="2" customWidth="1"/>
    <col min="13583" max="13583" width="12.21875" style="2" customWidth="1"/>
    <col min="13584" max="13584" width="10.21875" style="2" customWidth="1"/>
    <col min="13585" max="13585" width="9.21875" style="2" customWidth="1"/>
    <col min="13586" max="13824" width="8.77734375" style="2"/>
    <col min="13825" max="13825" width="4.21875" style="2" customWidth="1"/>
    <col min="13826" max="13826" width="2.5546875" style="2" customWidth="1"/>
    <col min="13827" max="13830" width="8.77734375" style="2"/>
    <col min="13831" max="13831" width="4.5546875" style="2" customWidth="1"/>
    <col min="13832" max="13832" width="10.21875" style="2" customWidth="1"/>
    <col min="13833" max="13833" width="3.21875" style="2" customWidth="1"/>
    <col min="13834" max="13834" width="8.77734375" style="2"/>
    <col min="13835" max="13835" width="6.21875" style="2" customWidth="1"/>
    <col min="13836" max="13836" width="3.77734375" style="2" customWidth="1"/>
    <col min="13837" max="13837" width="10.77734375" style="2" customWidth="1"/>
    <col min="13838" max="13838" width="4.21875" style="2" customWidth="1"/>
    <col min="13839" max="13839" width="12.21875" style="2" customWidth="1"/>
    <col min="13840" max="13840" width="10.21875" style="2" customWidth="1"/>
    <col min="13841" max="13841" width="9.21875" style="2" customWidth="1"/>
    <col min="13842" max="14080" width="8.77734375" style="2"/>
    <col min="14081" max="14081" width="4.21875" style="2" customWidth="1"/>
    <col min="14082" max="14082" width="2.5546875" style="2" customWidth="1"/>
    <col min="14083" max="14086" width="8.77734375" style="2"/>
    <col min="14087" max="14087" width="4.5546875" style="2" customWidth="1"/>
    <col min="14088" max="14088" width="10.21875" style="2" customWidth="1"/>
    <col min="14089" max="14089" width="3.21875" style="2" customWidth="1"/>
    <col min="14090" max="14090" width="8.77734375" style="2"/>
    <col min="14091" max="14091" width="6.21875" style="2" customWidth="1"/>
    <col min="14092" max="14092" width="3.77734375" style="2" customWidth="1"/>
    <col min="14093" max="14093" width="10.77734375" style="2" customWidth="1"/>
    <col min="14094" max="14094" width="4.21875" style="2" customWidth="1"/>
    <col min="14095" max="14095" width="12.21875" style="2" customWidth="1"/>
    <col min="14096" max="14096" width="10.21875" style="2" customWidth="1"/>
    <col min="14097" max="14097" width="9.21875" style="2" customWidth="1"/>
    <col min="14098" max="14336" width="8.77734375" style="2"/>
    <col min="14337" max="14337" width="4.21875" style="2" customWidth="1"/>
    <col min="14338" max="14338" width="2.5546875" style="2" customWidth="1"/>
    <col min="14339" max="14342" width="8.77734375" style="2"/>
    <col min="14343" max="14343" width="4.5546875" style="2" customWidth="1"/>
    <col min="14344" max="14344" width="10.21875" style="2" customWidth="1"/>
    <col min="14345" max="14345" width="3.21875" style="2" customWidth="1"/>
    <col min="14346" max="14346" width="8.77734375" style="2"/>
    <col min="14347" max="14347" width="6.21875" style="2" customWidth="1"/>
    <col min="14348" max="14348" width="3.77734375" style="2" customWidth="1"/>
    <col min="14349" max="14349" width="10.77734375" style="2" customWidth="1"/>
    <col min="14350" max="14350" width="4.21875" style="2" customWidth="1"/>
    <col min="14351" max="14351" width="12.21875" style="2" customWidth="1"/>
    <col min="14352" max="14352" width="10.21875" style="2" customWidth="1"/>
    <col min="14353" max="14353" width="9.21875" style="2" customWidth="1"/>
    <col min="14354" max="14592" width="8.77734375" style="2"/>
    <col min="14593" max="14593" width="4.21875" style="2" customWidth="1"/>
    <col min="14594" max="14594" width="2.5546875" style="2" customWidth="1"/>
    <col min="14595" max="14598" width="8.77734375" style="2"/>
    <col min="14599" max="14599" width="4.5546875" style="2" customWidth="1"/>
    <col min="14600" max="14600" width="10.21875" style="2" customWidth="1"/>
    <col min="14601" max="14601" width="3.21875" style="2" customWidth="1"/>
    <col min="14602" max="14602" width="8.77734375" style="2"/>
    <col min="14603" max="14603" width="6.21875" style="2" customWidth="1"/>
    <col min="14604" max="14604" width="3.77734375" style="2" customWidth="1"/>
    <col min="14605" max="14605" width="10.77734375" style="2" customWidth="1"/>
    <col min="14606" max="14606" width="4.21875" style="2" customWidth="1"/>
    <col min="14607" max="14607" width="12.21875" style="2" customWidth="1"/>
    <col min="14608" max="14608" width="10.21875" style="2" customWidth="1"/>
    <col min="14609" max="14609" width="9.21875" style="2" customWidth="1"/>
    <col min="14610" max="14848" width="8.77734375" style="2"/>
    <col min="14849" max="14849" width="4.21875" style="2" customWidth="1"/>
    <col min="14850" max="14850" width="2.5546875" style="2" customWidth="1"/>
    <col min="14851" max="14854" width="8.77734375" style="2"/>
    <col min="14855" max="14855" width="4.5546875" style="2" customWidth="1"/>
    <col min="14856" max="14856" width="10.21875" style="2" customWidth="1"/>
    <col min="14857" max="14857" width="3.21875" style="2" customWidth="1"/>
    <col min="14858" max="14858" width="8.77734375" style="2"/>
    <col min="14859" max="14859" width="6.21875" style="2" customWidth="1"/>
    <col min="14860" max="14860" width="3.77734375" style="2" customWidth="1"/>
    <col min="14861" max="14861" width="10.77734375" style="2" customWidth="1"/>
    <col min="14862" max="14862" width="4.21875" style="2" customWidth="1"/>
    <col min="14863" max="14863" width="12.21875" style="2" customWidth="1"/>
    <col min="14864" max="14864" width="10.21875" style="2" customWidth="1"/>
    <col min="14865" max="14865" width="9.21875" style="2" customWidth="1"/>
    <col min="14866" max="15104" width="8.77734375" style="2"/>
    <col min="15105" max="15105" width="4.21875" style="2" customWidth="1"/>
    <col min="15106" max="15106" width="2.5546875" style="2" customWidth="1"/>
    <col min="15107" max="15110" width="8.77734375" style="2"/>
    <col min="15111" max="15111" width="4.5546875" style="2" customWidth="1"/>
    <col min="15112" max="15112" width="10.21875" style="2" customWidth="1"/>
    <col min="15113" max="15113" width="3.21875" style="2" customWidth="1"/>
    <col min="15114" max="15114" width="8.77734375" style="2"/>
    <col min="15115" max="15115" width="6.21875" style="2" customWidth="1"/>
    <col min="15116" max="15116" width="3.77734375" style="2" customWidth="1"/>
    <col min="15117" max="15117" width="10.77734375" style="2" customWidth="1"/>
    <col min="15118" max="15118" width="4.21875" style="2" customWidth="1"/>
    <col min="15119" max="15119" width="12.21875" style="2" customWidth="1"/>
    <col min="15120" max="15120" width="10.21875" style="2" customWidth="1"/>
    <col min="15121" max="15121" width="9.21875" style="2" customWidth="1"/>
    <col min="15122" max="15360" width="8.77734375" style="2"/>
    <col min="15361" max="15361" width="4.21875" style="2" customWidth="1"/>
    <col min="15362" max="15362" width="2.5546875" style="2" customWidth="1"/>
    <col min="15363" max="15366" width="8.77734375" style="2"/>
    <col min="15367" max="15367" width="4.5546875" style="2" customWidth="1"/>
    <col min="15368" max="15368" width="10.21875" style="2" customWidth="1"/>
    <col min="15369" max="15369" width="3.21875" style="2" customWidth="1"/>
    <col min="15370" max="15370" width="8.77734375" style="2"/>
    <col min="15371" max="15371" width="6.21875" style="2" customWidth="1"/>
    <col min="15372" max="15372" width="3.77734375" style="2" customWidth="1"/>
    <col min="15373" max="15373" width="10.77734375" style="2" customWidth="1"/>
    <col min="15374" max="15374" width="4.21875" style="2" customWidth="1"/>
    <col min="15375" max="15375" width="12.21875" style="2" customWidth="1"/>
    <col min="15376" max="15376" width="10.21875" style="2" customWidth="1"/>
    <col min="15377" max="15377" width="9.21875" style="2" customWidth="1"/>
    <col min="15378" max="15616" width="8.77734375" style="2"/>
    <col min="15617" max="15617" width="4.21875" style="2" customWidth="1"/>
    <col min="15618" max="15618" width="2.5546875" style="2" customWidth="1"/>
    <col min="15619" max="15622" width="8.77734375" style="2"/>
    <col min="15623" max="15623" width="4.5546875" style="2" customWidth="1"/>
    <col min="15624" max="15624" width="10.21875" style="2" customWidth="1"/>
    <col min="15625" max="15625" width="3.21875" style="2" customWidth="1"/>
    <col min="15626" max="15626" width="8.77734375" style="2"/>
    <col min="15627" max="15627" width="6.21875" style="2" customWidth="1"/>
    <col min="15628" max="15628" width="3.77734375" style="2" customWidth="1"/>
    <col min="15629" max="15629" width="10.77734375" style="2" customWidth="1"/>
    <col min="15630" max="15630" width="4.21875" style="2" customWidth="1"/>
    <col min="15631" max="15631" width="12.21875" style="2" customWidth="1"/>
    <col min="15632" max="15632" width="10.21875" style="2" customWidth="1"/>
    <col min="15633" max="15633" width="9.21875" style="2" customWidth="1"/>
    <col min="15634" max="15872" width="8.77734375" style="2"/>
    <col min="15873" max="15873" width="4.21875" style="2" customWidth="1"/>
    <col min="15874" max="15874" width="2.5546875" style="2" customWidth="1"/>
    <col min="15875" max="15878" width="8.77734375" style="2"/>
    <col min="15879" max="15879" width="4.5546875" style="2" customWidth="1"/>
    <col min="15880" max="15880" width="10.21875" style="2" customWidth="1"/>
    <col min="15881" max="15881" width="3.21875" style="2" customWidth="1"/>
    <col min="15882" max="15882" width="8.77734375" style="2"/>
    <col min="15883" max="15883" width="6.21875" style="2" customWidth="1"/>
    <col min="15884" max="15884" width="3.77734375" style="2" customWidth="1"/>
    <col min="15885" max="15885" width="10.77734375" style="2" customWidth="1"/>
    <col min="15886" max="15886" width="4.21875" style="2" customWidth="1"/>
    <col min="15887" max="15887" width="12.21875" style="2" customWidth="1"/>
    <col min="15888" max="15888" width="10.21875" style="2" customWidth="1"/>
    <col min="15889" max="15889" width="9.21875" style="2" customWidth="1"/>
    <col min="15890" max="16128" width="8.77734375" style="2"/>
    <col min="16129" max="16129" width="4.21875" style="2" customWidth="1"/>
    <col min="16130" max="16130" width="2.5546875" style="2" customWidth="1"/>
    <col min="16131" max="16134" width="8.77734375" style="2"/>
    <col min="16135" max="16135" width="4.5546875" style="2" customWidth="1"/>
    <col min="16136" max="16136" width="10.21875" style="2" customWidth="1"/>
    <col min="16137" max="16137" width="3.21875" style="2" customWidth="1"/>
    <col min="16138" max="16138" width="8.77734375" style="2"/>
    <col min="16139" max="16139" width="6.21875" style="2" customWidth="1"/>
    <col min="16140" max="16140" width="3.77734375" style="2" customWidth="1"/>
    <col min="16141" max="16141" width="10.77734375" style="2" customWidth="1"/>
    <col min="16142" max="16142" width="4.21875" style="2" customWidth="1"/>
    <col min="16143" max="16143" width="12.21875" style="2" customWidth="1"/>
    <col min="16144" max="16144" width="10.21875" style="2" customWidth="1"/>
    <col min="16145" max="16145" width="9.21875" style="2" customWidth="1"/>
    <col min="16146" max="16384" width="8.77734375" style="2"/>
  </cols>
  <sheetData>
    <row r="1" spans="1:18" ht="14.25" customHeight="1">
      <c r="A1" s="1220" t="s">
        <v>20</v>
      </c>
      <c r="B1" s="1220"/>
      <c r="C1" s="1220"/>
      <c r="D1" s="1220"/>
      <c r="E1" s="1220"/>
      <c r="F1" s="1220"/>
      <c r="G1" s="1220"/>
      <c r="H1" s="1220"/>
      <c r="I1" s="1220"/>
      <c r="J1" s="1220"/>
      <c r="K1" s="1220"/>
      <c r="L1" s="1220"/>
      <c r="M1" s="1220"/>
      <c r="N1" s="1220"/>
      <c r="O1" s="1220"/>
      <c r="P1" s="49"/>
      <c r="Q1" s="50"/>
      <c r="R1" s="49"/>
    </row>
    <row r="2" spans="1:18" ht="15.6">
      <c r="A2" s="1220" t="s">
        <v>21</v>
      </c>
      <c r="B2" s="1220"/>
      <c r="C2" s="1220"/>
      <c r="D2" s="1220"/>
      <c r="E2" s="1220"/>
      <c r="F2" s="1220"/>
      <c r="G2" s="1220"/>
      <c r="H2" s="1220"/>
      <c r="I2" s="1220"/>
      <c r="J2" s="1220"/>
      <c r="K2" s="1220"/>
      <c r="L2" s="1220"/>
      <c r="M2" s="1220"/>
      <c r="N2" s="1220"/>
      <c r="O2" s="1220"/>
      <c r="P2" s="49"/>
      <c r="Q2" s="50"/>
      <c r="R2" s="49"/>
    </row>
    <row r="3" spans="1:18" ht="15.6">
      <c r="A3" s="1225" t="s">
        <v>41</v>
      </c>
      <c r="B3" s="1225"/>
      <c r="C3" s="1225"/>
      <c r="D3" s="1225"/>
      <c r="E3" s="1225"/>
      <c r="F3" s="1225"/>
      <c r="G3" s="1225"/>
      <c r="H3" s="1225"/>
      <c r="I3" s="1225"/>
      <c r="J3" s="1225"/>
      <c r="K3" s="1225"/>
      <c r="L3" s="1225"/>
      <c r="M3" s="1225"/>
      <c r="N3" s="1225"/>
      <c r="O3" s="1225"/>
    </row>
    <row r="4" spans="1:18" ht="39" customHeight="1">
      <c r="A4" s="33" t="s">
        <v>22</v>
      </c>
      <c r="F4" s="34" t="s">
        <v>23</v>
      </c>
      <c r="H4" s="35" t="s">
        <v>24</v>
      </c>
      <c r="I4" s="36"/>
      <c r="J4" s="1221" t="s">
        <v>25</v>
      </c>
      <c r="K4" s="1217"/>
      <c r="M4" s="3" t="s">
        <v>26</v>
      </c>
      <c r="O4" s="37" t="s">
        <v>27</v>
      </c>
    </row>
    <row r="5" spans="1:18" ht="6.75" customHeight="1"/>
    <row r="6" spans="1:18" ht="15">
      <c r="B6" s="5" t="s">
        <v>6</v>
      </c>
      <c r="F6" s="38">
        <f>IF('Input (8)'!$E$4=0,"0",'Input (8)'!$E$4)</f>
        <v>23.75</v>
      </c>
      <c r="J6" s="1222">
        <f>IF('Input (8)'!E4=0,"0",'Input (8)'!E4)</f>
        <v>23.75</v>
      </c>
      <c r="K6" s="1222"/>
      <c r="L6" s="40" t="s">
        <v>28</v>
      </c>
      <c r="M6" s="41">
        <f>IF('Input (8)'!E4=0,0,LOOKUP(J6,'criteria (8)'!$A$3:$A$10,'criteria (8)'!$B$3:$B$10))</f>
        <v>40</v>
      </c>
      <c r="N6" s="42" t="s">
        <v>29</v>
      </c>
      <c r="O6" s="38">
        <f>IF(Q6=0,0,IF(Q6&lt;LOOKUP(J6,'criteria (8)'!$A$3:$A$10,'criteria (8)'!$C$3:$C$10),LOOKUP(J6,'criteria (8)'!$A$3:$A$10,'criteria (8)'!$C$3:$C$10),IF(LOOKUP(J6,'criteria (8)'!$A$3:$A$10,'criteria (8)'!$C$3:$C$10)=0,0,Q6)))</f>
        <v>0.75</v>
      </c>
      <c r="P6" s="28" t="str">
        <f>IF('Input (8)'!E4=0," ",IF(O6=0,"ADD to 1-6",IF(O6=Q6," ","Minimum")))</f>
        <v>Minimum</v>
      </c>
      <c r="Q6" s="32">
        <f>ROUND(IF('Input (8)'!E4=0,0,IF(M6=0,0,(J6/M6))),2)</f>
        <v>0.59</v>
      </c>
    </row>
    <row r="7" spans="1:18" ht="6.75" customHeight="1">
      <c r="J7" s="43"/>
      <c r="K7" s="43"/>
    </row>
    <row r="8" spans="1:18">
      <c r="B8" s="5" t="s">
        <v>7</v>
      </c>
      <c r="J8" s="43"/>
      <c r="K8" s="43"/>
    </row>
    <row r="9" spans="1:18">
      <c r="B9" s="28" t="s">
        <v>30</v>
      </c>
      <c r="J9" s="43"/>
      <c r="K9" s="43"/>
    </row>
    <row r="10" spans="1:18" ht="16.5" customHeight="1">
      <c r="C10" s="12" t="s">
        <v>8</v>
      </c>
      <c r="F10" s="41" t="str">
        <f>IF(J10=0," ",IF($J$15&gt;300," ",'Input (8)'!E7))</f>
        <v xml:space="preserve"> </v>
      </c>
      <c r="G10" s="44" t="s">
        <v>31</v>
      </c>
      <c r="H10" s="38" t="str">
        <f>IF(J10=0," ",'C (8)'!H25)</f>
        <v xml:space="preserve"> </v>
      </c>
      <c r="I10" s="42" t="s">
        <v>29</v>
      </c>
      <c r="J10" s="1222">
        <f>IF('Input (8)'!E7=0,0,IF(SUM('Input (8)'!E7-'C (8)'!H25)+SUM('Input (8)'!E8-'C (8)'!H26)&gt;299.99,SUM('Input (8)'!E7-'C (8)'!H25),0))</f>
        <v>0</v>
      </c>
      <c r="K10" s="1222"/>
      <c r="L10" s="40" t="s">
        <v>28</v>
      </c>
      <c r="M10" s="41">
        <f>IF(SUM('Input (8)'!$E$7-'C (8)'!$H$25)+SUM('Input (8)'!$E$8-'C (8)'!$H$26)&gt;299.99,20,0)</f>
        <v>0</v>
      </c>
      <c r="N10" s="42" t="s">
        <v>29</v>
      </c>
      <c r="O10" s="41">
        <f>ROUND(IF(SUM('Input (8)'!$E$7-'C (8)'!$H$25)+SUM('Input (8)'!$E$8-'C (8)'!$H$26)&lt;299.99,0,IF(Q10+Q12&lt;15,0,(J10/M10))),2)</f>
        <v>0</v>
      </c>
      <c r="P10" s="2" t="str">
        <f>IF(O10=0," ",IF(O10=Q10," ","Minimum"))</f>
        <v xml:space="preserve"> </v>
      </c>
      <c r="Q10" s="32">
        <f>ROUND(IF(SUM('Input (8)'!$E$7-'C (8)'!$H$25)+SUM('Input (8)'!$E$8-'C (8)'!$H$26)&lt;299.99,0,(J10/M10)),2)</f>
        <v>0</v>
      </c>
    </row>
    <row r="11" spans="1:18" ht="10.5" customHeight="1">
      <c r="B11" s="12"/>
      <c r="J11" s="43"/>
      <c r="K11" s="43"/>
    </row>
    <row r="12" spans="1:18" ht="15">
      <c r="C12" s="12" t="s">
        <v>9</v>
      </c>
      <c r="F12" s="41" t="str">
        <f>IF(J12=0," ",IF($J$15&gt;300," ",'Input (8)'!E8))</f>
        <v xml:space="preserve"> </v>
      </c>
      <c r="G12" s="44" t="s">
        <v>31</v>
      </c>
      <c r="H12" s="38" t="str">
        <f>IF(J12=0," ",'C (8)'!H26)</f>
        <v xml:space="preserve"> </v>
      </c>
      <c r="I12" s="42" t="s">
        <v>29</v>
      </c>
      <c r="J12" s="1222">
        <f>IF('Input (8)'!E8=0,0,IF(SUM('Input (8)'!E7-'C (8)'!H25)+SUM('Input (8)'!E8-'C (8)'!H26)&gt;299.99,SUM('Input (8)'!E8-'C (8)'!H26),0))</f>
        <v>0</v>
      </c>
      <c r="K12" s="1222"/>
      <c r="L12" s="40" t="s">
        <v>28</v>
      </c>
      <c r="M12" s="41">
        <f>IF(SUM('Input (8)'!$E$7-'C (8)'!$H$25)+SUM('Input (8)'!$E$8-'C (8)'!$H$26)&gt;299.99,23,0)</f>
        <v>0</v>
      </c>
      <c r="N12" s="42" t="s">
        <v>29</v>
      </c>
      <c r="O12" s="41">
        <f>ROUND(IF(SUM('Input (8)'!$E$7-'C (8)'!$H$25)+SUM('Input (8)'!$E$8-'C (8)'!$H$26)&lt;299.99,0,IF(Q10+Q12&lt;15,0,($J$12/$M$12))),2)</f>
        <v>0</v>
      </c>
      <c r="P12" s="2" t="str">
        <f>IF(O12=0," ",IF(O12=Q12," ","Minimum"))</f>
        <v xml:space="preserve"> </v>
      </c>
      <c r="Q12" s="32">
        <f>ROUND(IF(SUM('Input (8)'!$E$7-'C (8)'!$H$25)+SUM('Input (8)'!$E$8-'C (8)'!$H$26)&lt;299.99,0,($J$12/$M$12)),2)</f>
        <v>0</v>
      </c>
    </row>
    <row r="13" spans="1:18">
      <c r="O13" s="36" t="str">
        <f>IF(P13="Minimum",15," ")</f>
        <v xml:space="preserve"> </v>
      </c>
      <c r="P13" s="2" t="str">
        <f>IF(Q10+Q12=0," ",IF(Q10+Q12&lt;15,"Minimum"," "))</f>
        <v xml:space="preserve"> </v>
      </c>
    </row>
    <row r="14" spans="1:18">
      <c r="B14" s="5" t="s">
        <v>7</v>
      </c>
    </row>
    <row r="15" spans="1:18">
      <c r="B15" s="28" t="s">
        <v>32</v>
      </c>
    </row>
    <row r="16" spans="1:18" ht="15">
      <c r="C16" s="12" t="s">
        <v>33</v>
      </c>
      <c r="F16" s="41">
        <f>IF(J16=0," ",IF(J16&lt;300,SUM('Input (8)'!E7+'Input (8)'!E8)," "))</f>
        <v>142.5</v>
      </c>
      <c r="G16" s="44" t="s">
        <v>31</v>
      </c>
      <c r="H16" s="38">
        <f>IF(J16=0," ",'C (8)'!H22)</f>
        <v>10.5</v>
      </c>
      <c r="I16" s="42" t="s">
        <v>29</v>
      </c>
      <c r="J16" s="1222">
        <f>IF('Input (8)'!E9=0,0,IF(SUM('Input (8)'!E7-'C (8)'!H25)+SUM('Input (8)'!E8-'C (8)'!H26)&lt;300,IF(P6="ADD to 1-6",SUM('Input (8)'!E7-'C (8)'!H25)+SUM('Input (8)'!E8-'C (8)'!H26)+'Input (8)'!E4,SUM('Input (8)'!E7-'C (8)'!H25)+SUM('Input (8)'!E8-'C (8)'!H26)),0))</f>
        <v>132</v>
      </c>
      <c r="K16" s="1222"/>
      <c r="L16" s="40" t="s">
        <v>28</v>
      </c>
      <c r="M16" s="41">
        <f>IF(J16=0,0,LOOKUP(J16,'criteria (8)'!$M$3:$M$11,'criteria (8)'!$N$3:$N$11))</f>
        <v>19</v>
      </c>
      <c r="N16" s="42" t="s">
        <v>29</v>
      </c>
      <c r="O16" s="38">
        <f>IF(Q16=0,0,IF(Q16&lt;LOOKUP(J16,'criteria (8)'!$M$3:$M$10,'criteria (8)'!$O$3:$O$10),LOOKUP(J16,'criteria (8)'!$M$3:$M$10,'criteria (8)'!$O$3:$O$10),Q16))</f>
        <v>6.95</v>
      </c>
      <c r="P16" s="2" t="str">
        <f>IF(O16=0," ",IF(O16=Q16," ","Minimum"))</f>
        <v xml:space="preserve"> </v>
      </c>
      <c r="Q16" s="32">
        <f>ROUND(IF('Input (8)'!E9=0,0,IF(SUM('Input (8)'!$E$7-'C (8)'!$H$25)+SUM('Input (8)'!$E$8-'C (8)'!$H$26)&gt;299.99,0,(J16/M16))),2)</f>
        <v>6.95</v>
      </c>
    </row>
    <row r="17" spans="1:17" ht="6" customHeight="1">
      <c r="J17" s="43"/>
      <c r="K17" s="43"/>
    </row>
    <row r="18" spans="1:17" ht="15">
      <c r="B18" s="5" t="s">
        <v>10</v>
      </c>
      <c r="F18" s="38">
        <f>IF('Input (8)'!$E$10=0,0,'Input (8)'!$E$10)</f>
        <v>142.5</v>
      </c>
      <c r="G18" s="44" t="s">
        <v>31</v>
      </c>
      <c r="H18" s="51"/>
      <c r="I18" s="42" t="s">
        <v>29</v>
      </c>
      <c r="J18" s="1222">
        <f>IF('Input (8)'!$E$10=0,0,'Input (8)'!$E$10)</f>
        <v>142.5</v>
      </c>
      <c r="K18" s="1222"/>
      <c r="L18" s="40" t="s">
        <v>28</v>
      </c>
      <c r="M18" s="41">
        <f>IF('Input (8)'!C10=0,0,IF(J18&gt;99.99,LOOKUP(J18,'criteria (8)'!Q3:Q10,'criteria (8)'!R3:R10),12))</f>
        <v>12</v>
      </c>
      <c r="N18" s="42" t="s">
        <v>29</v>
      </c>
      <c r="O18" s="41">
        <f>ROUND(IF(J18=0,0,IF(J18&lt;99.99,IF(M18=0,8,(J18/M18)),IF(Q18&lt;LOOKUP(J18,'criteria (8)'!$Q$3:$Q$10,'criteria (8)'!$S$3:$S$10),LOOKUP(J18,'criteria (8)'!$Q$3:$Q$10,'criteria (8)'!$S$3:$S$10),Q18))),2)</f>
        <v>11.88</v>
      </c>
      <c r="P18" s="2" t="str">
        <f>IF(O18=0," ",IF(O18=Q18," ","Minimum"))</f>
        <v xml:space="preserve"> </v>
      </c>
      <c r="Q18" s="32">
        <f>ROUND(IF(M18=0,0,(J18/M18)),2)</f>
        <v>11.88</v>
      </c>
    </row>
    <row r="19" spans="1:17">
      <c r="B19" s="5"/>
      <c r="J19" s="39"/>
      <c r="K19" s="39"/>
      <c r="M19" s="36"/>
      <c r="N19" s="42"/>
      <c r="O19" s="36"/>
    </row>
    <row r="20" spans="1:17" ht="15">
      <c r="A20" s="45" t="s">
        <v>34</v>
      </c>
      <c r="J20" s="43"/>
      <c r="K20" s="43"/>
    </row>
    <row r="21" spans="1:17" ht="3.75" customHeight="1">
      <c r="J21" s="43"/>
      <c r="K21" s="43"/>
    </row>
    <row r="22" spans="1:17">
      <c r="B22" s="2" t="s">
        <v>35</v>
      </c>
      <c r="J22" s="1222" t="str">
        <f>IF('C (8)'!H55=0," ",'C (8)'!H55)</f>
        <v xml:space="preserve"> </v>
      </c>
      <c r="K22" s="1222"/>
    </row>
    <row r="23" spans="1:17" ht="7.5" customHeight="1">
      <c r="J23" s="43"/>
      <c r="K23" s="43"/>
    </row>
    <row r="24" spans="1:17">
      <c r="B24" s="2" t="s">
        <v>36</v>
      </c>
      <c r="J24" s="1222">
        <f>IF('C (8)'!H22=0," ",'C (8)'!H22)</f>
        <v>10.5</v>
      </c>
      <c r="K24" s="1222"/>
    </row>
    <row r="25" spans="1:17" ht="7.5" customHeight="1">
      <c r="J25" s="43"/>
      <c r="K25" s="43"/>
    </row>
    <row r="26" spans="1:17">
      <c r="B26" s="2" t="s">
        <v>37</v>
      </c>
      <c r="J26" s="1222">
        <f>0</f>
        <v>0</v>
      </c>
      <c r="K26" s="1222"/>
    </row>
    <row r="27" spans="1:17" ht="7.5" customHeight="1">
      <c r="J27" s="43"/>
      <c r="K27" s="43"/>
    </row>
    <row r="28" spans="1:17" ht="6" customHeight="1">
      <c r="J28" s="39"/>
      <c r="K28" s="39"/>
    </row>
    <row r="29" spans="1:17" ht="15.6" thickBot="1">
      <c r="B29" s="46" t="s">
        <v>38</v>
      </c>
      <c r="J29" s="1219">
        <f>SUM(J22:K27)</f>
        <v>10.5</v>
      </c>
      <c r="K29" s="1219"/>
      <c r="L29" s="40" t="s">
        <v>28</v>
      </c>
      <c r="M29" s="41">
        <f>IF(SUM('Input (8)'!C4:C10)=0,0,IF(J29&gt;=14,LOOKUP(J29,'criteria (8)'!$U$3:$U$10,'criteria (8)'!$V$3:$V$10),0))</f>
        <v>0</v>
      </c>
      <c r="N29" s="42" t="s">
        <v>29</v>
      </c>
      <c r="O29" s="41">
        <f>IF(J29=0,0,IF(Q29&lt;LOOKUP(J29,'criteria (8)'!$U$3:$U$10,'criteria (8)'!$W$3:$W$10),LOOKUP(J29,'criteria (8)'!$U$3:$U$10,'criteria (8)'!$W$3:$W$10),Q29))</f>
        <v>0.75</v>
      </c>
      <c r="P29" s="2" t="str">
        <f>IF(O29=0," ",IF(O29=Q29," ","Minimum"))</f>
        <v>Minimum</v>
      </c>
      <c r="Q29" s="32">
        <f>ROUND(IF(SUM('Input (8)'!C4:C10)=0,0,IF(M29=0,0,(J29/M29))),2)</f>
        <v>0</v>
      </c>
    </row>
    <row r="30" spans="1:17" ht="11.25" customHeight="1" thickTop="1">
      <c r="B30" s="46"/>
      <c r="J30" s="39"/>
      <c r="K30" s="39"/>
      <c r="L30" s="40"/>
      <c r="M30" s="36"/>
      <c r="N30" s="42"/>
      <c r="O30" s="36"/>
    </row>
    <row r="31" spans="1:17" ht="19.5" customHeight="1">
      <c r="A31" s="48" t="s">
        <v>39</v>
      </c>
    </row>
    <row r="32" spans="1:17" ht="15">
      <c r="B32" s="1223" t="str">
        <f>IF('Input (8)'!E14=0," ","Alternative Secondary High School")</f>
        <v xml:space="preserve"> </v>
      </c>
      <c r="C32" s="1223"/>
      <c r="D32" s="1223"/>
      <c r="E32" s="1223"/>
      <c r="F32" s="1223"/>
      <c r="G32" s="1223"/>
      <c r="H32" s="1223"/>
      <c r="J32" s="1222">
        <f>'Input (8)'!E14</f>
        <v>0</v>
      </c>
      <c r="K32" s="1222"/>
      <c r="L32" s="40" t="s">
        <v>28</v>
      </c>
      <c r="M32" s="41">
        <f>IF(J32=0,0,IF(Q32&lt;1,M18,12))</f>
        <v>0</v>
      </c>
      <c r="N32" s="42" t="s">
        <v>29</v>
      </c>
      <c r="O32" s="38">
        <f>ROUND(IF(J32=0,0,J32/M32),2)</f>
        <v>0</v>
      </c>
      <c r="P32" s="45"/>
      <c r="Q32" s="32">
        <f>ROUND(IF(J32=0,0,J32/12),2)</f>
        <v>0</v>
      </c>
    </row>
    <row r="33" spans="1:17" ht="11.25" customHeight="1">
      <c r="J33" s="43"/>
      <c r="K33" s="43"/>
      <c r="O33" s="43"/>
    </row>
    <row r="34" spans="1:17" ht="11.25" customHeight="1">
      <c r="B34" s="1223" t="str">
        <f>IF('Input (8)'!E15=0," ","Summer Alternative Secondary High School")</f>
        <v xml:space="preserve"> </v>
      </c>
      <c r="C34" s="1223"/>
      <c r="D34" s="1223"/>
      <c r="E34" s="1223"/>
      <c r="F34" s="1223"/>
      <c r="G34" s="1223"/>
      <c r="J34" s="1222">
        <f>'Input (8)'!E15</f>
        <v>0</v>
      </c>
      <c r="K34" s="1222"/>
      <c r="L34" s="40" t="s">
        <v>28</v>
      </c>
      <c r="M34" s="41">
        <f>IF(J34=0,0,40)</f>
        <v>0</v>
      </c>
      <c r="N34" s="42" t="s">
        <v>29</v>
      </c>
      <c r="O34" s="38">
        <f>ROUND(IF(J34=0,0,J34/M34),2)</f>
        <v>0</v>
      </c>
      <c r="P34" s="45"/>
      <c r="Q34" s="32">
        <f>ROUND(IF(J34=0,0,J34/12),2)</f>
        <v>0</v>
      </c>
    </row>
    <row r="35" spans="1:17" ht="13.5" customHeight="1">
      <c r="J35" s="36"/>
      <c r="K35" s="36"/>
      <c r="L35" s="40"/>
      <c r="M35" s="36"/>
      <c r="N35" s="42"/>
      <c r="O35" s="36"/>
      <c r="P35" s="46"/>
    </row>
    <row r="36" spans="1:17" ht="18.75" customHeight="1" thickBot="1">
      <c r="A36" s="45"/>
      <c r="B36" s="12" t="s">
        <v>40</v>
      </c>
      <c r="C36" s="46"/>
      <c r="D36" s="46"/>
      <c r="E36" s="46"/>
      <c r="F36" s="46"/>
      <c r="G36" s="46"/>
      <c r="H36" s="46"/>
      <c r="I36" s="46"/>
      <c r="J36" s="46"/>
      <c r="K36" s="46"/>
      <c r="M36" s="36" t="s">
        <v>29</v>
      </c>
      <c r="N36" s="1224">
        <f>ROUND(IF(SUM(O6:O34)=0,0,SUM(O6:O34)),2)</f>
        <v>20.329999999999998</v>
      </c>
      <c r="O36" s="1224"/>
    </row>
    <row r="37" spans="1:17" ht="13.8" thickTop="1">
      <c r="M37" s="1218" t="str">
        <f>IF(N36=0," ",IF(N36&lt;'Current Year (8)'!N36,"Do Not Use","You May Use this Calculation"))</f>
        <v>You May Use this Calculation</v>
      </c>
      <c r="N37" s="1218"/>
      <c r="O37" s="1218"/>
      <c r="P37" s="1218"/>
    </row>
  </sheetData>
  <sheetProtection password="CC16" sheet="1" objects="1" scenarios="1"/>
  <mergeCells count="19">
    <mergeCell ref="M37:P37"/>
    <mergeCell ref="J29:K29"/>
    <mergeCell ref="B32:H32"/>
    <mergeCell ref="J32:K32"/>
    <mergeCell ref="B34:G34"/>
    <mergeCell ref="J34:K34"/>
    <mergeCell ref="N36:O36"/>
    <mergeCell ref="J26:K26"/>
    <mergeCell ref="A1:O1"/>
    <mergeCell ref="A2:O2"/>
    <mergeCell ref="A3:O3"/>
    <mergeCell ref="J4:K4"/>
    <mergeCell ref="J6:K6"/>
    <mergeCell ref="J10:K10"/>
    <mergeCell ref="J12:K12"/>
    <mergeCell ref="J16:K16"/>
    <mergeCell ref="J18:K18"/>
    <mergeCell ref="J22:K22"/>
    <mergeCell ref="J24:K24"/>
  </mergeCells>
  <conditionalFormatting sqref="M37:P37">
    <cfRule type="cellIs" dxfId="3" priority="1" stopIfTrue="1" operator="equal">
      <formula>"Do Not Use"</formula>
    </cfRule>
    <cfRule type="cellIs" dxfId="2" priority="2" stopIfTrue="1" operator="equal">
      <formula>"You May Use this Calculation"</formula>
    </cfRule>
  </conditionalFormatting>
  <pageMargins left="0.5" right="0.5" top="0.5" bottom="0.5" header="0.25" footer="0.25"/>
  <pageSetup scale="82" orientation="portrait" r:id="rId1"/>
  <headerFooter alignWithMargins="0">
    <oddFooter>&amp;L&amp;F</oddFooter>
  </headerFooter>
  <colBreaks count="1" manualBreakCount="1">
    <brk id="16" max="1048575" man="1"/>
  </col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8"/>
  <dimension ref="A1:R37"/>
  <sheetViews>
    <sheetView showGridLines="0" zoomScale="90" zoomScaleNormal="100" workbookViewId="0">
      <selection activeCell="O36" sqref="O36"/>
    </sheetView>
  </sheetViews>
  <sheetFormatPr defaultRowHeight="13.2"/>
  <cols>
    <col min="1" max="1" width="4.21875" style="30" customWidth="1"/>
    <col min="2" max="2" width="2.5546875" style="2" customWidth="1"/>
    <col min="3" max="4" width="8.77734375" style="2"/>
    <col min="5" max="5" width="7.21875" style="2" customWidth="1"/>
    <col min="6" max="6" width="8.21875" style="2" customWidth="1"/>
    <col min="7" max="8" width="10.21875" style="2" customWidth="1"/>
    <col min="9" max="9" width="3.77734375" style="2" customWidth="1"/>
    <col min="10" max="10" width="8.77734375" style="2"/>
    <col min="11" max="11" width="6.21875" style="2" customWidth="1"/>
    <col min="12" max="12" width="5.5546875" style="2" customWidth="1"/>
    <col min="13" max="13" width="10.77734375" style="2" customWidth="1"/>
    <col min="14" max="14" width="8.21875" style="2" customWidth="1"/>
    <col min="15" max="15" width="12.21875" style="2" customWidth="1"/>
    <col min="16" max="16" width="10.21875" style="2" customWidth="1"/>
    <col min="17" max="17" width="9.21875" style="32" customWidth="1"/>
    <col min="18" max="256" width="8.77734375" style="2"/>
    <col min="257" max="257" width="4.21875" style="2" customWidth="1"/>
    <col min="258" max="258" width="2.5546875" style="2" customWidth="1"/>
    <col min="259" max="260" width="8.77734375" style="2"/>
    <col min="261" max="261" width="7.21875" style="2" customWidth="1"/>
    <col min="262" max="262" width="8.21875" style="2" customWidth="1"/>
    <col min="263" max="264" width="10.21875" style="2" customWidth="1"/>
    <col min="265" max="265" width="3.77734375" style="2" customWidth="1"/>
    <col min="266" max="266" width="8.77734375" style="2"/>
    <col min="267" max="267" width="6.21875" style="2" customWidth="1"/>
    <col min="268" max="268" width="5.5546875" style="2" customWidth="1"/>
    <col min="269" max="269" width="10.77734375" style="2" customWidth="1"/>
    <col min="270" max="270" width="8.21875" style="2" customWidth="1"/>
    <col min="271" max="271" width="12.21875" style="2" customWidth="1"/>
    <col min="272" max="272" width="10.21875" style="2" customWidth="1"/>
    <col min="273" max="273" width="9.21875" style="2" customWidth="1"/>
    <col min="274" max="512" width="8.77734375" style="2"/>
    <col min="513" max="513" width="4.21875" style="2" customWidth="1"/>
    <col min="514" max="514" width="2.5546875" style="2" customWidth="1"/>
    <col min="515" max="516" width="8.77734375" style="2"/>
    <col min="517" max="517" width="7.21875" style="2" customWidth="1"/>
    <col min="518" max="518" width="8.21875" style="2" customWidth="1"/>
    <col min="519" max="520" width="10.21875" style="2" customWidth="1"/>
    <col min="521" max="521" width="3.77734375" style="2" customWidth="1"/>
    <col min="522" max="522" width="8.77734375" style="2"/>
    <col min="523" max="523" width="6.21875" style="2" customWidth="1"/>
    <col min="524" max="524" width="5.5546875" style="2" customWidth="1"/>
    <col min="525" max="525" width="10.77734375" style="2" customWidth="1"/>
    <col min="526" max="526" width="8.21875" style="2" customWidth="1"/>
    <col min="527" max="527" width="12.21875" style="2" customWidth="1"/>
    <col min="528" max="528" width="10.21875" style="2" customWidth="1"/>
    <col min="529" max="529" width="9.21875" style="2" customWidth="1"/>
    <col min="530" max="768" width="8.77734375" style="2"/>
    <col min="769" max="769" width="4.21875" style="2" customWidth="1"/>
    <col min="770" max="770" width="2.5546875" style="2" customWidth="1"/>
    <col min="771" max="772" width="8.77734375" style="2"/>
    <col min="773" max="773" width="7.21875" style="2" customWidth="1"/>
    <col min="774" max="774" width="8.21875" style="2" customWidth="1"/>
    <col min="775" max="776" width="10.21875" style="2" customWidth="1"/>
    <col min="777" max="777" width="3.77734375" style="2" customWidth="1"/>
    <col min="778" max="778" width="8.77734375" style="2"/>
    <col min="779" max="779" width="6.21875" style="2" customWidth="1"/>
    <col min="780" max="780" width="5.5546875" style="2" customWidth="1"/>
    <col min="781" max="781" width="10.77734375" style="2" customWidth="1"/>
    <col min="782" max="782" width="8.21875" style="2" customWidth="1"/>
    <col min="783" max="783" width="12.21875" style="2" customWidth="1"/>
    <col min="784" max="784" width="10.21875" style="2" customWidth="1"/>
    <col min="785" max="785" width="9.21875" style="2" customWidth="1"/>
    <col min="786" max="1024" width="8.77734375" style="2"/>
    <col min="1025" max="1025" width="4.21875" style="2" customWidth="1"/>
    <col min="1026" max="1026" width="2.5546875" style="2" customWidth="1"/>
    <col min="1027" max="1028" width="8.77734375" style="2"/>
    <col min="1029" max="1029" width="7.21875" style="2" customWidth="1"/>
    <col min="1030" max="1030" width="8.21875" style="2" customWidth="1"/>
    <col min="1031" max="1032" width="10.21875" style="2" customWidth="1"/>
    <col min="1033" max="1033" width="3.77734375" style="2" customWidth="1"/>
    <col min="1034" max="1034" width="8.77734375" style="2"/>
    <col min="1035" max="1035" width="6.21875" style="2" customWidth="1"/>
    <col min="1036" max="1036" width="5.5546875" style="2" customWidth="1"/>
    <col min="1037" max="1037" width="10.77734375" style="2" customWidth="1"/>
    <col min="1038" max="1038" width="8.21875" style="2" customWidth="1"/>
    <col min="1039" max="1039" width="12.21875" style="2" customWidth="1"/>
    <col min="1040" max="1040" width="10.21875" style="2" customWidth="1"/>
    <col min="1041" max="1041" width="9.21875" style="2" customWidth="1"/>
    <col min="1042" max="1280" width="8.77734375" style="2"/>
    <col min="1281" max="1281" width="4.21875" style="2" customWidth="1"/>
    <col min="1282" max="1282" width="2.5546875" style="2" customWidth="1"/>
    <col min="1283" max="1284" width="8.77734375" style="2"/>
    <col min="1285" max="1285" width="7.21875" style="2" customWidth="1"/>
    <col min="1286" max="1286" width="8.21875" style="2" customWidth="1"/>
    <col min="1287" max="1288" width="10.21875" style="2" customWidth="1"/>
    <col min="1289" max="1289" width="3.77734375" style="2" customWidth="1"/>
    <col min="1290" max="1290" width="8.77734375" style="2"/>
    <col min="1291" max="1291" width="6.21875" style="2" customWidth="1"/>
    <col min="1292" max="1292" width="5.5546875" style="2" customWidth="1"/>
    <col min="1293" max="1293" width="10.77734375" style="2" customWidth="1"/>
    <col min="1294" max="1294" width="8.21875" style="2" customWidth="1"/>
    <col min="1295" max="1295" width="12.21875" style="2" customWidth="1"/>
    <col min="1296" max="1296" width="10.21875" style="2" customWidth="1"/>
    <col min="1297" max="1297" width="9.21875" style="2" customWidth="1"/>
    <col min="1298" max="1536" width="8.77734375" style="2"/>
    <col min="1537" max="1537" width="4.21875" style="2" customWidth="1"/>
    <col min="1538" max="1538" width="2.5546875" style="2" customWidth="1"/>
    <col min="1539" max="1540" width="8.77734375" style="2"/>
    <col min="1541" max="1541" width="7.21875" style="2" customWidth="1"/>
    <col min="1542" max="1542" width="8.21875" style="2" customWidth="1"/>
    <col min="1543" max="1544" width="10.21875" style="2" customWidth="1"/>
    <col min="1545" max="1545" width="3.77734375" style="2" customWidth="1"/>
    <col min="1546" max="1546" width="8.77734375" style="2"/>
    <col min="1547" max="1547" width="6.21875" style="2" customWidth="1"/>
    <col min="1548" max="1548" width="5.5546875" style="2" customWidth="1"/>
    <col min="1549" max="1549" width="10.77734375" style="2" customWidth="1"/>
    <col min="1550" max="1550" width="8.21875" style="2" customWidth="1"/>
    <col min="1551" max="1551" width="12.21875" style="2" customWidth="1"/>
    <col min="1552" max="1552" width="10.21875" style="2" customWidth="1"/>
    <col min="1553" max="1553" width="9.21875" style="2" customWidth="1"/>
    <col min="1554" max="1792" width="8.77734375" style="2"/>
    <col min="1793" max="1793" width="4.21875" style="2" customWidth="1"/>
    <col min="1794" max="1794" width="2.5546875" style="2" customWidth="1"/>
    <col min="1795" max="1796" width="8.77734375" style="2"/>
    <col min="1797" max="1797" width="7.21875" style="2" customWidth="1"/>
    <col min="1798" max="1798" width="8.21875" style="2" customWidth="1"/>
    <col min="1799" max="1800" width="10.21875" style="2" customWidth="1"/>
    <col min="1801" max="1801" width="3.77734375" style="2" customWidth="1"/>
    <col min="1802" max="1802" width="8.77734375" style="2"/>
    <col min="1803" max="1803" width="6.21875" style="2" customWidth="1"/>
    <col min="1804" max="1804" width="5.5546875" style="2" customWidth="1"/>
    <col min="1805" max="1805" width="10.77734375" style="2" customWidth="1"/>
    <col min="1806" max="1806" width="8.21875" style="2" customWidth="1"/>
    <col min="1807" max="1807" width="12.21875" style="2" customWidth="1"/>
    <col min="1808" max="1808" width="10.21875" style="2" customWidth="1"/>
    <col min="1809" max="1809" width="9.21875" style="2" customWidth="1"/>
    <col min="1810" max="2048" width="8.77734375" style="2"/>
    <col min="2049" max="2049" width="4.21875" style="2" customWidth="1"/>
    <col min="2050" max="2050" width="2.5546875" style="2" customWidth="1"/>
    <col min="2051" max="2052" width="8.77734375" style="2"/>
    <col min="2053" max="2053" width="7.21875" style="2" customWidth="1"/>
    <col min="2054" max="2054" width="8.21875" style="2" customWidth="1"/>
    <col min="2055" max="2056" width="10.21875" style="2" customWidth="1"/>
    <col min="2057" max="2057" width="3.77734375" style="2" customWidth="1"/>
    <col min="2058" max="2058" width="8.77734375" style="2"/>
    <col min="2059" max="2059" width="6.21875" style="2" customWidth="1"/>
    <col min="2060" max="2060" width="5.5546875" style="2" customWidth="1"/>
    <col min="2061" max="2061" width="10.77734375" style="2" customWidth="1"/>
    <col min="2062" max="2062" width="8.21875" style="2" customWidth="1"/>
    <col min="2063" max="2063" width="12.21875" style="2" customWidth="1"/>
    <col min="2064" max="2064" width="10.21875" style="2" customWidth="1"/>
    <col min="2065" max="2065" width="9.21875" style="2" customWidth="1"/>
    <col min="2066" max="2304" width="8.77734375" style="2"/>
    <col min="2305" max="2305" width="4.21875" style="2" customWidth="1"/>
    <col min="2306" max="2306" width="2.5546875" style="2" customWidth="1"/>
    <col min="2307" max="2308" width="8.77734375" style="2"/>
    <col min="2309" max="2309" width="7.21875" style="2" customWidth="1"/>
    <col min="2310" max="2310" width="8.21875" style="2" customWidth="1"/>
    <col min="2311" max="2312" width="10.21875" style="2" customWidth="1"/>
    <col min="2313" max="2313" width="3.77734375" style="2" customWidth="1"/>
    <col min="2314" max="2314" width="8.77734375" style="2"/>
    <col min="2315" max="2315" width="6.21875" style="2" customWidth="1"/>
    <col min="2316" max="2316" width="5.5546875" style="2" customWidth="1"/>
    <col min="2317" max="2317" width="10.77734375" style="2" customWidth="1"/>
    <col min="2318" max="2318" width="8.21875" style="2" customWidth="1"/>
    <col min="2319" max="2319" width="12.21875" style="2" customWidth="1"/>
    <col min="2320" max="2320" width="10.21875" style="2" customWidth="1"/>
    <col min="2321" max="2321" width="9.21875" style="2" customWidth="1"/>
    <col min="2322" max="2560" width="8.77734375" style="2"/>
    <col min="2561" max="2561" width="4.21875" style="2" customWidth="1"/>
    <col min="2562" max="2562" width="2.5546875" style="2" customWidth="1"/>
    <col min="2563" max="2564" width="8.77734375" style="2"/>
    <col min="2565" max="2565" width="7.21875" style="2" customWidth="1"/>
    <col min="2566" max="2566" width="8.21875" style="2" customWidth="1"/>
    <col min="2567" max="2568" width="10.21875" style="2" customWidth="1"/>
    <col min="2569" max="2569" width="3.77734375" style="2" customWidth="1"/>
    <col min="2570" max="2570" width="8.77734375" style="2"/>
    <col min="2571" max="2571" width="6.21875" style="2" customWidth="1"/>
    <col min="2572" max="2572" width="5.5546875" style="2" customWidth="1"/>
    <col min="2573" max="2573" width="10.77734375" style="2" customWidth="1"/>
    <col min="2574" max="2574" width="8.21875" style="2" customWidth="1"/>
    <col min="2575" max="2575" width="12.21875" style="2" customWidth="1"/>
    <col min="2576" max="2576" width="10.21875" style="2" customWidth="1"/>
    <col min="2577" max="2577" width="9.21875" style="2" customWidth="1"/>
    <col min="2578" max="2816" width="8.77734375" style="2"/>
    <col min="2817" max="2817" width="4.21875" style="2" customWidth="1"/>
    <col min="2818" max="2818" width="2.5546875" style="2" customWidth="1"/>
    <col min="2819" max="2820" width="8.77734375" style="2"/>
    <col min="2821" max="2821" width="7.21875" style="2" customWidth="1"/>
    <col min="2822" max="2822" width="8.21875" style="2" customWidth="1"/>
    <col min="2823" max="2824" width="10.21875" style="2" customWidth="1"/>
    <col min="2825" max="2825" width="3.77734375" style="2" customWidth="1"/>
    <col min="2826" max="2826" width="8.77734375" style="2"/>
    <col min="2827" max="2827" width="6.21875" style="2" customWidth="1"/>
    <col min="2828" max="2828" width="5.5546875" style="2" customWidth="1"/>
    <col min="2829" max="2829" width="10.77734375" style="2" customWidth="1"/>
    <col min="2830" max="2830" width="8.21875" style="2" customWidth="1"/>
    <col min="2831" max="2831" width="12.21875" style="2" customWidth="1"/>
    <col min="2832" max="2832" width="10.21875" style="2" customWidth="1"/>
    <col min="2833" max="2833" width="9.21875" style="2" customWidth="1"/>
    <col min="2834" max="3072" width="8.77734375" style="2"/>
    <col min="3073" max="3073" width="4.21875" style="2" customWidth="1"/>
    <col min="3074" max="3074" width="2.5546875" style="2" customWidth="1"/>
    <col min="3075" max="3076" width="8.77734375" style="2"/>
    <col min="3077" max="3077" width="7.21875" style="2" customWidth="1"/>
    <col min="3078" max="3078" width="8.21875" style="2" customWidth="1"/>
    <col min="3079" max="3080" width="10.21875" style="2" customWidth="1"/>
    <col min="3081" max="3081" width="3.77734375" style="2" customWidth="1"/>
    <col min="3082" max="3082" width="8.77734375" style="2"/>
    <col min="3083" max="3083" width="6.21875" style="2" customWidth="1"/>
    <col min="3084" max="3084" width="5.5546875" style="2" customWidth="1"/>
    <col min="3085" max="3085" width="10.77734375" style="2" customWidth="1"/>
    <col min="3086" max="3086" width="8.21875" style="2" customWidth="1"/>
    <col min="3087" max="3087" width="12.21875" style="2" customWidth="1"/>
    <col min="3088" max="3088" width="10.21875" style="2" customWidth="1"/>
    <col min="3089" max="3089" width="9.21875" style="2" customWidth="1"/>
    <col min="3090" max="3328" width="8.77734375" style="2"/>
    <col min="3329" max="3329" width="4.21875" style="2" customWidth="1"/>
    <col min="3330" max="3330" width="2.5546875" style="2" customWidth="1"/>
    <col min="3331" max="3332" width="8.77734375" style="2"/>
    <col min="3333" max="3333" width="7.21875" style="2" customWidth="1"/>
    <col min="3334" max="3334" width="8.21875" style="2" customWidth="1"/>
    <col min="3335" max="3336" width="10.21875" style="2" customWidth="1"/>
    <col min="3337" max="3337" width="3.77734375" style="2" customWidth="1"/>
    <col min="3338" max="3338" width="8.77734375" style="2"/>
    <col min="3339" max="3339" width="6.21875" style="2" customWidth="1"/>
    <col min="3340" max="3340" width="5.5546875" style="2" customWidth="1"/>
    <col min="3341" max="3341" width="10.77734375" style="2" customWidth="1"/>
    <col min="3342" max="3342" width="8.21875" style="2" customWidth="1"/>
    <col min="3343" max="3343" width="12.21875" style="2" customWidth="1"/>
    <col min="3344" max="3344" width="10.21875" style="2" customWidth="1"/>
    <col min="3345" max="3345" width="9.21875" style="2" customWidth="1"/>
    <col min="3346" max="3584" width="8.77734375" style="2"/>
    <col min="3585" max="3585" width="4.21875" style="2" customWidth="1"/>
    <col min="3586" max="3586" width="2.5546875" style="2" customWidth="1"/>
    <col min="3587" max="3588" width="8.77734375" style="2"/>
    <col min="3589" max="3589" width="7.21875" style="2" customWidth="1"/>
    <col min="3590" max="3590" width="8.21875" style="2" customWidth="1"/>
    <col min="3591" max="3592" width="10.21875" style="2" customWidth="1"/>
    <col min="3593" max="3593" width="3.77734375" style="2" customWidth="1"/>
    <col min="3594" max="3594" width="8.77734375" style="2"/>
    <col min="3595" max="3595" width="6.21875" style="2" customWidth="1"/>
    <col min="3596" max="3596" width="5.5546875" style="2" customWidth="1"/>
    <col min="3597" max="3597" width="10.77734375" style="2" customWidth="1"/>
    <col min="3598" max="3598" width="8.21875" style="2" customWidth="1"/>
    <col min="3599" max="3599" width="12.21875" style="2" customWidth="1"/>
    <col min="3600" max="3600" width="10.21875" style="2" customWidth="1"/>
    <col min="3601" max="3601" width="9.21875" style="2" customWidth="1"/>
    <col min="3602" max="3840" width="8.77734375" style="2"/>
    <col min="3841" max="3841" width="4.21875" style="2" customWidth="1"/>
    <col min="3842" max="3842" width="2.5546875" style="2" customWidth="1"/>
    <col min="3843" max="3844" width="8.77734375" style="2"/>
    <col min="3845" max="3845" width="7.21875" style="2" customWidth="1"/>
    <col min="3846" max="3846" width="8.21875" style="2" customWidth="1"/>
    <col min="3847" max="3848" width="10.21875" style="2" customWidth="1"/>
    <col min="3849" max="3849" width="3.77734375" style="2" customWidth="1"/>
    <col min="3850" max="3850" width="8.77734375" style="2"/>
    <col min="3851" max="3851" width="6.21875" style="2" customWidth="1"/>
    <col min="3852" max="3852" width="5.5546875" style="2" customWidth="1"/>
    <col min="3853" max="3853" width="10.77734375" style="2" customWidth="1"/>
    <col min="3854" max="3854" width="8.21875" style="2" customWidth="1"/>
    <col min="3855" max="3855" width="12.21875" style="2" customWidth="1"/>
    <col min="3856" max="3856" width="10.21875" style="2" customWidth="1"/>
    <col min="3857" max="3857" width="9.21875" style="2" customWidth="1"/>
    <col min="3858" max="4096" width="8.77734375" style="2"/>
    <col min="4097" max="4097" width="4.21875" style="2" customWidth="1"/>
    <col min="4098" max="4098" width="2.5546875" style="2" customWidth="1"/>
    <col min="4099" max="4100" width="8.77734375" style="2"/>
    <col min="4101" max="4101" width="7.21875" style="2" customWidth="1"/>
    <col min="4102" max="4102" width="8.21875" style="2" customWidth="1"/>
    <col min="4103" max="4104" width="10.21875" style="2" customWidth="1"/>
    <col min="4105" max="4105" width="3.77734375" style="2" customWidth="1"/>
    <col min="4106" max="4106" width="8.77734375" style="2"/>
    <col min="4107" max="4107" width="6.21875" style="2" customWidth="1"/>
    <col min="4108" max="4108" width="5.5546875" style="2" customWidth="1"/>
    <col min="4109" max="4109" width="10.77734375" style="2" customWidth="1"/>
    <col min="4110" max="4110" width="8.21875" style="2" customWidth="1"/>
    <col min="4111" max="4111" width="12.21875" style="2" customWidth="1"/>
    <col min="4112" max="4112" width="10.21875" style="2" customWidth="1"/>
    <col min="4113" max="4113" width="9.21875" style="2" customWidth="1"/>
    <col min="4114" max="4352" width="8.77734375" style="2"/>
    <col min="4353" max="4353" width="4.21875" style="2" customWidth="1"/>
    <col min="4354" max="4354" width="2.5546875" style="2" customWidth="1"/>
    <col min="4355" max="4356" width="8.77734375" style="2"/>
    <col min="4357" max="4357" width="7.21875" style="2" customWidth="1"/>
    <col min="4358" max="4358" width="8.21875" style="2" customWidth="1"/>
    <col min="4359" max="4360" width="10.21875" style="2" customWidth="1"/>
    <col min="4361" max="4361" width="3.77734375" style="2" customWidth="1"/>
    <col min="4362" max="4362" width="8.77734375" style="2"/>
    <col min="4363" max="4363" width="6.21875" style="2" customWidth="1"/>
    <col min="4364" max="4364" width="5.5546875" style="2" customWidth="1"/>
    <col min="4365" max="4365" width="10.77734375" style="2" customWidth="1"/>
    <col min="4366" max="4366" width="8.21875" style="2" customWidth="1"/>
    <col min="4367" max="4367" width="12.21875" style="2" customWidth="1"/>
    <col min="4368" max="4368" width="10.21875" style="2" customWidth="1"/>
    <col min="4369" max="4369" width="9.21875" style="2" customWidth="1"/>
    <col min="4370" max="4608" width="8.77734375" style="2"/>
    <col min="4609" max="4609" width="4.21875" style="2" customWidth="1"/>
    <col min="4610" max="4610" width="2.5546875" style="2" customWidth="1"/>
    <col min="4611" max="4612" width="8.77734375" style="2"/>
    <col min="4613" max="4613" width="7.21875" style="2" customWidth="1"/>
    <col min="4614" max="4614" width="8.21875" style="2" customWidth="1"/>
    <col min="4615" max="4616" width="10.21875" style="2" customWidth="1"/>
    <col min="4617" max="4617" width="3.77734375" style="2" customWidth="1"/>
    <col min="4618" max="4618" width="8.77734375" style="2"/>
    <col min="4619" max="4619" width="6.21875" style="2" customWidth="1"/>
    <col min="4620" max="4620" width="5.5546875" style="2" customWidth="1"/>
    <col min="4621" max="4621" width="10.77734375" style="2" customWidth="1"/>
    <col min="4622" max="4622" width="8.21875" style="2" customWidth="1"/>
    <col min="4623" max="4623" width="12.21875" style="2" customWidth="1"/>
    <col min="4624" max="4624" width="10.21875" style="2" customWidth="1"/>
    <col min="4625" max="4625" width="9.21875" style="2" customWidth="1"/>
    <col min="4626" max="4864" width="8.77734375" style="2"/>
    <col min="4865" max="4865" width="4.21875" style="2" customWidth="1"/>
    <col min="4866" max="4866" width="2.5546875" style="2" customWidth="1"/>
    <col min="4867" max="4868" width="8.77734375" style="2"/>
    <col min="4869" max="4869" width="7.21875" style="2" customWidth="1"/>
    <col min="4870" max="4870" width="8.21875" style="2" customWidth="1"/>
    <col min="4871" max="4872" width="10.21875" style="2" customWidth="1"/>
    <col min="4873" max="4873" width="3.77734375" style="2" customWidth="1"/>
    <col min="4874" max="4874" width="8.77734375" style="2"/>
    <col min="4875" max="4875" width="6.21875" style="2" customWidth="1"/>
    <col min="4876" max="4876" width="5.5546875" style="2" customWidth="1"/>
    <col min="4877" max="4877" width="10.77734375" style="2" customWidth="1"/>
    <col min="4878" max="4878" width="8.21875" style="2" customWidth="1"/>
    <col min="4879" max="4879" width="12.21875" style="2" customWidth="1"/>
    <col min="4880" max="4880" width="10.21875" style="2" customWidth="1"/>
    <col min="4881" max="4881" width="9.21875" style="2" customWidth="1"/>
    <col min="4882" max="5120" width="8.77734375" style="2"/>
    <col min="5121" max="5121" width="4.21875" style="2" customWidth="1"/>
    <col min="5122" max="5122" width="2.5546875" style="2" customWidth="1"/>
    <col min="5123" max="5124" width="8.77734375" style="2"/>
    <col min="5125" max="5125" width="7.21875" style="2" customWidth="1"/>
    <col min="5126" max="5126" width="8.21875" style="2" customWidth="1"/>
    <col min="5127" max="5128" width="10.21875" style="2" customWidth="1"/>
    <col min="5129" max="5129" width="3.77734375" style="2" customWidth="1"/>
    <col min="5130" max="5130" width="8.77734375" style="2"/>
    <col min="5131" max="5131" width="6.21875" style="2" customWidth="1"/>
    <col min="5132" max="5132" width="5.5546875" style="2" customWidth="1"/>
    <col min="5133" max="5133" width="10.77734375" style="2" customWidth="1"/>
    <col min="5134" max="5134" width="8.21875" style="2" customWidth="1"/>
    <col min="5135" max="5135" width="12.21875" style="2" customWidth="1"/>
    <col min="5136" max="5136" width="10.21875" style="2" customWidth="1"/>
    <col min="5137" max="5137" width="9.21875" style="2" customWidth="1"/>
    <col min="5138" max="5376" width="8.77734375" style="2"/>
    <col min="5377" max="5377" width="4.21875" style="2" customWidth="1"/>
    <col min="5378" max="5378" width="2.5546875" style="2" customWidth="1"/>
    <col min="5379" max="5380" width="8.77734375" style="2"/>
    <col min="5381" max="5381" width="7.21875" style="2" customWidth="1"/>
    <col min="5382" max="5382" width="8.21875" style="2" customWidth="1"/>
    <col min="5383" max="5384" width="10.21875" style="2" customWidth="1"/>
    <col min="5385" max="5385" width="3.77734375" style="2" customWidth="1"/>
    <col min="5386" max="5386" width="8.77734375" style="2"/>
    <col min="5387" max="5387" width="6.21875" style="2" customWidth="1"/>
    <col min="5388" max="5388" width="5.5546875" style="2" customWidth="1"/>
    <col min="5389" max="5389" width="10.77734375" style="2" customWidth="1"/>
    <col min="5390" max="5390" width="8.21875" style="2" customWidth="1"/>
    <col min="5391" max="5391" width="12.21875" style="2" customWidth="1"/>
    <col min="5392" max="5392" width="10.21875" style="2" customWidth="1"/>
    <col min="5393" max="5393" width="9.21875" style="2" customWidth="1"/>
    <col min="5394" max="5632" width="8.77734375" style="2"/>
    <col min="5633" max="5633" width="4.21875" style="2" customWidth="1"/>
    <col min="5634" max="5634" width="2.5546875" style="2" customWidth="1"/>
    <col min="5635" max="5636" width="8.77734375" style="2"/>
    <col min="5637" max="5637" width="7.21875" style="2" customWidth="1"/>
    <col min="5638" max="5638" width="8.21875" style="2" customWidth="1"/>
    <col min="5639" max="5640" width="10.21875" style="2" customWidth="1"/>
    <col min="5641" max="5641" width="3.77734375" style="2" customWidth="1"/>
    <col min="5642" max="5642" width="8.77734375" style="2"/>
    <col min="5643" max="5643" width="6.21875" style="2" customWidth="1"/>
    <col min="5644" max="5644" width="5.5546875" style="2" customWidth="1"/>
    <col min="5645" max="5645" width="10.77734375" style="2" customWidth="1"/>
    <col min="5646" max="5646" width="8.21875" style="2" customWidth="1"/>
    <col min="5647" max="5647" width="12.21875" style="2" customWidth="1"/>
    <col min="5648" max="5648" width="10.21875" style="2" customWidth="1"/>
    <col min="5649" max="5649" width="9.21875" style="2" customWidth="1"/>
    <col min="5650" max="5888" width="8.77734375" style="2"/>
    <col min="5889" max="5889" width="4.21875" style="2" customWidth="1"/>
    <col min="5890" max="5890" width="2.5546875" style="2" customWidth="1"/>
    <col min="5891" max="5892" width="8.77734375" style="2"/>
    <col min="5893" max="5893" width="7.21875" style="2" customWidth="1"/>
    <col min="5894" max="5894" width="8.21875" style="2" customWidth="1"/>
    <col min="5895" max="5896" width="10.21875" style="2" customWidth="1"/>
    <col min="5897" max="5897" width="3.77734375" style="2" customWidth="1"/>
    <col min="5898" max="5898" width="8.77734375" style="2"/>
    <col min="5899" max="5899" width="6.21875" style="2" customWidth="1"/>
    <col min="5900" max="5900" width="5.5546875" style="2" customWidth="1"/>
    <col min="5901" max="5901" width="10.77734375" style="2" customWidth="1"/>
    <col min="5902" max="5902" width="8.21875" style="2" customWidth="1"/>
    <col min="5903" max="5903" width="12.21875" style="2" customWidth="1"/>
    <col min="5904" max="5904" width="10.21875" style="2" customWidth="1"/>
    <col min="5905" max="5905" width="9.21875" style="2" customWidth="1"/>
    <col min="5906" max="6144" width="8.77734375" style="2"/>
    <col min="6145" max="6145" width="4.21875" style="2" customWidth="1"/>
    <col min="6146" max="6146" width="2.5546875" style="2" customWidth="1"/>
    <col min="6147" max="6148" width="8.77734375" style="2"/>
    <col min="6149" max="6149" width="7.21875" style="2" customWidth="1"/>
    <col min="6150" max="6150" width="8.21875" style="2" customWidth="1"/>
    <col min="6151" max="6152" width="10.21875" style="2" customWidth="1"/>
    <col min="6153" max="6153" width="3.77734375" style="2" customWidth="1"/>
    <col min="6154" max="6154" width="8.77734375" style="2"/>
    <col min="6155" max="6155" width="6.21875" style="2" customWidth="1"/>
    <col min="6156" max="6156" width="5.5546875" style="2" customWidth="1"/>
    <col min="6157" max="6157" width="10.77734375" style="2" customWidth="1"/>
    <col min="6158" max="6158" width="8.21875" style="2" customWidth="1"/>
    <col min="6159" max="6159" width="12.21875" style="2" customWidth="1"/>
    <col min="6160" max="6160" width="10.21875" style="2" customWidth="1"/>
    <col min="6161" max="6161" width="9.21875" style="2" customWidth="1"/>
    <col min="6162" max="6400" width="8.77734375" style="2"/>
    <col min="6401" max="6401" width="4.21875" style="2" customWidth="1"/>
    <col min="6402" max="6402" width="2.5546875" style="2" customWidth="1"/>
    <col min="6403" max="6404" width="8.77734375" style="2"/>
    <col min="6405" max="6405" width="7.21875" style="2" customWidth="1"/>
    <col min="6406" max="6406" width="8.21875" style="2" customWidth="1"/>
    <col min="6407" max="6408" width="10.21875" style="2" customWidth="1"/>
    <col min="6409" max="6409" width="3.77734375" style="2" customWidth="1"/>
    <col min="6410" max="6410" width="8.77734375" style="2"/>
    <col min="6411" max="6411" width="6.21875" style="2" customWidth="1"/>
    <col min="6412" max="6412" width="5.5546875" style="2" customWidth="1"/>
    <col min="6413" max="6413" width="10.77734375" style="2" customWidth="1"/>
    <col min="6414" max="6414" width="8.21875" style="2" customWidth="1"/>
    <col min="6415" max="6415" width="12.21875" style="2" customWidth="1"/>
    <col min="6416" max="6416" width="10.21875" style="2" customWidth="1"/>
    <col min="6417" max="6417" width="9.21875" style="2" customWidth="1"/>
    <col min="6418" max="6656" width="8.77734375" style="2"/>
    <col min="6657" max="6657" width="4.21875" style="2" customWidth="1"/>
    <col min="6658" max="6658" width="2.5546875" style="2" customWidth="1"/>
    <col min="6659" max="6660" width="8.77734375" style="2"/>
    <col min="6661" max="6661" width="7.21875" style="2" customWidth="1"/>
    <col min="6662" max="6662" width="8.21875" style="2" customWidth="1"/>
    <col min="6663" max="6664" width="10.21875" style="2" customWidth="1"/>
    <col min="6665" max="6665" width="3.77734375" style="2" customWidth="1"/>
    <col min="6666" max="6666" width="8.77734375" style="2"/>
    <col min="6667" max="6667" width="6.21875" style="2" customWidth="1"/>
    <col min="6668" max="6668" width="5.5546875" style="2" customWidth="1"/>
    <col min="6669" max="6669" width="10.77734375" style="2" customWidth="1"/>
    <col min="6670" max="6670" width="8.21875" style="2" customWidth="1"/>
    <col min="6671" max="6671" width="12.21875" style="2" customWidth="1"/>
    <col min="6672" max="6672" width="10.21875" style="2" customWidth="1"/>
    <col min="6673" max="6673" width="9.21875" style="2" customWidth="1"/>
    <col min="6674" max="6912" width="8.77734375" style="2"/>
    <col min="6913" max="6913" width="4.21875" style="2" customWidth="1"/>
    <col min="6914" max="6914" width="2.5546875" style="2" customWidth="1"/>
    <col min="6915" max="6916" width="8.77734375" style="2"/>
    <col min="6917" max="6917" width="7.21875" style="2" customWidth="1"/>
    <col min="6918" max="6918" width="8.21875" style="2" customWidth="1"/>
    <col min="6919" max="6920" width="10.21875" style="2" customWidth="1"/>
    <col min="6921" max="6921" width="3.77734375" style="2" customWidth="1"/>
    <col min="6922" max="6922" width="8.77734375" style="2"/>
    <col min="6923" max="6923" width="6.21875" style="2" customWidth="1"/>
    <col min="6924" max="6924" width="5.5546875" style="2" customWidth="1"/>
    <col min="6925" max="6925" width="10.77734375" style="2" customWidth="1"/>
    <col min="6926" max="6926" width="8.21875" style="2" customWidth="1"/>
    <col min="6927" max="6927" width="12.21875" style="2" customWidth="1"/>
    <col min="6928" max="6928" width="10.21875" style="2" customWidth="1"/>
    <col min="6929" max="6929" width="9.21875" style="2" customWidth="1"/>
    <col min="6930" max="7168" width="8.77734375" style="2"/>
    <col min="7169" max="7169" width="4.21875" style="2" customWidth="1"/>
    <col min="7170" max="7170" width="2.5546875" style="2" customWidth="1"/>
    <col min="7171" max="7172" width="8.77734375" style="2"/>
    <col min="7173" max="7173" width="7.21875" style="2" customWidth="1"/>
    <col min="7174" max="7174" width="8.21875" style="2" customWidth="1"/>
    <col min="7175" max="7176" width="10.21875" style="2" customWidth="1"/>
    <col min="7177" max="7177" width="3.77734375" style="2" customWidth="1"/>
    <col min="7178" max="7178" width="8.77734375" style="2"/>
    <col min="7179" max="7179" width="6.21875" style="2" customWidth="1"/>
    <col min="7180" max="7180" width="5.5546875" style="2" customWidth="1"/>
    <col min="7181" max="7181" width="10.77734375" style="2" customWidth="1"/>
    <col min="7182" max="7182" width="8.21875" style="2" customWidth="1"/>
    <col min="7183" max="7183" width="12.21875" style="2" customWidth="1"/>
    <col min="7184" max="7184" width="10.21875" style="2" customWidth="1"/>
    <col min="7185" max="7185" width="9.21875" style="2" customWidth="1"/>
    <col min="7186" max="7424" width="8.77734375" style="2"/>
    <col min="7425" max="7425" width="4.21875" style="2" customWidth="1"/>
    <col min="7426" max="7426" width="2.5546875" style="2" customWidth="1"/>
    <col min="7427" max="7428" width="8.77734375" style="2"/>
    <col min="7429" max="7429" width="7.21875" style="2" customWidth="1"/>
    <col min="7430" max="7430" width="8.21875" style="2" customWidth="1"/>
    <col min="7431" max="7432" width="10.21875" style="2" customWidth="1"/>
    <col min="7433" max="7433" width="3.77734375" style="2" customWidth="1"/>
    <col min="7434" max="7434" width="8.77734375" style="2"/>
    <col min="7435" max="7435" width="6.21875" style="2" customWidth="1"/>
    <col min="7436" max="7436" width="5.5546875" style="2" customWidth="1"/>
    <col min="7437" max="7437" width="10.77734375" style="2" customWidth="1"/>
    <col min="7438" max="7438" width="8.21875" style="2" customWidth="1"/>
    <col min="7439" max="7439" width="12.21875" style="2" customWidth="1"/>
    <col min="7440" max="7440" width="10.21875" style="2" customWidth="1"/>
    <col min="7441" max="7441" width="9.21875" style="2" customWidth="1"/>
    <col min="7442" max="7680" width="8.77734375" style="2"/>
    <col min="7681" max="7681" width="4.21875" style="2" customWidth="1"/>
    <col min="7682" max="7682" width="2.5546875" style="2" customWidth="1"/>
    <col min="7683" max="7684" width="8.77734375" style="2"/>
    <col min="7685" max="7685" width="7.21875" style="2" customWidth="1"/>
    <col min="7686" max="7686" width="8.21875" style="2" customWidth="1"/>
    <col min="7687" max="7688" width="10.21875" style="2" customWidth="1"/>
    <col min="7689" max="7689" width="3.77734375" style="2" customWidth="1"/>
    <col min="7690" max="7690" width="8.77734375" style="2"/>
    <col min="7691" max="7691" width="6.21875" style="2" customWidth="1"/>
    <col min="7692" max="7692" width="5.5546875" style="2" customWidth="1"/>
    <col min="7693" max="7693" width="10.77734375" style="2" customWidth="1"/>
    <col min="7694" max="7694" width="8.21875" style="2" customWidth="1"/>
    <col min="7695" max="7695" width="12.21875" style="2" customWidth="1"/>
    <col min="7696" max="7696" width="10.21875" style="2" customWidth="1"/>
    <col min="7697" max="7697" width="9.21875" style="2" customWidth="1"/>
    <col min="7698" max="7936" width="8.77734375" style="2"/>
    <col min="7937" max="7937" width="4.21875" style="2" customWidth="1"/>
    <col min="7938" max="7938" width="2.5546875" style="2" customWidth="1"/>
    <col min="7939" max="7940" width="8.77734375" style="2"/>
    <col min="7941" max="7941" width="7.21875" style="2" customWidth="1"/>
    <col min="7942" max="7942" width="8.21875" style="2" customWidth="1"/>
    <col min="7943" max="7944" width="10.21875" style="2" customWidth="1"/>
    <col min="7945" max="7945" width="3.77734375" style="2" customWidth="1"/>
    <col min="7946" max="7946" width="8.77734375" style="2"/>
    <col min="7947" max="7947" width="6.21875" style="2" customWidth="1"/>
    <col min="7948" max="7948" width="5.5546875" style="2" customWidth="1"/>
    <col min="7949" max="7949" width="10.77734375" style="2" customWidth="1"/>
    <col min="7950" max="7950" width="8.21875" style="2" customWidth="1"/>
    <col min="7951" max="7951" width="12.21875" style="2" customWidth="1"/>
    <col min="7952" max="7952" width="10.21875" style="2" customWidth="1"/>
    <col min="7953" max="7953" width="9.21875" style="2" customWidth="1"/>
    <col min="7954" max="8192" width="8.77734375" style="2"/>
    <col min="8193" max="8193" width="4.21875" style="2" customWidth="1"/>
    <col min="8194" max="8194" width="2.5546875" style="2" customWidth="1"/>
    <col min="8195" max="8196" width="8.77734375" style="2"/>
    <col min="8197" max="8197" width="7.21875" style="2" customWidth="1"/>
    <col min="8198" max="8198" width="8.21875" style="2" customWidth="1"/>
    <col min="8199" max="8200" width="10.21875" style="2" customWidth="1"/>
    <col min="8201" max="8201" width="3.77734375" style="2" customWidth="1"/>
    <col min="8202" max="8202" width="8.77734375" style="2"/>
    <col min="8203" max="8203" width="6.21875" style="2" customWidth="1"/>
    <col min="8204" max="8204" width="5.5546875" style="2" customWidth="1"/>
    <col min="8205" max="8205" width="10.77734375" style="2" customWidth="1"/>
    <col min="8206" max="8206" width="8.21875" style="2" customWidth="1"/>
    <col min="8207" max="8207" width="12.21875" style="2" customWidth="1"/>
    <col min="8208" max="8208" width="10.21875" style="2" customWidth="1"/>
    <col min="8209" max="8209" width="9.21875" style="2" customWidth="1"/>
    <col min="8210" max="8448" width="8.77734375" style="2"/>
    <col min="8449" max="8449" width="4.21875" style="2" customWidth="1"/>
    <col min="8450" max="8450" width="2.5546875" style="2" customWidth="1"/>
    <col min="8451" max="8452" width="8.77734375" style="2"/>
    <col min="8453" max="8453" width="7.21875" style="2" customWidth="1"/>
    <col min="8454" max="8454" width="8.21875" style="2" customWidth="1"/>
    <col min="8455" max="8456" width="10.21875" style="2" customWidth="1"/>
    <col min="8457" max="8457" width="3.77734375" style="2" customWidth="1"/>
    <col min="8458" max="8458" width="8.77734375" style="2"/>
    <col min="8459" max="8459" width="6.21875" style="2" customWidth="1"/>
    <col min="8460" max="8460" width="5.5546875" style="2" customWidth="1"/>
    <col min="8461" max="8461" width="10.77734375" style="2" customWidth="1"/>
    <col min="8462" max="8462" width="8.21875" style="2" customWidth="1"/>
    <col min="8463" max="8463" width="12.21875" style="2" customWidth="1"/>
    <col min="8464" max="8464" width="10.21875" style="2" customWidth="1"/>
    <col min="8465" max="8465" width="9.21875" style="2" customWidth="1"/>
    <col min="8466" max="8704" width="8.77734375" style="2"/>
    <col min="8705" max="8705" width="4.21875" style="2" customWidth="1"/>
    <col min="8706" max="8706" width="2.5546875" style="2" customWidth="1"/>
    <col min="8707" max="8708" width="8.77734375" style="2"/>
    <col min="8709" max="8709" width="7.21875" style="2" customWidth="1"/>
    <col min="8710" max="8710" width="8.21875" style="2" customWidth="1"/>
    <col min="8711" max="8712" width="10.21875" style="2" customWidth="1"/>
    <col min="8713" max="8713" width="3.77734375" style="2" customWidth="1"/>
    <col min="8714" max="8714" width="8.77734375" style="2"/>
    <col min="8715" max="8715" width="6.21875" style="2" customWidth="1"/>
    <col min="8716" max="8716" width="5.5546875" style="2" customWidth="1"/>
    <col min="8717" max="8717" width="10.77734375" style="2" customWidth="1"/>
    <col min="8718" max="8718" width="8.21875" style="2" customWidth="1"/>
    <col min="8719" max="8719" width="12.21875" style="2" customWidth="1"/>
    <col min="8720" max="8720" width="10.21875" style="2" customWidth="1"/>
    <col min="8721" max="8721" width="9.21875" style="2" customWidth="1"/>
    <col min="8722" max="8960" width="8.77734375" style="2"/>
    <col min="8961" max="8961" width="4.21875" style="2" customWidth="1"/>
    <col min="8962" max="8962" width="2.5546875" style="2" customWidth="1"/>
    <col min="8963" max="8964" width="8.77734375" style="2"/>
    <col min="8965" max="8965" width="7.21875" style="2" customWidth="1"/>
    <col min="8966" max="8966" width="8.21875" style="2" customWidth="1"/>
    <col min="8967" max="8968" width="10.21875" style="2" customWidth="1"/>
    <col min="8969" max="8969" width="3.77734375" style="2" customWidth="1"/>
    <col min="8970" max="8970" width="8.77734375" style="2"/>
    <col min="8971" max="8971" width="6.21875" style="2" customWidth="1"/>
    <col min="8972" max="8972" width="5.5546875" style="2" customWidth="1"/>
    <col min="8973" max="8973" width="10.77734375" style="2" customWidth="1"/>
    <col min="8974" max="8974" width="8.21875" style="2" customWidth="1"/>
    <col min="8975" max="8975" width="12.21875" style="2" customWidth="1"/>
    <col min="8976" max="8976" width="10.21875" style="2" customWidth="1"/>
    <col min="8977" max="8977" width="9.21875" style="2" customWidth="1"/>
    <col min="8978" max="9216" width="8.77734375" style="2"/>
    <col min="9217" max="9217" width="4.21875" style="2" customWidth="1"/>
    <col min="9218" max="9218" width="2.5546875" style="2" customWidth="1"/>
    <col min="9219" max="9220" width="8.77734375" style="2"/>
    <col min="9221" max="9221" width="7.21875" style="2" customWidth="1"/>
    <col min="9222" max="9222" width="8.21875" style="2" customWidth="1"/>
    <col min="9223" max="9224" width="10.21875" style="2" customWidth="1"/>
    <col min="9225" max="9225" width="3.77734375" style="2" customWidth="1"/>
    <col min="9226" max="9226" width="8.77734375" style="2"/>
    <col min="9227" max="9227" width="6.21875" style="2" customWidth="1"/>
    <col min="9228" max="9228" width="5.5546875" style="2" customWidth="1"/>
    <col min="9229" max="9229" width="10.77734375" style="2" customWidth="1"/>
    <col min="9230" max="9230" width="8.21875" style="2" customWidth="1"/>
    <col min="9231" max="9231" width="12.21875" style="2" customWidth="1"/>
    <col min="9232" max="9232" width="10.21875" style="2" customWidth="1"/>
    <col min="9233" max="9233" width="9.21875" style="2" customWidth="1"/>
    <col min="9234" max="9472" width="8.77734375" style="2"/>
    <col min="9473" max="9473" width="4.21875" style="2" customWidth="1"/>
    <col min="9474" max="9474" width="2.5546875" style="2" customWidth="1"/>
    <col min="9475" max="9476" width="8.77734375" style="2"/>
    <col min="9477" max="9477" width="7.21875" style="2" customWidth="1"/>
    <col min="9478" max="9478" width="8.21875" style="2" customWidth="1"/>
    <col min="9479" max="9480" width="10.21875" style="2" customWidth="1"/>
    <col min="9481" max="9481" width="3.77734375" style="2" customWidth="1"/>
    <col min="9482" max="9482" width="8.77734375" style="2"/>
    <col min="9483" max="9483" width="6.21875" style="2" customWidth="1"/>
    <col min="9484" max="9484" width="5.5546875" style="2" customWidth="1"/>
    <col min="9485" max="9485" width="10.77734375" style="2" customWidth="1"/>
    <col min="9486" max="9486" width="8.21875" style="2" customWidth="1"/>
    <col min="9487" max="9487" width="12.21875" style="2" customWidth="1"/>
    <col min="9488" max="9488" width="10.21875" style="2" customWidth="1"/>
    <col min="9489" max="9489" width="9.21875" style="2" customWidth="1"/>
    <col min="9490" max="9728" width="8.77734375" style="2"/>
    <col min="9729" max="9729" width="4.21875" style="2" customWidth="1"/>
    <col min="9730" max="9730" width="2.5546875" style="2" customWidth="1"/>
    <col min="9731" max="9732" width="8.77734375" style="2"/>
    <col min="9733" max="9733" width="7.21875" style="2" customWidth="1"/>
    <col min="9734" max="9734" width="8.21875" style="2" customWidth="1"/>
    <col min="9735" max="9736" width="10.21875" style="2" customWidth="1"/>
    <col min="9737" max="9737" width="3.77734375" style="2" customWidth="1"/>
    <col min="9738" max="9738" width="8.77734375" style="2"/>
    <col min="9739" max="9739" width="6.21875" style="2" customWidth="1"/>
    <col min="9740" max="9740" width="5.5546875" style="2" customWidth="1"/>
    <col min="9741" max="9741" width="10.77734375" style="2" customWidth="1"/>
    <col min="9742" max="9742" width="8.21875" style="2" customWidth="1"/>
    <col min="9743" max="9743" width="12.21875" style="2" customWidth="1"/>
    <col min="9744" max="9744" width="10.21875" style="2" customWidth="1"/>
    <col min="9745" max="9745" width="9.21875" style="2" customWidth="1"/>
    <col min="9746" max="9984" width="8.77734375" style="2"/>
    <col min="9985" max="9985" width="4.21875" style="2" customWidth="1"/>
    <col min="9986" max="9986" width="2.5546875" style="2" customWidth="1"/>
    <col min="9987" max="9988" width="8.77734375" style="2"/>
    <col min="9989" max="9989" width="7.21875" style="2" customWidth="1"/>
    <col min="9990" max="9990" width="8.21875" style="2" customWidth="1"/>
    <col min="9991" max="9992" width="10.21875" style="2" customWidth="1"/>
    <col min="9993" max="9993" width="3.77734375" style="2" customWidth="1"/>
    <col min="9994" max="9994" width="8.77734375" style="2"/>
    <col min="9995" max="9995" width="6.21875" style="2" customWidth="1"/>
    <col min="9996" max="9996" width="5.5546875" style="2" customWidth="1"/>
    <col min="9997" max="9997" width="10.77734375" style="2" customWidth="1"/>
    <col min="9998" max="9998" width="8.21875" style="2" customWidth="1"/>
    <col min="9999" max="9999" width="12.21875" style="2" customWidth="1"/>
    <col min="10000" max="10000" width="10.21875" style="2" customWidth="1"/>
    <col min="10001" max="10001" width="9.21875" style="2" customWidth="1"/>
    <col min="10002" max="10240" width="8.77734375" style="2"/>
    <col min="10241" max="10241" width="4.21875" style="2" customWidth="1"/>
    <col min="10242" max="10242" width="2.5546875" style="2" customWidth="1"/>
    <col min="10243" max="10244" width="8.77734375" style="2"/>
    <col min="10245" max="10245" width="7.21875" style="2" customWidth="1"/>
    <col min="10246" max="10246" width="8.21875" style="2" customWidth="1"/>
    <col min="10247" max="10248" width="10.21875" style="2" customWidth="1"/>
    <col min="10249" max="10249" width="3.77734375" style="2" customWidth="1"/>
    <col min="10250" max="10250" width="8.77734375" style="2"/>
    <col min="10251" max="10251" width="6.21875" style="2" customWidth="1"/>
    <col min="10252" max="10252" width="5.5546875" style="2" customWidth="1"/>
    <col min="10253" max="10253" width="10.77734375" style="2" customWidth="1"/>
    <col min="10254" max="10254" width="8.21875" style="2" customWidth="1"/>
    <col min="10255" max="10255" width="12.21875" style="2" customWidth="1"/>
    <col min="10256" max="10256" width="10.21875" style="2" customWidth="1"/>
    <col min="10257" max="10257" width="9.21875" style="2" customWidth="1"/>
    <col min="10258" max="10496" width="8.77734375" style="2"/>
    <col min="10497" max="10497" width="4.21875" style="2" customWidth="1"/>
    <col min="10498" max="10498" width="2.5546875" style="2" customWidth="1"/>
    <col min="10499" max="10500" width="8.77734375" style="2"/>
    <col min="10501" max="10501" width="7.21875" style="2" customWidth="1"/>
    <col min="10502" max="10502" width="8.21875" style="2" customWidth="1"/>
    <col min="10503" max="10504" width="10.21875" style="2" customWidth="1"/>
    <col min="10505" max="10505" width="3.77734375" style="2" customWidth="1"/>
    <col min="10506" max="10506" width="8.77734375" style="2"/>
    <col min="10507" max="10507" width="6.21875" style="2" customWidth="1"/>
    <col min="10508" max="10508" width="5.5546875" style="2" customWidth="1"/>
    <col min="10509" max="10509" width="10.77734375" style="2" customWidth="1"/>
    <col min="10510" max="10510" width="8.21875" style="2" customWidth="1"/>
    <col min="10511" max="10511" width="12.21875" style="2" customWidth="1"/>
    <col min="10512" max="10512" width="10.21875" style="2" customWidth="1"/>
    <col min="10513" max="10513" width="9.21875" style="2" customWidth="1"/>
    <col min="10514" max="10752" width="8.77734375" style="2"/>
    <col min="10753" max="10753" width="4.21875" style="2" customWidth="1"/>
    <col min="10754" max="10754" width="2.5546875" style="2" customWidth="1"/>
    <col min="10755" max="10756" width="8.77734375" style="2"/>
    <col min="10757" max="10757" width="7.21875" style="2" customWidth="1"/>
    <col min="10758" max="10758" width="8.21875" style="2" customWidth="1"/>
    <col min="10759" max="10760" width="10.21875" style="2" customWidth="1"/>
    <col min="10761" max="10761" width="3.77734375" style="2" customWidth="1"/>
    <col min="10762" max="10762" width="8.77734375" style="2"/>
    <col min="10763" max="10763" width="6.21875" style="2" customWidth="1"/>
    <col min="10764" max="10764" width="5.5546875" style="2" customWidth="1"/>
    <col min="10765" max="10765" width="10.77734375" style="2" customWidth="1"/>
    <col min="10766" max="10766" width="8.21875" style="2" customWidth="1"/>
    <col min="10767" max="10767" width="12.21875" style="2" customWidth="1"/>
    <col min="10768" max="10768" width="10.21875" style="2" customWidth="1"/>
    <col min="10769" max="10769" width="9.21875" style="2" customWidth="1"/>
    <col min="10770" max="11008" width="8.77734375" style="2"/>
    <col min="11009" max="11009" width="4.21875" style="2" customWidth="1"/>
    <col min="11010" max="11010" width="2.5546875" style="2" customWidth="1"/>
    <col min="11011" max="11012" width="8.77734375" style="2"/>
    <col min="11013" max="11013" width="7.21875" style="2" customWidth="1"/>
    <col min="11014" max="11014" width="8.21875" style="2" customWidth="1"/>
    <col min="11015" max="11016" width="10.21875" style="2" customWidth="1"/>
    <col min="11017" max="11017" width="3.77734375" style="2" customWidth="1"/>
    <col min="11018" max="11018" width="8.77734375" style="2"/>
    <col min="11019" max="11019" width="6.21875" style="2" customWidth="1"/>
    <col min="11020" max="11020" width="5.5546875" style="2" customWidth="1"/>
    <col min="11021" max="11021" width="10.77734375" style="2" customWidth="1"/>
    <col min="11022" max="11022" width="8.21875" style="2" customWidth="1"/>
    <col min="11023" max="11023" width="12.21875" style="2" customWidth="1"/>
    <col min="11024" max="11024" width="10.21875" style="2" customWidth="1"/>
    <col min="11025" max="11025" width="9.21875" style="2" customWidth="1"/>
    <col min="11026" max="11264" width="8.77734375" style="2"/>
    <col min="11265" max="11265" width="4.21875" style="2" customWidth="1"/>
    <col min="11266" max="11266" width="2.5546875" style="2" customWidth="1"/>
    <col min="11267" max="11268" width="8.77734375" style="2"/>
    <col min="11269" max="11269" width="7.21875" style="2" customWidth="1"/>
    <col min="11270" max="11270" width="8.21875" style="2" customWidth="1"/>
    <col min="11271" max="11272" width="10.21875" style="2" customWidth="1"/>
    <col min="11273" max="11273" width="3.77734375" style="2" customWidth="1"/>
    <col min="11274" max="11274" width="8.77734375" style="2"/>
    <col min="11275" max="11275" width="6.21875" style="2" customWidth="1"/>
    <col min="11276" max="11276" width="5.5546875" style="2" customWidth="1"/>
    <col min="11277" max="11277" width="10.77734375" style="2" customWidth="1"/>
    <col min="11278" max="11278" width="8.21875" style="2" customWidth="1"/>
    <col min="11279" max="11279" width="12.21875" style="2" customWidth="1"/>
    <col min="11280" max="11280" width="10.21875" style="2" customWidth="1"/>
    <col min="11281" max="11281" width="9.21875" style="2" customWidth="1"/>
    <col min="11282" max="11520" width="8.77734375" style="2"/>
    <col min="11521" max="11521" width="4.21875" style="2" customWidth="1"/>
    <col min="11522" max="11522" width="2.5546875" style="2" customWidth="1"/>
    <col min="11523" max="11524" width="8.77734375" style="2"/>
    <col min="11525" max="11525" width="7.21875" style="2" customWidth="1"/>
    <col min="11526" max="11526" width="8.21875" style="2" customWidth="1"/>
    <col min="11527" max="11528" width="10.21875" style="2" customWidth="1"/>
    <col min="11529" max="11529" width="3.77734375" style="2" customWidth="1"/>
    <col min="11530" max="11530" width="8.77734375" style="2"/>
    <col min="11531" max="11531" width="6.21875" style="2" customWidth="1"/>
    <col min="11532" max="11532" width="5.5546875" style="2" customWidth="1"/>
    <col min="11533" max="11533" width="10.77734375" style="2" customWidth="1"/>
    <col min="11534" max="11534" width="8.21875" style="2" customWidth="1"/>
    <col min="11535" max="11535" width="12.21875" style="2" customWidth="1"/>
    <col min="11536" max="11536" width="10.21875" style="2" customWidth="1"/>
    <col min="11537" max="11537" width="9.21875" style="2" customWidth="1"/>
    <col min="11538" max="11776" width="8.77734375" style="2"/>
    <col min="11777" max="11777" width="4.21875" style="2" customWidth="1"/>
    <col min="11778" max="11778" width="2.5546875" style="2" customWidth="1"/>
    <col min="11779" max="11780" width="8.77734375" style="2"/>
    <col min="11781" max="11781" width="7.21875" style="2" customWidth="1"/>
    <col min="11782" max="11782" width="8.21875" style="2" customWidth="1"/>
    <col min="11783" max="11784" width="10.21875" style="2" customWidth="1"/>
    <col min="11785" max="11785" width="3.77734375" style="2" customWidth="1"/>
    <col min="11786" max="11786" width="8.77734375" style="2"/>
    <col min="11787" max="11787" width="6.21875" style="2" customWidth="1"/>
    <col min="11788" max="11788" width="5.5546875" style="2" customWidth="1"/>
    <col min="11789" max="11789" width="10.77734375" style="2" customWidth="1"/>
    <col min="11790" max="11790" width="8.21875" style="2" customWidth="1"/>
    <col min="11791" max="11791" width="12.21875" style="2" customWidth="1"/>
    <col min="11792" max="11792" width="10.21875" style="2" customWidth="1"/>
    <col min="11793" max="11793" width="9.21875" style="2" customWidth="1"/>
    <col min="11794" max="12032" width="8.77734375" style="2"/>
    <col min="12033" max="12033" width="4.21875" style="2" customWidth="1"/>
    <col min="12034" max="12034" width="2.5546875" style="2" customWidth="1"/>
    <col min="12035" max="12036" width="8.77734375" style="2"/>
    <col min="12037" max="12037" width="7.21875" style="2" customWidth="1"/>
    <col min="12038" max="12038" width="8.21875" style="2" customWidth="1"/>
    <col min="12039" max="12040" width="10.21875" style="2" customWidth="1"/>
    <col min="12041" max="12041" width="3.77734375" style="2" customWidth="1"/>
    <col min="12042" max="12042" width="8.77734375" style="2"/>
    <col min="12043" max="12043" width="6.21875" style="2" customWidth="1"/>
    <col min="12044" max="12044" width="5.5546875" style="2" customWidth="1"/>
    <col min="12045" max="12045" width="10.77734375" style="2" customWidth="1"/>
    <col min="12046" max="12046" width="8.21875" style="2" customWidth="1"/>
    <col min="12047" max="12047" width="12.21875" style="2" customWidth="1"/>
    <col min="12048" max="12048" width="10.21875" style="2" customWidth="1"/>
    <col min="12049" max="12049" width="9.21875" style="2" customWidth="1"/>
    <col min="12050" max="12288" width="8.77734375" style="2"/>
    <col min="12289" max="12289" width="4.21875" style="2" customWidth="1"/>
    <col min="12290" max="12290" width="2.5546875" style="2" customWidth="1"/>
    <col min="12291" max="12292" width="8.77734375" style="2"/>
    <col min="12293" max="12293" width="7.21875" style="2" customWidth="1"/>
    <col min="12294" max="12294" width="8.21875" style="2" customWidth="1"/>
    <col min="12295" max="12296" width="10.21875" style="2" customWidth="1"/>
    <col min="12297" max="12297" width="3.77734375" style="2" customWidth="1"/>
    <col min="12298" max="12298" width="8.77734375" style="2"/>
    <col min="12299" max="12299" width="6.21875" style="2" customWidth="1"/>
    <col min="12300" max="12300" width="5.5546875" style="2" customWidth="1"/>
    <col min="12301" max="12301" width="10.77734375" style="2" customWidth="1"/>
    <col min="12302" max="12302" width="8.21875" style="2" customWidth="1"/>
    <col min="12303" max="12303" width="12.21875" style="2" customWidth="1"/>
    <col min="12304" max="12304" width="10.21875" style="2" customWidth="1"/>
    <col min="12305" max="12305" width="9.21875" style="2" customWidth="1"/>
    <col min="12306" max="12544" width="8.77734375" style="2"/>
    <col min="12545" max="12545" width="4.21875" style="2" customWidth="1"/>
    <col min="12546" max="12546" width="2.5546875" style="2" customWidth="1"/>
    <col min="12547" max="12548" width="8.77734375" style="2"/>
    <col min="12549" max="12549" width="7.21875" style="2" customWidth="1"/>
    <col min="12550" max="12550" width="8.21875" style="2" customWidth="1"/>
    <col min="12551" max="12552" width="10.21875" style="2" customWidth="1"/>
    <col min="12553" max="12553" width="3.77734375" style="2" customWidth="1"/>
    <col min="12554" max="12554" width="8.77734375" style="2"/>
    <col min="12555" max="12555" width="6.21875" style="2" customWidth="1"/>
    <col min="12556" max="12556" width="5.5546875" style="2" customWidth="1"/>
    <col min="12557" max="12557" width="10.77734375" style="2" customWidth="1"/>
    <col min="12558" max="12558" width="8.21875" style="2" customWidth="1"/>
    <col min="12559" max="12559" width="12.21875" style="2" customWidth="1"/>
    <col min="12560" max="12560" width="10.21875" style="2" customWidth="1"/>
    <col min="12561" max="12561" width="9.21875" style="2" customWidth="1"/>
    <col min="12562" max="12800" width="8.77734375" style="2"/>
    <col min="12801" max="12801" width="4.21875" style="2" customWidth="1"/>
    <col min="12802" max="12802" width="2.5546875" style="2" customWidth="1"/>
    <col min="12803" max="12804" width="8.77734375" style="2"/>
    <col min="12805" max="12805" width="7.21875" style="2" customWidth="1"/>
    <col min="12806" max="12806" width="8.21875" style="2" customWidth="1"/>
    <col min="12807" max="12808" width="10.21875" style="2" customWidth="1"/>
    <col min="12809" max="12809" width="3.77734375" style="2" customWidth="1"/>
    <col min="12810" max="12810" width="8.77734375" style="2"/>
    <col min="12811" max="12811" width="6.21875" style="2" customWidth="1"/>
    <col min="12812" max="12812" width="5.5546875" style="2" customWidth="1"/>
    <col min="12813" max="12813" width="10.77734375" style="2" customWidth="1"/>
    <col min="12814" max="12814" width="8.21875" style="2" customWidth="1"/>
    <col min="12815" max="12815" width="12.21875" style="2" customWidth="1"/>
    <col min="12816" max="12816" width="10.21875" style="2" customWidth="1"/>
    <col min="12817" max="12817" width="9.21875" style="2" customWidth="1"/>
    <col min="12818" max="13056" width="8.77734375" style="2"/>
    <col min="13057" max="13057" width="4.21875" style="2" customWidth="1"/>
    <col min="13058" max="13058" width="2.5546875" style="2" customWidth="1"/>
    <col min="13059" max="13060" width="8.77734375" style="2"/>
    <col min="13061" max="13061" width="7.21875" style="2" customWidth="1"/>
    <col min="13062" max="13062" width="8.21875" style="2" customWidth="1"/>
    <col min="13063" max="13064" width="10.21875" style="2" customWidth="1"/>
    <col min="13065" max="13065" width="3.77734375" style="2" customWidth="1"/>
    <col min="13066" max="13066" width="8.77734375" style="2"/>
    <col min="13067" max="13067" width="6.21875" style="2" customWidth="1"/>
    <col min="13068" max="13068" width="5.5546875" style="2" customWidth="1"/>
    <col min="13069" max="13069" width="10.77734375" style="2" customWidth="1"/>
    <col min="13070" max="13070" width="8.21875" style="2" customWidth="1"/>
    <col min="13071" max="13071" width="12.21875" style="2" customWidth="1"/>
    <col min="13072" max="13072" width="10.21875" style="2" customWidth="1"/>
    <col min="13073" max="13073" width="9.21875" style="2" customWidth="1"/>
    <col min="13074" max="13312" width="8.77734375" style="2"/>
    <col min="13313" max="13313" width="4.21875" style="2" customWidth="1"/>
    <col min="13314" max="13314" width="2.5546875" style="2" customWidth="1"/>
    <col min="13315" max="13316" width="8.77734375" style="2"/>
    <col min="13317" max="13317" width="7.21875" style="2" customWidth="1"/>
    <col min="13318" max="13318" width="8.21875" style="2" customWidth="1"/>
    <col min="13319" max="13320" width="10.21875" style="2" customWidth="1"/>
    <col min="13321" max="13321" width="3.77734375" style="2" customWidth="1"/>
    <col min="13322" max="13322" width="8.77734375" style="2"/>
    <col min="13323" max="13323" width="6.21875" style="2" customWidth="1"/>
    <col min="13324" max="13324" width="5.5546875" style="2" customWidth="1"/>
    <col min="13325" max="13325" width="10.77734375" style="2" customWidth="1"/>
    <col min="13326" max="13326" width="8.21875" style="2" customWidth="1"/>
    <col min="13327" max="13327" width="12.21875" style="2" customWidth="1"/>
    <col min="13328" max="13328" width="10.21875" style="2" customWidth="1"/>
    <col min="13329" max="13329" width="9.21875" style="2" customWidth="1"/>
    <col min="13330" max="13568" width="8.77734375" style="2"/>
    <col min="13569" max="13569" width="4.21875" style="2" customWidth="1"/>
    <col min="13570" max="13570" width="2.5546875" style="2" customWidth="1"/>
    <col min="13571" max="13572" width="8.77734375" style="2"/>
    <col min="13573" max="13573" width="7.21875" style="2" customWidth="1"/>
    <col min="13574" max="13574" width="8.21875" style="2" customWidth="1"/>
    <col min="13575" max="13576" width="10.21875" style="2" customWidth="1"/>
    <col min="13577" max="13577" width="3.77734375" style="2" customWidth="1"/>
    <col min="13578" max="13578" width="8.77734375" style="2"/>
    <col min="13579" max="13579" width="6.21875" style="2" customWidth="1"/>
    <col min="13580" max="13580" width="5.5546875" style="2" customWidth="1"/>
    <col min="13581" max="13581" width="10.77734375" style="2" customWidth="1"/>
    <col min="13582" max="13582" width="8.21875" style="2" customWidth="1"/>
    <col min="13583" max="13583" width="12.21875" style="2" customWidth="1"/>
    <col min="13584" max="13584" width="10.21875" style="2" customWidth="1"/>
    <col min="13585" max="13585" width="9.21875" style="2" customWidth="1"/>
    <col min="13586" max="13824" width="8.77734375" style="2"/>
    <col min="13825" max="13825" width="4.21875" style="2" customWidth="1"/>
    <col min="13826" max="13826" width="2.5546875" style="2" customWidth="1"/>
    <col min="13827" max="13828" width="8.77734375" style="2"/>
    <col min="13829" max="13829" width="7.21875" style="2" customWidth="1"/>
    <col min="13830" max="13830" width="8.21875" style="2" customWidth="1"/>
    <col min="13831" max="13832" width="10.21875" style="2" customWidth="1"/>
    <col min="13833" max="13833" width="3.77734375" style="2" customWidth="1"/>
    <col min="13834" max="13834" width="8.77734375" style="2"/>
    <col min="13835" max="13835" width="6.21875" style="2" customWidth="1"/>
    <col min="13836" max="13836" width="5.5546875" style="2" customWidth="1"/>
    <col min="13837" max="13837" width="10.77734375" style="2" customWidth="1"/>
    <col min="13838" max="13838" width="8.21875" style="2" customWidth="1"/>
    <col min="13839" max="13839" width="12.21875" style="2" customWidth="1"/>
    <col min="13840" max="13840" width="10.21875" style="2" customWidth="1"/>
    <col min="13841" max="13841" width="9.21875" style="2" customWidth="1"/>
    <col min="13842" max="14080" width="8.77734375" style="2"/>
    <col min="14081" max="14081" width="4.21875" style="2" customWidth="1"/>
    <col min="14082" max="14082" width="2.5546875" style="2" customWidth="1"/>
    <col min="14083" max="14084" width="8.77734375" style="2"/>
    <col min="14085" max="14085" width="7.21875" style="2" customWidth="1"/>
    <col min="14086" max="14086" width="8.21875" style="2" customWidth="1"/>
    <col min="14087" max="14088" width="10.21875" style="2" customWidth="1"/>
    <col min="14089" max="14089" width="3.77734375" style="2" customWidth="1"/>
    <col min="14090" max="14090" width="8.77734375" style="2"/>
    <col min="14091" max="14091" width="6.21875" style="2" customWidth="1"/>
    <col min="14092" max="14092" width="5.5546875" style="2" customWidth="1"/>
    <col min="14093" max="14093" width="10.77734375" style="2" customWidth="1"/>
    <col min="14094" max="14094" width="8.21875" style="2" customWidth="1"/>
    <col min="14095" max="14095" width="12.21875" style="2" customWidth="1"/>
    <col min="14096" max="14096" width="10.21875" style="2" customWidth="1"/>
    <col min="14097" max="14097" width="9.21875" style="2" customWidth="1"/>
    <col min="14098" max="14336" width="8.77734375" style="2"/>
    <col min="14337" max="14337" width="4.21875" style="2" customWidth="1"/>
    <col min="14338" max="14338" width="2.5546875" style="2" customWidth="1"/>
    <col min="14339" max="14340" width="8.77734375" style="2"/>
    <col min="14341" max="14341" width="7.21875" style="2" customWidth="1"/>
    <col min="14342" max="14342" width="8.21875" style="2" customWidth="1"/>
    <col min="14343" max="14344" width="10.21875" style="2" customWidth="1"/>
    <col min="14345" max="14345" width="3.77734375" style="2" customWidth="1"/>
    <col min="14346" max="14346" width="8.77734375" style="2"/>
    <col min="14347" max="14347" width="6.21875" style="2" customWidth="1"/>
    <col min="14348" max="14348" width="5.5546875" style="2" customWidth="1"/>
    <col min="14349" max="14349" width="10.77734375" style="2" customWidth="1"/>
    <col min="14350" max="14350" width="8.21875" style="2" customWidth="1"/>
    <col min="14351" max="14351" width="12.21875" style="2" customWidth="1"/>
    <col min="14352" max="14352" width="10.21875" style="2" customWidth="1"/>
    <col min="14353" max="14353" width="9.21875" style="2" customWidth="1"/>
    <col min="14354" max="14592" width="8.77734375" style="2"/>
    <col min="14593" max="14593" width="4.21875" style="2" customWidth="1"/>
    <col min="14594" max="14594" width="2.5546875" style="2" customWidth="1"/>
    <col min="14595" max="14596" width="8.77734375" style="2"/>
    <col min="14597" max="14597" width="7.21875" style="2" customWidth="1"/>
    <col min="14598" max="14598" width="8.21875" style="2" customWidth="1"/>
    <col min="14599" max="14600" width="10.21875" style="2" customWidth="1"/>
    <col min="14601" max="14601" width="3.77734375" style="2" customWidth="1"/>
    <col min="14602" max="14602" width="8.77734375" style="2"/>
    <col min="14603" max="14603" width="6.21875" style="2" customWidth="1"/>
    <col min="14604" max="14604" width="5.5546875" style="2" customWidth="1"/>
    <col min="14605" max="14605" width="10.77734375" style="2" customWidth="1"/>
    <col min="14606" max="14606" width="8.21875" style="2" customWidth="1"/>
    <col min="14607" max="14607" width="12.21875" style="2" customWidth="1"/>
    <col min="14608" max="14608" width="10.21875" style="2" customWidth="1"/>
    <col min="14609" max="14609" width="9.21875" style="2" customWidth="1"/>
    <col min="14610" max="14848" width="8.77734375" style="2"/>
    <col min="14849" max="14849" width="4.21875" style="2" customWidth="1"/>
    <col min="14850" max="14850" width="2.5546875" style="2" customWidth="1"/>
    <col min="14851" max="14852" width="8.77734375" style="2"/>
    <col min="14853" max="14853" width="7.21875" style="2" customWidth="1"/>
    <col min="14854" max="14854" width="8.21875" style="2" customWidth="1"/>
    <col min="14855" max="14856" width="10.21875" style="2" customWidth="1"/>
    <col min="14857" max="14857" width="3.77734375" style="2" customWidth="1"/>
    <col min="14858" max="14858" width="8.77734375" style="2"/>
    <col min="14859" max="14859" width="6.21875" style="2" customWidth="1"/>
    <col min="14860" max="14860" width="5.5546875" style="2" customWidth="1"/>
    <col min="14861" max="14861" width="10.77734375" style="2" customWidth="1"/>
    <col min="14862" max="14862" width="8.21875" style="2" customWidth="1"/>
    <col min="14863" max="14863" width="12.21875" style="2" customWidth="1"/>
    <col min="14864" max="14864" width="10.21875" style="2" customWidth="1"/>
    <col min="14865" max="14865" width="9.21875" style="2" customWidth="1"/>
    <col min="14866" max="15104" width="8.77734375" style="2"/>
    <col min="15105" max="15105" width="4.21875" style="2" customWidth="1"/>
    <col min="15106" max="15106" width="2.5546875" style="2" customWidth="1"/>
    <col min="15107" max="15108" width="8.77734375" style="2"/>
    <col min="15109" max="15109" width="7.21875" style="2" customWidth="1"/>
    <col min="15110" max="15110" width="8.21875" style="2" customWidth="1"/>
    <col min="15111" max="15112" width="10.21875" style="2" customWidth="1"/>
    <col min="15113" max="15113" width="3.77734375" style="2" customWidth="1"/>
    <col min="15114" max="15114" width="8.77734375" style="2"/>
    <col min="15115" max="15115" width="6.21875" style="2" customWidth="1"/>
    <col min="15116" max="15116" width="5.5546875" style="2" customWidth="1"/>
    <col min="15117" max="15117" width="10.77734375" style="2" customWidth="1"/>
    <col min="15118" max="15118" width="8.21875" style="2" customWidth="1"/>
    <col min="15119" max="15119" width="12.21875" style="2" customWidth="1"/>
    <col min="15120" max="15120" width="10.21875" style="2" customWidth="1"/>
    <col min="15121" max="15121" width="9.21875" style="2" customWidth="1"/>
    <col min="15122" max="15360" width="8.77734375" style="2"/>
    <col min="15361" max="15361" width="4.21875" style="2" customWidth="1"/>
    <col min="15362" max="15362" width="2.5546875" style="2" customWidth="1"/>
    <col min="15363" max="15364" width="8.77734375" style="2"/>
    <col min="15365" max="15365" width="7.21875" style="2" customWidth="1"/>
    <col min="15366" max="15366" width="8.21875" style="2" customWidth="1"/>
    <col min="15367" max="15368" width="10.21875" style="2" customWidth="1"/>
    <col min="15369" max="15369" width="3.77734375" style="2" customWidth="1"/>
    <col min="15370" max="15370" width="8.77734375" style="2"/>
    <col min="15371" max="15371" width="6.21875" style="2" customWidth="1"/>
    <col min="15372" max="15372" width="5.5546875" style="2" customWidth="1"/>
    <col min="15373" max="15373" width="10.77734375" style="2" customWidth="1"/>
    <col min="15374" max="15374" width="8.21875" style="2" customWidth="1"/>
    <col min="15375" max="15375" width="12.21875" style="2" customWidth="1"/>
    <col min="15376" max="15376" width="10.21875" style="2" customWidth="1"/>
    <col min="15377" max="15377" width="9.21875" style="2" customWidth="1"/>
    <col min="15378" max="15616" width="8.77734375" style="2"/>
    <col min="15617" max="15617" width="4.21875" style="2" customWidth="1"/>
    <col min="15618" max="15618" width="2.5546875" style="2" customWidth="1"/>
    <col min="15619" max="15620" width="8.77734375" style="2"/>
    <col min="15621" max="15621" width="7.21875" style="2" customWidth="1"/>
    <col min="15622" max="15622" width="8.21875" style="2" customWidth="1"/>
    <col min="15623" max="15624" width="10.21875" style="2" customWidth="1"/>
    <col min="15625" max="15625" width="3.77734375" style="2" customWidth="1"/>
    <col min="15626" max="15626" width="8.77734375" style="2"/>
    <col min="15627" max="15627" width="6.21875" style="2" customWidth="1"/>
    <col min="15628" max="15628" width="5.5546875" style="2" customWidth="1"/>
    <col min="15629" max="15629" width="10.77734375" style="2" customWidth="1"/>
    <col min="15630" max="15630" width="8.21875" style="2" customWidth="1"/>
    <col min="15631" max="15631" width="12.21875" style="2" customWidth="1"/>
    <col min="15632" max="15632" width="10.21875" style="2" customWidth="1"/>
    <col min="15633" max="15633" width="9.21875" style="2" customWidth="1"/>
    <col min="15634" max="15872" width="8.77734375" style="2"/>
    <col min="15873" max="15873" width="4.21875" style="2" customWidth="1"/>
    <col min="15874" max="15874" width="2.5546875" style="2" customWidth="1"/>
    <col min="15875" max="15876" width="8.77734375" style="2"/>
    <col min="15877" max="15877" width="7.21875" style="2" customWidth="1"/>
    <col min="15878" max="15878" width="8.21875" style="2" customWidth="1"/>
    <col min="15879" max="15880" width="10.21875" style="2" customWidth="1"/>
    <col min="15881" max="15881" width="3.77734375" style="2" customWidth="1"/>
    <col min="15882" max="15882" width="8.77734375" style="2"/>
    <col min="15883" max="15883" width="6.21875" style="2" customWidth="1"/>
    <col min="15884" max="15884" width="5.5546875" style="2" customWidth="1"/>
    <col min="15885" max="15885" width="10.77734375" style="2" customWidth="1"/>
    <col min="15886" max="15886" width="8.21875" style="2" customWidth="1"/>
    <col min="15887" max="15887" width="12.21875" style="2" customWidth="1"/>
    <col min="15888" max="15888" width="10.21875" style="2" customWidth="1"/>
    <col min="15889" max="15889" width="9.21875" style="2" customWidth="1"/>
    <col min="15890" max="16128" width="8.77734375" style="2"/>
    <col min="16129" max="16129" width="4.21875" style="2" customWidth="1"/>
    <col min="16130" max="16130" width="2.5546875" style="2" customWidth="1"/>
    <col min="16131" max="16132" width="8.77734375" style="2"/>
    <col min="16133" max="16133" width="7.21875" style="2" customWidth="1"/>
    <col min="16134" max="16134" width="8.21875" style="2" customWidth="1"/>
    <col min="16135" max="16136" width="10.21875" style="2" customWidth="1"/>
    <col min="16137" max="16137" width="3.77734375" style="2" customWidth="1"/>
    <col min="16138" max="16138" width="8.77734375" style="2"/>
    <col min="16139" max="16139" width="6.21875" style="2" customWidth="1"/>
    <col min="16140" max="16140" width="5.5546875" style="2" customWidth="1"/>
    <col min="16141" max="16141" width="10.77734375" style="2" customWidth="1"/>
    <col min="16142" max="16142" width="8.21875" style="2" customWidth="1"/>
    <col min="16143" max="16143" width="12.21875" style="2" customWidth="1"/>
    <col min="16144" max="16144" width="10.21875" style="2" customWidth="1"/>
    <col min="16145" max="16145" width="9.21875" style="2" customWidth="1"/>
    <col min="16146" max="16384" width="8.77734375" style="2"/>
  </cols>
  <sheetData>
    <row r="1" spans="1:18" ht="15.6">
      <c r="A1" s="1220" t="s">
        <v>20</v>
      </c>
      <c r="B1" s="1220"/>
      <c r="C1" s="1220"/>
      <c r="D1" s="1220"/>
      <c r="E1" s="1220"/>
      <c r="F1" s="1220"/>
      <c r="G1" s="1220"/>
      <c r="H1" s="1220"/>
      <c r="I1" s="1220"/>
      <c r="J1" s="1220"/>
      <c r="K1" s="1220"/>
      <c r="L1" s="1220"/>
      <c r="M1" s="1220"/>
      <c r="N1" s="1220"/>
      <c r="O1" s="1220"/>
      <c r="P1" s="49"/>
      <c r="Q1" s="50"/>
      <c r="R1" s="49"/>
    </row>
    <row r="2" spans="1:18" ht="15.6">
      <c r="A2" s="1220" t="s">
        <v>42</v>
      </c>
      <c r="B2" s="1220"/>
      <c r="C2" s="1220"/>
      <c r="D2" s="1220"/>
      <c r="E2" s="1220"/>
      <c r="F2" s="1220"/>
      <c r="G2" s="1220"/>
      <c r="H2" s="1220"/>
      <c r="I2" s="1220"/>
      <c r="J2" s="1220"/>
      <c r="K2" s="1220"/>
      <c r="L2" s="1220"/>
      <c r="M2" s="1220"/>
      <c r="N2" s="1220"/>
      <c r="O2" s="1220"/>
    </row>
    <row r="3" spans="1:18" ht="9" customHeight="1">
      <c r="A3" s="49"/>
      <c r="B3" s="49"/>
      <c r="C3" s="49"/>
      <c r="D3" s="49"/>
      <c r="E3" s="49"/>
      <c r="F3" s="49"/>
      <c r="G3" s="49"/>
      <c r="H3" s="49"/>
      <c r="I3" s="49"/>
      <c r="J3" s="49"/>
      <c r="K3" s="49"/>
      <c r="L3" s="49"/>
      <c r="M3" s="49"/>
      <c r="N3" s="49"/>
      <c r="O3" s="49"/>
    </row>
    <row r="4" spans="1:18" ht="7.5" customHeight="1"/>
    <row r="5" spans="1:18" ht="39" customHeight="1">
      <c r="A5" s="33" t="s">
        <v>22</v>
      </c>
      <c r="F5" s="34" t="s">
        <v>23</v>
      </c>
      <c r="H5" s="35" t="s">
        <v>24</v>
      </c>
      <c r="I5" s="36"/>
      <c r="J5" s="1221" t="s">
        <v>25</v>
      </c>
      <c r="K5" s="1217"/>
      <c r="M5" s="3" t="s">
        <v>26</v>
      </c>
      <c r="O5" s="37" t="s">
        <v>27</v>
      </c>
    </row>
    <row r="6" spans="1:18" ht="6.75" customHeight="1"/>
    <row r="7" spans="1:18" ht="15">
      <c r="B7" s="5" t="s">
        <v>6</v>
      </c>
      <c r="F7" s="38">
        <f>IF('Input (8)'!$G$4=0," ",'Input (8)'!$G$4)</f>
        <v>23.75</v>
      </c>
      <c r="G7" s="39"/>
      <c r="J7" s="1222">
        <f>IF('Input (8)'!G4=0,"0",'Input (8)'!G4)</f>
        <v>23.75</v>
      </c>
      <c r="K7" s="1222"/>
      <c r="L7" s="40" t="s">
        <v>28</v>
      </c>
      <c r="M7" s="41">
        <f>IF('Input (8)'!G4=0,0,LOOKUP(J7,'criteria (8)'!$A$3:$A$10,'criteria (8)'!$B$3:$B$10))</f>
        <v>40</v>
      </c>
      <c r="N7" s="42" t="s">
        <v>29</v>
      </c>
      <c r="O7" s="38">
        <f>IF(Q7=0,0,IF(Q7&lt;LOOKUP(J7,'criteria (8)'!$A$3:$A$10,'criteria (8)'!$C$3:$C$10),LOOKUP(J7,'criteria (8)'!$A$3:$A$10,'criteria (8)'!$C$3:$C$10),IF(LOOKUP(J7,'criteria (8)'!$A$3:$A$10,'criteria (8)'!$C$3:$C$10)=0,0,Q7)))</f>
        <v>0.75</v>
      </c>
      <c r="P7" s="28" t="str">
        <f>IF('Input (8)'!G4=0," ",IF(O7=0,"ADD to 1-6",IF(O7=Q7," ","Minimum")))</f>
        <v>Minimum</v>
      </c>
      <c r="Q7" s="32">
        <f>ROUND(IF('Input (8)'!G4=0,0,IF(M7=0,0,(J7/M7))),2)</f>
        <v>0.59</v>
      </c>
    </row>
    <row r="8" spans="1:18" ht="6.75" customHeight="1">
      <c r="J8" s="43"/>
      <c r="K8" s="43"/>
      <c r="O8" s="43"/>
    </row>
    <row r="9" spans="1:18">
      <c r="B9" s="5" t="s">
        <v>7</v>
      </c>
      <c r="J9" s="43"/>
      <c r="K9" s="43"/>
      <c r="O9" s="43"/>
    </row>
    <row r="10" spans="1:18">
      <c r="B10" s="28" t="s">
        <v>30</v>
      </c>
      <c r="J10" s="43"/>
      <c r="K10" s="43"/>
      <c r="O10" s="43"/>
    </row>
    <row r="11" spans="1:18" ht="16.5" customHeight="1">
      <c r="C11" s="12" t="s">
        <v>8</v>
      </c>
      <c r="F11" s="41" t="str">
        <f>IF(J11=0," ",IF($J$16&gt;300," ",'Input (8)'!G7))</f>
        <v xml:space="preserve"> </v>
      </c>
      <c r="G11" s="44" t="s">
        <v>31</v>
      </c>
      <c r="H11" s="38" t="str">
        <f>IF(J11=0," ",'C (8)'!H25)</f>
        <v xml:space="preserve"> </v>
      </c>
      <c r="I11" s="42" t="s">
        <v>29</v>
      </c>
      <c r="J11" s="1222">
        <f>IF('Input (8)'!G7=0,0,IF(SUM('Input (8)'!G7-'C (8)'!H25)+SUM('Input (8)'!G8-'C (8)'!H26)&gt;299.99,SUM('Input (8)'!G7-'C (8)'!H25),0))</f>
        <v>0</v>
      </c>
      <c r="K11" s="1222"/>
      <c r="L11" s="40" t="s">
        <v>28</v>
      </c>
      <c r="M11" s="41">
        <f>IF(SUM('Input (8)'!$G$7-'C (8)'!$H$25)+SUM('Input (8)'!$G$8-'C (8)'!$H$26)&gt;299.99,20,0)</f>
        <v>0</v>
      </c>
      <c r="N11" s="42" t="s">
        <v>29</v>
      </c>
      <c r="O11" s="38">
        <f>ROUND(IF(SUM('Input (8)'!$G$7-'C (8)'!$H$25)+SUM('Input (8)'!$G$8-'C (8)'!$H$26)&lt;299.99,0,IF(Q11+Q13&lt;15,0,(J11/M11))),2)</f>
        <v>0</v>
      </c>
      <c r="P11" s="2" t="str">
        <f>IF(O11=0," ",IF(O11=Q11," ","Minimum"))</f>
        <v xml:space="preserve"> </v>
      </c>
      <c r="Q11" s="32">
        <f>ROUND(IF(SUM('Input (8)'!$G$7-'C (8)'!$H$25)+SUM('Input (8)'!$G$8-'C (8)'!$H$26)&lt;299.99,0,(J11/M11)),2)</f>
        <v>0</v>
      </c>
    </row>
    <row r="12" spans="1:18" ht="9" customHeight="1">
      <c r="B12" s="12"/>
      <c r="J12" s="43"/>
      <c r="K12" s="43"/>
      <c r="O12" s="43"/>
    </row>
    <row r="13" spans="1:18" ht="15">
      <c r="C13" s="12" t="s">
        <v>9</v>
      </c>
      <c r="F13" s="41" t="str">
        <f>IF(J13=0," ",IF($J$16&gt;300," ",'Input (8)'!G8))</f>
        <v xml:space="preserve"> </v>
      </c>
      <c r="G13" s="44" t="s">
        <v>31</v>
      </c>
      <c r="H13" s="38" t="str">
        <f>IF(J13=0," ",'C (8)'!H26)</f>
        <v xml:space="preserve"> </v>
      </c>
      <c r="I13" s="42" t="s">
        <v>29</v>
      </c>
      <c r="J13" s="1222">
        <f>IF('Input (8)'!G8=0,0,IF(SUM('Input (8)'!G7-'C (8)'!H25)+SUM('Input (8)'!G8-'C (8)'!H26)&gt;299.99,SUM('Input (8)'!G8-'C (8)'!H26),0))</f>
        <v>0</v>
      </c>
      <c r="K13" s="1222"/>
      <c r="L13" s="40" t="s">
        <v>28</v>
      </c>
      <c r="M13" s="41">
        <f>IF(SUM('Input (8)'!$G$7-'C (8)'!$H$25)+SUM('Input (8)'!$G$8-'C (8)'!$H$26)&gt;299.99,23,0)</f>
        <v>0</v>
      </c>
      <c r="N13" s="42" t="s">
        <v>29</v>
      </c>
      <c r="O13" s="38">
        <f>ROUND(IF(SUM('Input (8)'!$G$7-'C (8)'!$H$25)+SUM('Input (8)'!$G$8-'C (8)'!$H$26)&lt;299.99,0,IF(Q11+Q13&lt;15,0,($J$13/$M$13))),2)</f>
        <v>0</v>
      </c>
      <c r="P13" s="2" t="str">
        <f>IF(O13=0," ",IF(O13=Q13," ","Minimum"))</f>
        <v xml:space="preserve"> </v>
      </c>
      <c r="Q13" s="32">
        <f>ROUND(IF(SUM('Input (8)'!$G$7-'C (8)'!$H$25)+SUM('Input (8)'!$G$8-'C (8)'!$H$26)&lt;299.99,0,($J$13/$M$13)),2)</f>
        <v>0</v>
      </c>
    </row>
    <row r="14" spans="1:18" ht="15">
      <c r="B14" s="5" t="s">
        <v>7</v>
      </c>
      <c r="F14" s="36"/>
      <c r="G14" s="44"/>
      <c r="H14" s="39"/>
      <c r="I14" s="42"/>
      <c r="O14" s="39" t="str">
        <f>IF(P14="Minimum",15," ")</f>
        <v xml:space="preserve"> </v>
      </c>
      <c r="P14" s="2" t="str">
        <f>IF(Q11+Q13=0," ",IF(Q11+Q13&lt;15,"Minimum"," "))</f>
        <v xml:space="preserve"> </v>
      </c>
    </row>
    <row r="15" spans="1:18">
      <c r="B15" s="28" t="s">
        <v>32</v>
      </c>
      <c r="O15" s="43"/>
    </row>
    <row r="16" spans="1:18" ht="15">
      <c r="C16" s="12" t="s">
        <v>33</v>
      </c>
      <c r="F16" s="41">
        <f>IF(J16=0," ",IF(J16&lt;300,SUM('Input (8)'!G7+'Input (8)'!G8)," "))</f>
        <v>142.5</v>
      </c>
      <c r="G16" s="44" t="s">
        <v>31</v>
      </c>
      <c r="H16" s="38">
        <f>IF(J16=0," ",'C (8)'!H22)</f>
        <v>10.5</v>
      </c>
      <c r="I16" s="42" t="s">
        <v>29</v>
      </c>
      <c r="J16" s="1222">
        <f>IF('Input (8)'!G9=0,0,IF(SUM('Input (8)'!G7-'C (8)'!H25)+SUM('Input (8)'!G8-'C (8)'!H26)&lt;300,IF(P7="ADD to 1-6",SUM('Input (8)'!G7-'C (8)'!H25)+SUM('Input (8)'!G8-'C (8)'!H26)+'Input (8)'!G4,SUM('Input (8)'!G7-'C (8)'!H25)+SUM('Input (8)'!G8-'C (8)'!H26)),0))</f>
        <v>132</v>
      </c>
      <c r="K16" s="1222"/>
      <c r="L16" s="40" t="s">
        <v>28</v>
      </c>
      <c r="M16" s="41">
        <f>IF(SUM('Input (8)'!$G$7-'C (8)'!$H$25)+SUM('Input (8)'!$G$8-'C (8)'!$H$26)&lt;299.99,LOOKUP(J16,'criteria (8)'!$M$3:$M$11,'criteria (8)'!$N$3:$N$11),0)</f>
        <v>19</v>
      </c>
      <c r="N16" s="42" t="s">
        <v>29</v>
      </c>
      <c r="O16" s="38">
        <f>IF(Q16=0,0,IF(Q16&lt;LOOKUP(J16,'criteria (8)'!$M$3:$M$10,'criteria (8)'!$O$3:$O$10),LOOKUP(J16,'criteria (8)'!$M$3:$M$10,'criteria (8)'!$O$3:$O$10),Q16))</f>
        <v>6.95</v>
      </c>
      <c r="P16" s="2" t="str">
        <f>IF(O16=0," ",IF(O16=Q16," ","Minimum"))</f>
        <v xml:space="preserve"> </v>
      </c>
      <c r="Q16" s="32">
        <f>ROUND(IF('Input (8)'!G9=0,0,IF(SUM('Input (8)'!$G$7-'C (8)'!$H$25)+SUM('Input (8)'!$G$8-'C (8)'!$H$26)&gt;299.99,0,(J16/M16))),2)</f>
        <v>6.95</v>
      </c>
    </row>
    <row r="17" spans="1:17" ht="6" customHeight="1">
      <c r="J17" s="43"/>
      <c r="K17" s="43"/>
      <c r="O17" s="43"/>
    </row>
    <row r="18" spans="1:17" ht="15">
      <c r="B18" s="5" t="s">
        <v>10</v>
      </c>
      <c r="F18" s="41">
        <f>IF(J18=0," ",'Input (8)'!G10)</f>
        <v>142.5</v>
      </c>
      <c r="G18" s="44" t="s">
        <v>31</v>
      </c>
      <c r="H18" s="38">
        <f>IF(J18=0," ",'C (8)'!$H$43)</f>
        <v>8.25</v>
      </c>
      <c r="I18" s="42" t="s">
        <v>29</v>
      </c>
      <c r="J18" s="1222">
        <f>IF('Input (8)'!G10=0,0,SUM('Input (8)'!G10-'C (8)'!H43))</f>
        <v>134.25</v>
      </c>
      <c r="K18" s="1222"/>
      <c r="L18" s="40" t="s">
        <v>28</v>
      </c>
      <c r="M18" s="41">
        <f>IF(J18=0,0,IF(J18&gt;99.99,LOOKUP(J18,'criteria (8)'!Q3:Q10,'criteria (8)'!R3:R10),12))</f>
        <v>12</v>
      </c>
      <c r="N18" s="42" t="s">
        <v>29</v>
      </c>
      <c r="O18" s="38">
        <f>ROUND(IF(J18=0,0,IF(J18&lt;99.99,IF(M18=0,8,(J18/M18)),IF(Q18&lt;LOOKUP(J18,'criteria (8)'!$Q$3:$Q$10,'criteria (8)'!$S$3:$S$10),LOOKUP(J18,'criteria (8)'!$Q$3:$Q$10,'criteria (8)'!$S$3:$S$10),Q18))),2)</f>
        <v>11.19</v>
      </c>
      <c r="P18" s="2" t="str">
        <f>IF(O18=0," ",IF(O18=Q18," ","Minimum"))</f>
        <v xml:space="preserve"> </v>
      </c>
      <c r="Q18" s="32">
        <f>ROUND(IF(M18=0,0,(J18/M18)),2)</f>
        <v>11.19</v>
      </c>
    </row>
    <row r="19" spans="1:17">
      <c r="B19" s="5"/>
      <c r="J19" s="39"/>
      <c r="K19" s="39"/>
      <c r="M19" s="36"/>
      <c r="N19" s="42"/>
      <c r="O19" s="36"/>
    </row>
    <row r="20" spans="1:17" ht="15.6">
      <c r="A20" s="48" t="s">
        <v>43</v>
      </c>
      <c r="J20" s="43"/>
      <c r="K20" s="43"/>
    </row>
    <row r="21" spans="1:17" ht="3.75" customHeight="1">
      <c r="J21" s="43"/>
      <c r="K21" s="43"/>
    </row>
    <row r="22" spans="1:17">
      <c r="B22" s="2" t="s">
        <v>44</v>
      </c>
      <c r="J22" s="1222" t="str">
        <f>IF('C (8)'!H55=0," ",'C (8)'!H55)</f>
        <v xml:space="preserve"> </v>
      </c>
      <c r="K22" s="1222"/>
    </row>
    <row r="23" spans="1:17" ht="6" customHeight="1">
      <c r="J23" s="43"/>
      <c r="K23" s="43"/>
    </row>
    <row r="24" spans="1:17">
      <c r="B24" s="2" t="s">
        <v>45</v>
      </c>
      <c r="J24" s="1222">
        <f>IF('C (8)'!H22=0," ",'C (8)'!H22)</f>
        <v>10.5</v>
      </c>
      <c r="K24" s="1222"/>
    </row>
    <row r="25" spans="1:17" ht="6" customHeight="1">
      <c r="J25" s="43"/>
      <c r="K25" s="43"/>
    </row>
    <row r="26" spans="1:17">
      <c r="B26" s="2" t="s">
        <v>46</v>
      </c>
      <c r="J26" s="1222">
        <f>IF('C (8)'!H43=0," ",'C (8)'!H43)</f>
        <v>8.25</v>
      </c>
      <c r="K26" s="1222"/>
    </row>
    <row r="27" spans="1:17" ht="6" customHeight="1">
      <c r="J27" s="43"/>
      <c r="K27" s="43"/>
    </row>
    <row r="28" spans="1:17" ht="6" customHeight="1">
      <c r="J28" s="39"/>
      <c r="K28" s="39"/>
    </row>
    <row r="29" spans="1:17" ht="13.5" customHeight="1" thickBot="1">
      <c r="B29" s="46" t="s">
        <v>47</v>
      </c>
      <c r="J29" s="1219">
        <f>SUM(J22:K27)</f>
        <v>18.75</v>
      </c>
      <c r="K29" s="1219"/>
      <c r="L29" s="40" t="s">
        <v>28</v>
      </c>
      <c r="M29" s="41">
        <f>IF(SUM('Input (8)'!C4:C10)=0,0,IF(J29&gt;=14,LOOKUP(J29,'criteria (8)'!$U$3:$U$10,'criteria (8)'!$V$3:$V$10),0))</f>
        <v>14.5</v>
      </c>
      <c r="N29" s="42" t="s">
        <v>29</v>
      </c>
      <c r="O29" s="38">
        <f>IF(J29=0,0,IF(Q29&lt;LOOKUP(J29,'criteria (8)'!$U$3:$U$10,'criteria (8)'!$W$3:$W$10),LOOKUP(J29,'criteria (8)'!$U$3:$U$10,'criteria (8)'!$W$3:$W$10),Q29))</f>
        <v>1.29</v>
      </c>
      <c r="P29" s="2" t="str">
        <f>IF(O29=0," ",IF(O29=Q29," ","Minimum"))</f>
        <v xml:space="preserve"> </v>
      </c>
      <c r="Q29" s="32">
        <f>ROUND(IF(SUM('Input (8)'!C4:C10)=0,0,IF(M29=0,0,(J29/M29))),2)</f>
        <v>1.29</v>
      </c>
    </row>
    <row r="30" spans="1:17" ht="12" customHeight="1" thickTop="1">
      <c r="B30" s="1226"/>
      <c r="C30" s="1226"/>
      <c r="D30" s="1226"/>
      <c r="E30" s="1226"/>
      <c r="F30" s="47"/>
      <c r="G30" s="47"/>
      <c r="H30" s="47"/>
      <c r="J30" s="12"/>
      <c r="N30" s="42"/>
      <c r="O30" s="39"/>
      <c r="P30" s="46"/>
    </row>
    <row r="31" spans="1:17" ht="19.5" customHeight="1">
      <c r="A31" s="48" t="s">
        <v>39</v>
      </c>
      <c r="O31" s="43"/>
    </row>
    <row r="32" spans="1:17" ht="15">
      <c r="B32" s="1227" t="str">
        <f>IF('Input (8)'!E14=0," ","Alternative Secondary High School")</f>
        <v xml:space="preserve"> </v>
      </c>
      <c r="C32" s="1227"/>
      <c r="D32" s="1227"/>
      <c r="E32" s="1227"/>
      <c r="F32" s="1227"/>
      <c r="J32" s="1222">
        <f>'Input (8)'!G14</f>
        <v>0</v>
      </c>
      <c r="K32" s="1222"/>
      <c r="L32" s="40" t="s">
        <v>28</v>
      </c>
      <c r="M32" s="41">
        <f>IF(J32=0,0,IF(Q32&lt;1,M18,12))</f>
        <v>0</v>
      </c>
      <c r="N32" s="42" t="s">
        <v>29</v>
      </c>
      <c r="O32" s="38">
        <f>ROUND(IF(J32=0,0,J32/M32),2)</f>
        <v>0</v>
      </c>
      <c r="P32" s="45"/>
      <c r="Q32" s="32">
        <f>ROUND(IF(J32=0,0,J32/12),2)</f>
        <v>0</v>
      </c>
    </row>
    <row r="33" spans="1:17" ht="11.25" customHeight="1">
      <c r="J33" s="43"/>
      <c r="K33" s="43"/>
      <c r="O33" s="43"/>
    </row>
    <row r="34" spans="1:17" ht="11.25" customHeight="1">
      <c r="B34" s="1227" t="str">
        <f>IF('Input (8)'!E15=0," ","Summer Alternative Secondary High School")</f>
        <v xml:space="preserve"> </v>
      </c>
      <c r="C34" s="1227"/>
      <c r="D34" s="1227"/>
      <c r="E34" s="1227"/>
      <c r="F34" s="1227"/>
      <c r="J34" s="1222">
        <f>'Input (8)'!E15</f>
        <v>0</v>
      </c>
      <c r="K34" s="1222"/>
      <c r="L34" s="40" t="s">
        <v>28</v>
      </c>
      <c r="M34" s="41">
        <f>IF(J34=0,0,40)</f>
        <v>0</v>
      </c>
      <c r="N34" s="42" t="s">
        <v>29</v>
      </c>
      <c r="O34" s="38">
        <f>ROUND(IF(J34=0,0,J34/M34),2)</f>
        <v>0</v>
      </c>
      <c r="P34" s="45"/>
      <c r="Q34" s="32">
        <f>ROUND(IF(J34=0,0,J34/12),2)</f>
        <v>0</v>
      </c>
    </row>
    <row r="35" spans="1:17" ht="13.5" customHeight="1">
      <c r="J35" s="36"/>
      <c r="K35" s="36"/>
      <c r="L35" s="40"/>
      <c r="M35" s="36"/>
      <c r="N35" s="42"/>
      <c r="O35" s="36"/>
      <c r="P35" s="46"/>
    </row>
    <row r="36" spans="1:17" ht="18.75" customHeight="1" thickBot="1">
      <c r="A36" s="45"/>
      <c r="B36" s="12" t="s">
        <v>40</v>
      </c>
      <c r="C36" s="46"/>
      <c r="D36" s="46"/>
      <c r="E36" s="46"/>
      <c r="F36" s="46"/>
      <c r="G36" s="46"/>
      <c r="H36" s="46"/>
      <c r="I36" s="46"/>
      <c r="J36" s="46"/>
      <c r="K36" s="46"/>
      <c r="M36" s="36"/>
      <c r="O36" s="52">
        <f>ROUND(IF(SUM(O7:O34)=0,0,SUM(O7:O34)),2)</f>
        <v>20.18</v>
      </c>
    </row>
    <row r="37" spans="1:17" ht="13.8" thickTop="1"/>
  </sheetData>
  <sheetProtection password="CDD6" sheet="1" objects="1" scenarios="1"/>
  <mergeCells count="17">
    <mergeCell ref="B30:E30"/>
    <mergeCell ref="B32:F32"/>
    <mergeCell ref="J32:K32"/>
    <mergeCell ref="B34:F34"/>
    <mergeCell ref="J34:K34"/>
    <mergeCell ref="J29:K29"/>
    <mergeCell ref="A1:O1"/>
    <mergeCell ref="A2:O2"/>
    <mergeCell ref="J5:K5"/>
    <mergeCell ref="J7:K7"/>
    <mergeCell ref="J11:K11"/>
    <mergeCell ref="J13:K13"/>
    <mergeCell ref="J16:K16"/>
    <mergeCell ref="J18:K18"/>
    <mergeCell ref="J22:K22"/>
    <mergeCell ref="J24:K24"/>
    <mergeCell ref="J26:K26"/>
  </mergeCells>
  <pageMargins left="0.5" right="0.5" top="0.5" bottom="0.5" header="0.25" footer="0.25"/>
  <pageSetup scale="76" orientation="portrait" r:id="rId1"/>
  <headerFooter alignWithMargins="0">
    <oddFooter>&amp;L&amp;F</oddFooter>
  </headerFooter>
  <colBreaks count="1" manualBreakCount="1">
    <brk id="16" max="1048575"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9"/>
  <dimension ref="A1:R37"/>
  <sheetViews>
    <sheetView showGridLines="0" zoomScale="90" zoomScaleNormal="100" workbookViewId="0">
      <selection activeCell="O36" sqref="O36"/>
    </sheetView>
  </sheetViews>
  <sheetFormatPr defaultRowHeight="13.2"/>
  <cols>
    <col min="1" max="1" width="4.21875" style="30" customWidth="1"/>
    <col min="2" max="2" width="2.5546875" style="2" customWidth="1"/>
    <col min="3" max="4" width="8.77734375" style="2"/>
    <col min="5" max="5" width="7.21875" style="2" customWidth="1"/>
    <col min="6" max="6" width="8.21875" style="2" customWidth="1"/>
    <col min="7" max="8" width="10.21875" style="2" customWidth="1"/>
    <col min="9" max="9" width="3.77734375" style="2" customWidth="1"/>
    <col min="10" max="10" width="8.77734375" style="2"/>
    <col min="11" max="11" width="6.21875" style="2" customWidth="1"/>
    <col min="12" max="12" width="5.5546875" style="2" customWidth="1"/>
    <col min="13" max="13" width="10.77734375" style="2" customWidth="1"/>
    <col min="14" max="14" width="8.21875" style="2" customWidth="1"/>
    <col min="15" max="15" width="12.21875" style="2" customWidth="1"/>
    <col min="16" max="16" width="10.21875" style="2" customWidth="1"/>
    <col min="17" max="17" width="9.21875" style="32" customWidth="1"/>
    <col min="18" max="256" width="8.77734375" style="2"/>
    <col min="257" max="257" width="4.21875" style="2" customWidth="1"/>
    <col min="258" max="258" width="2.5546875" style="2" customWidth="1"/>
    <col min="259" max="260" width="8.77734375" style="2"/>
    <col min="261" max="261" width="7.21875" style="2" customWidth="1"/>
    <col min="262" max="262" width="8.21875" style="2" customWidth="1"/>
    <col min="263" max="264" width="10.21875" style="2" customWidth="1"/>
    <col min="265" max="265" width="3.77734375" style="2" customWidth="1"/>
    <col min="266" max="266" width="8.77734375" style="2"/>
    <col min="267" max="267" width="6.21875" style="2" customWidth="1"/>
    <col min="268" max="268" width="5.5546875" style="2" customWidth="1"/>
    <col min="269" max="269" width="10.77734375" style="2" customWidth="1"/>
    <col min="270" max="270" width="8.21875" style="2" customWidth="1"/>
    <col min="271" max="271" width="12.21875" style="2" customWidth="1"/>
    <col min="272" max="272" width="10.21875" style="2" customWidth="1"/>
    <col min="273" max="273" width="9.21875" style="2" customWidth="1"/>
    <col min="274" max="512" width="8.77734375" style="2"/>
    <col min="513" max="513" width="4.21875" style="2" customWidth="1"/>
    <col min="514" max="514" width="2.5546875" style="2" customWidth="1"/>
    <col min="515" max="516" width="8.77734375" style="2"/>
    <col min="517" max="517" width="7.21875" style="2" customWidth="1"/>
    <col min="518" max="518" width="8.21875" style="2" customWidth="1"/>
    <col min="519" max="520" width="10.21875" style="2" customWidth="1"/>
    <col min="521" max="521" width="3.77734375" style="2" customWidth="1"/>
    <col min="522" max="522" width="8.77734375" style="2"/>
    <col min="523" max="523" width="6.21875" style="2" customWidth="1"/>
    <col min="524" max="524" width="5.5546875" style="2" customWidth="1"/>
    <col min="525" max="525" width="10.77734375" style="2" customWidth="1"/>
    <col min="526" max="526" width="8.21875" style="2" customWidth="1"/>
    <col min="527" max="527" width="12.21875" style="2" customWidth="1"/>
    <col min="528" max="528" width="10.21875" style="2" customWidth="1"/>
    <col min="529" max="529" width="9.21875" style="2" customWidth="1"/>
    <col min="530" max="768" width="8.77734375" style="2"/>
    <col min="769" max="769" width="4.21875" style="2" customWidth="1"/>
    <col min="770" max="770" width="2.5546875" style="2" customWidth="1"/>
    <col min="771" max="772" width="8.77734375" style="2"/>
    <col min="773" max="773" width="7.21875" style="2" customWidth="1"/>
    <col min="774" max="774" width="8.21875" style="2" customWidth="1"/>
    <col min="775" max="776" width="10.21875" style="2" customWidth="1"/>
    <col min="777" max="777" width="3.77734375" style="2" customWidth="1"/>
    <col min="778" max="778" width="8.77734375" style="2"/>
    <col min="779" max="779" width="6.21875" style="2" customWidth="1"/>
    <col min="780" max="780" width="5.5546875" style="2" customWidth="1"/>
    <col min="781" max="781" width="10.77734375" style="2" customWidth="1"/>
    <col min="782" max="782" width="8.21875" style="2" customWidth="1"/>
    <col min="783" max="783" width="12.21875" style="2" customWidth="1"/>
    <col min="784" max="784" width="10.21875" style="2" customWidth="1"/>
    <col min="785" max="785" width="9.21875" style="2" customWidth="1"/>
    <col min="786" max="1024" width="8.77734375" style="2"/>
    <col min="1025" max="1025" width="4.21875" style="2" customWidth="1"/>
    <col min="1026" max="1026" width="2.5546875" style="2" customWidth="1"/>
    <col min="1027" max="1028" width="8.77734375" style="2"/>
    <col min="1029" max="1029" width="7.21875" style="2" customWidth="1"/>
    <col min="1030" max="1030" width="8.21875" style="2" customWidth="1"/>
    <col min="1031" max="1032" width="10.21875" style="2" customWidth="1"/>
    <col min="1033" max="1033" width="3.77734375" style="2" customWidth="1"/>
    <col min="1034" max="1034" width="8.77734375" style="2"/>
    <col min="1035" max="1035" width="6.21875" style="2" customWidth="1"/>
    <col min="1036" max="1036" width="5.5546875" style="2" customWidth="1"/>
    <col min="1037" max="1037" width="10.77734375" style="2" customWidth="1"/>
    <col min="1038" max="1038" width="8.21875" style="2" customWidth="1"/>
    <col min="1039" max="1039" width="12.21875" style="2" customWidth="1"/>
    <col min="1040" max="1040" width="10.21875" style="2" customWidth="1"/>
    <col min="1041" max="1041" width="9.21875" style="2" customWidth="1"/>
    <col min="1042" max="1280" width="8.77734375" style="2"/>
    <col min="1281" max="1281" width="4.21875" style="2" customWidth="1"/>
    <col min="1282" max="1282" width="2.5546875" style="2" customWidth="1"/>
    <col min="1283" max="1284" width="8.77734375" style="2"/>
    <col min="1285" max="1285" width="7.21875" style="2" customWidth="1"/>
    <col min="1286" max="1286" width="8.21875" style="2" customWidth="1"/>
    <col min="1287" max="1288" width="10.21875" style="2" customWidth="1"/>
    <col min="1289" max="1289" width="3.77734375" style="2" customWidth="1"/>
    <col min="1290" max="1290" width="8.77734375" style="2"/>
    <col min="1291" max="1291" width="6.21875" style="2" customWidth="1"/>
    <col min="1292" max="1292" width="5.5546875" style="2" customWidth="1"/>
    <col min="1293" max="1293" width="10.77734375" style="2" customWidth="1"/>
    <col min="1294" max="1294" width="8.21875" style="2" customWidth="1"/>
    <col min="1295" max="1295" width="12.21875" style="2" customWidth="1"/>
    <col min="1296" max="1296" width="10.21875" style="2" customWidth="1"/>
    <col min="1297" max="1297" width="9.21875" style="2" customWidth="1"/>
    <col min="1298" max="1536" width="8.77734375" style="2"/>
    <col min="1537" max="1537" width="4.21875" style="2" customWidth="1"/>
    <col min="1538" max="1538" width="2.5546875" style="2" customWidth="1"/>
    <col min="1539" max="1540" width="8.77734375" style="2"/>
    <col min="1541" max="1541" width="7.21875" style="2" customWidth="1"/>
    <col min="1542" max="1542" width="8.21875" style="2" customWidth="1"/>
    <col min="1543" max="1544" width="10.21875" style="2" customWidth="1"/>
    <col min="1545" max="1545" width="3.77734375" style="2" customWidth="1"/>
    <col min="1546" max="1546" width="8.77734375" style="2"/>
    <col min="1547" max="1547" width="6.21875" style="2" customWidth="1"/>
    <col min="1548" max="1548" width="5.5546875" style="2" customWidth="1"/>
    <col min="1549" max="1549" width="10.77734375" style="2" customWidth="1"/>
    <col min="1550" max="1550" width="8.21875" style="2" customWidth="1"/>
    <col min="1551" max="1551" width="12.21875" style="2" customWidth="1"/>
    <col min="1552" max="1552" width="10.21875" style="2" customWidth="1"/>
    <col min="1553" max="1553" width="9.21875" style="2" customWidth="1"/>
    <col min="1554" max="1792" width="8.77734375" style="2"/>
    <col min="1793" max="1793" width="4.21875" style="2" customWidth="1"/>
    <col min="1794" max="1794" width="2.5546875" style="2" customWidth="1"/>
    <col min="1795" max="1796" width="8.77734375" style="2"/>
    <col min="1797" max="1797" width="7.21875" style="2" customWidth="1"/>
    <col min="1798" max="1798" width="8.21875" style="2" customWidth="1"/>
    <col min="1799" max="1800" width="10.21875" style="2" customWidth="1"/>
    <col min="1801" max="1801" width="3.77734375" style="2" customWidth="1"/>
    <col min="1802" max="1802" width="8.77734375" style="2"/>
    <col min="1803" max="1803" width="6.21875" style="2" customWidth="1"/>
    <col min="1804" max="1804" width="5.5546875" style="2" customWidth="1"/>
    <col min="1805" max="1805" width="10.77734375" style="2" customWidth="1"/>
    <col min="1806" max="1806" width="8.21875" style="2" customWidth="1"/>
    <col min="1807" max="1807" width="12.21875" style="2" customWidth="1"/>
    <col min="1808" max="1808" width="10.21875" style="2" customWidth="1"/>
    <col min="1809" max="1809" width="9.21875" style="2" customWidth="1"/>
    <col min="1810" max="2048" width="8.77734375" style="2"/>
    <col min="2049" max="2049" width="4.21875" style="2" customWidth="1"/>
    <col min="2050" max="2050" width="2.5546875" style="2" customWidth="1"/>
    <col min="2051" max="2052" width="8.77734375" style="2"/>
    <col min="2053" max="2053" width="7.21875" style="2" customWidth="1"/>
    <col min="2054" max="2054" width="8.21875" style="2" customWidth="1"/>
    <col min="2055" max="2056" width="10.21875" style="2" customWidth="1"/>
    <col min="2057" max="2057" width="3.77734375" style="2" customWidth="1"/>
    <col min="2058" max="2058" width="8.77734375" style="2"/>
    <col min="2059" max="2059" width="6.21875" style="2" customWidth="1"/>
    <col min="2060" max="2060" width="5.5546875" style="2" customWidth="1"/>
    <col min="2061" max="2061" width="10.77734375" style="2" customWidth="1"/>
    <col min="2062" max="2062" width="8.21875" style="2" customWidth="1"/>
    <col min="2063" max="2063" width="12.21875" style="2" customWidth="1"/>
    <col min="2064" max="2064" width="10.21875" style="2" customWidth="1"/>
    <col min="2065" max="2065" width="9.21875" style="2" customWidth="1"/>
    <col min="2066" max="2304" width="8.77734375" style="2"/>
    <col min="2305" max="2305" width="4.21875" style="2" customWidth="1"/>
    <col min="2306" max="2306" width="2.5546875" style="2" customWidth="1"/>
    <col min="2307" max="2308" width="8.77734375" style="2"/>
    <col min="2309" max="2309" width="7.21875" style="2" customWidth="1"/>
    <col min="2310" max="2310" width="8.21875" style="2" customWidth="1"/>
    <col min="2311" max="2312" width="10.21875" style="2" customWidth="1"/>
    <col min="2313" max="2313" width="3.77734375" style="2" customWidth="1"/>
    <col min="2314" max="2314" width="8.77734375" style="2"/>
    <col min="2315" max="2315" width="6.21875" style="2" customWidth="1"/>
    <col min="2316" max="2316" width="5.5546875" style="2" customWidth="1"/>
    <col min="2317" max="2317" width="10.77734375" style="2" customWidth="1"/>
    <col min="2318" max="2318" width="8.21875" style="2" customWidth="1"/>
    <col min="2319" max="2319" width="12.21875" style="2" customWidth="1"/>
    <col min="2320" max="2320" width="10.21875" style="2" customWidth="1"/>
    <col min="2321" max="2321" width="9.21875" style="2" customWidth="1"/>
    <col min="2322" max="2560" width="8.77734375" style="2"/>
    <col min="2561" max="2561" width="4.21875" style="2" customWidth="1"/>
    <col min="2562" max="2562" width="2.5546875" style="2" customWidth="1"/>
    <col min="2563" max="2564" width="8.77734375" style="2"/>
    <col min="2565" max="2565" width="7.21875" style="2" customWidth="1"/>
    <col min="2566" max="2566" width="8.21875" style="2" customWidth="1"/>
    <col min="2567" max="2568" width="10.21875" style="2" customWidth="1"/>
    <col min="2569" max="2569" width="3.77734375" style="2" customWidth="1"/>
    <col min="2570" max="2570" width="8.77734375" style="2"/>
    <col min="2571" max="2571" width="6.21875" style="2" customWidth="1"/>
    <col min="2572" max="2572" width="5.5546875" style="2" customWidth="1"/>
    <col min="2573" max="2573" width="10.77734375" style="2" customWidth="1"/>
    <col min="2574" max="2574" width="8.21875" style="2" customWidth="1"/>
    <col min="2575" max="2575" width="12.21875" style="2" customWidth="1"/>
    <col min="2576" max="2576" width="10.21875" style="2" customWidth="1"/>
    <col min="2577" max="2577" width="9.21875" style="2" customWidth="1"/>
    <col min="2578" max="2816" width="8.77734375" style="2"/>
    <col min="2817" max="2817" width="4.21875" style="2" customWidth="1"/>
    <col min="2818" max="2818" width="2.5546875" style="2" customWidth="1"/>
    <col min="2819" max="2820" width="8.77734375" style="2"/>
    <col min="2821" max="2821" width="7.21875" style="2" customWidth="1"/>
    <col min="2822" max="2822" width="8.21875" style="2" customWidth="1"/>
    <col min="2823" max="2824" width="10.21875" style="2" customWidth="1"/>
    <col min="2825" max="2825" width="3.77734375" style="2" customWidth="1"/>
    <col min="2826" max="2826" width="8.77734375" style="2"/>
    <col min="2827" max="2827" width="6.21875" style="2" customWidth="1"/>
    <col min="2828" max="2828" width="5.5546875" style="2" customWidth="1"/>
    <col min="2829" max="2829" width="10.77734375" style="2" customWidth="1"/>
    <col min="2830" max="2830" width="8.21875" style="2" customWidth="1"/>
    <col min="2831" max="2831" width="12.21875" style="2" customWidth="1"/>
    <col min="2832" max="2832" width="10.21875" style="2" customWidth="1"/>
    <col min="2833" max="2833" width="9.21875" style="2" customWidth="1"/>
    <col min="2834" max="3072" width="8.77734375" style="2"/>
    <col min="3073" max="3073" width="4.21875" style="2" customWidth="1"/>
    <col min="3074" max="3074" width="2.5546875" style="2" customWidth="1"/>
    <col min="3075" max="3076" width="8.77734375" style="2"/>
    <col min="3077" max="3077" width="7.21875" style="2" customWidth="1"/>
    <col min="3078" max="3078" width="8.21875" style="2" customWidth="1"/>
    <col min="3079" max="3080" width="10.21875" style="2" customWidth="1"/>
    <col min="3081" max="3081" width="3.77734375" style="2" customWidth="1"/>
    <col min="3082" max="3082" width="8.77734375" style="2"/>
    <col min="3083" max="3083" width="6.21875" style="2" customWidth="1"/>
    <col min="3084" max="3084" width="5.5546875" style="2" customWidth="1"/>
    <col min="3085" max="3085" width="10.77734375" style="2" customWidth="1"/>
    <col min="3086" max="3086" width="8.21875" style="2" customWidth="1"/>
    <col min="3087" max="3087" width="12.21875" style="2" customWidth="1"/>
    <col min="3088" max="3088" width="10.21875" style="2" customWidth="1"/>
    <col min="3089" max="3089" width="9.21875" style="2" customWidth="1"/>
    <col min="3090" max="3328" width="8.77734375" style="2"/>
    <col min="3329" max="3329" width="4.21875" style="2" customWidth="1"/>
    <col min="3330" max="3330" width="2.5546875" style="2" customWidth="1"/>
    <col min="3331" max="3332" width="8.77734375" style="2"/>
    <col min="3333" max="3333" width="7.21875" style="2" customWidth="1"/>
    <col min="3334" max="3334" width="8.21875" style="2" customWidth="1"/>
    <col min="3335" max="3336" width="10.21875" style="2" customWidth="1"/>
    <col min="3337" max="3337" width="3.77734375" style="2" customWidth="1"/>
    <col min="3338" max="3338" width="8.77734375" style="2"/>
    <col min="3339" max="3339" width="6.21875" style="2" customWidth="1"/>
    <col min="3340" max="3340" width="5.5546875" style="2" customWidth="1"/>
    <col min="3341" max="3341" width="10.77734375" style="2" customWidth="1"/>
    <col min="3342" max="3342" width="8.21875" style="2" customWidth="1"/>
    <col min="3343" max="3343" width="12.21875" style="2" customWidth="1"/>
    <col min="3344" max="3344" width="10.21875" style="2" customWidth="1"/>
    <col min="3345" max="3345" width="9.21875" style="2" customWidth="1"/>
    <col min="3346" max="3584" width="8.77734375" style="2"/>
    <col min="3585" max="3585" width="4.21875" style="2" customWidth="1"/>
    <col min="3586" max="3586" width="2.5546875" style="2" customWidth="1"/>
    <col min="3587" max="3588" width="8.77734375" style="2"/>
    <col min="3589" max="3589" width="7.21875" style="2" customWidth="1"/>
    <col min="3590" max="3590" width="8.21875" style="2" customWidth="1"/>
    <col min="3591" max="3592" width="10.21875" style="2" customWidth="1"/>
    <col min="3593" max="3593" width="3.77734375" style="2" customWidth="1"/>
    <col min="3594" max="3594" width="8.77734375" style="2"/>
    <col min="3595" max="3595" width="6.21875" style="2" customWidth="1"/>
    <col min="3596" max="3596" width="5.5546875" style="2" customWidth="1"/>
    <col min="3597" max="3597" width="10.77734375" style="2" customWidth="1"/>
    <col min="3598" max="3598" width="8.21875" style="2" customWidth="1"/>
    <col min="3599" max="3599" width="12.21875" style="2" customWidth="1"/>
    <col min="3600" max="3600" width="10.21875" style="2" customWidth="1"/>
    <col min="3601" max="3601" width="9.21875" style="2" customWidth="1"/>
    <col min="3602" max="3840" width="8.77734375" style="2"/>
    <col min="3841" max="3841" width="4.21875" style="2" customWidth="1"/>
    <col min="3842" max="3842" width="2.5546875" style="2" customWidth="1"/>
    <col min="3843" max="3844" width="8.77734375" style="2"/>
    <col min="3845" max="3845" width="7.21875" style="2" customWidth="1"/>
    <col min="3846" max="3846" width="8.21875" style="2" customWidth="1"/>
    <col min="3847" max="3848" width="10.21875" style="2" customWidth="1"/>
    <col min="3849" max="3849" width="3.77734375" style="2" customWidth="1"/>
    <col min="3850" max="3850" width="8.77734375" style="2"/>
    <col min="3851" max="3851" width="6.21875" style="2" customWidth="1"/>
    <col min="3852" max="3852" width="5.5546875" style="2" customWidth="1"/>
    <col min="3853" max="3853" width="10.77734375" style="2" customWidth="1"/>
    <col min="3854" max="3854" width="8.21875" style="2" customWidth="1"/>
    <col min="3855" max="3855" width="12.21875" style="2" customWidth="1"/>
    <col min="3856" max="3856" width="10.21875" style="2" customWidth="1"/>
    <col min="3857" max="3857" width="9.21875" style="2" customWidth="1"/>
    <col min="3858" max="4096" width="8.77734375" style="2"/>
    <col min="4097" max="4097" width="4.21875" style="2" customWidth="1"/>
    <col min="4098" max="4098" width="2.5546875" style="2" customWidth="1"/>
    <col min="4099" max="4100" width="8.77734375" style="2"/>
    <col min="4101" max="4101" width="7.21875" style="2" customWidth="1"/>
    <col min="4102" max="4102" width="8.21875" style="2" customWidth="1"/>
    <col min="4103" max="4104" width="10.21875" style="2" customWidth="1"/>
    <col min="4105" max="4105" width="3.77734375" style="2" customWidth="1"/>
    <col min="4106" max="4106" width="8.77734375" style="2"/>
    <col min="4107" max="4107" width="6.21875" style="2" customWidth="1"/>
    <col min="4108" max="4108" width="5.5546875" style="2" customWidth="1"/>
    <col min="4109" max="4109" width="10.77734375" style="2" customWidth="1"/>
    <col min="4110" max="4110" width="8.21875" style="2" customWidth="1"/>
    <col min="4111" max="4111" width="12.21875" style="2" customWidth="1"/>
    <col min="4112" max="4112" width="10.21875" style="2" customWidth="1"/>
    <col min="4113" max="4113" width="9.21875" style="2" customWidth="1"/>
    <col min="4114" max="4352" width="8.77734375" style="2"/>
    <col min="4353" max="4353" width="4.21875" style="2" customWidth="1"/>
    <col min="4354" max="4354" width="2.5546875" style="2" customWidth="1"/>
    <col min="4355" max="4356" width="8.77734375" style="2"/>
    <col min="4357" max="4357" width="7.21875" style="2" customWidth="1"/>
    <col min="4358" max="4358" width="8.21875" style="2" customWidth="1"/>
    <col min="4359" max="4360" width="10.21875" style="2" customWidth="1"/>
    <col min="4361" max="4361" width="3.77734375" style="2" customWidth="1"/>
    <col min="4362" max="4362" width="8.77734375" style="2"/>
    <col min="4363" max="4363" width="6.21875" style="2" customWidth="1"/>
    <col min="4364" max="4364" width="5.5546875" style="2" customWidth="1"/>
    <col min="4365" max="4365" width="10.77734375" style="2" customWidth="1"/>
    <col min="4366" max="4366" width="8.21875" style="2" customWidth="1"/>
    <col min="4367" max="4367" width="12.21875" style="2" customWidth="1"/>
    <col min="4368" max="4368" width="10.21875" style="2" customWidth="1"/>
    <col min="4369" max="4369" width="9.21875" style="2" customWidth="1"/>
    <col min="4370" max="4608" width="8.77734375" style="2"/>
    <col min="4609" max="4609" width="4.21875" style="2" customWidth="1"/>
    <col min="4610" max="4610" width="2.5546875" style="2" customWidth="1"/>
    <col min="4611" max="4612" width="8.77734375" style="2"/>
    <col min="4613" max="4613" width="7.21875" style="2" customWidth="1"/>
    <col min="4614" max="4614" width="8.21875" style="2" customWidth="1"/>
    <col min="4615" max="4616" width="10.21875" style="2" customWidth="1"/>
    <col min="4617" max="4617" width="3.77734375" style="2" customWidth="1"/>
    <col min="4618" max="4618" width="8.77734375" style="2"/>
    <col min="4619" max="4619" width="6.21875" style="2" customWidth="1"/>
    <col min="4620" max="4620" width="5.5546875" style="2" customWidth="1"/>
    <col min="4621" max="4621" width="10.77734375" style="2" customWidth="1"/>
    <col min="4622" max="4622" width="8.21875" style="2" customWidth="1"/>
    <col min="4623" max="4623" width="12.21875" style="2" customWidth="1"/>
    <col min="4624" max="4624" width="10.21875" style="2" customWidth="1"/>
    <col min="4625" max="4625" width="9.21875" style="2" customWidth="1"/>
    <col min="4626" max="4864" width="8.77734375" style="2"/>
    <col min="4865" max="4865" width="4.21875" style="2" customWidth="1"/>
    <col min="4866" max="4866" width="2.5546875" style="2" customWidth="1"/>
    <col min="4867" max="4868" width="8.77734375" style="2"/>
    <col min="4869" max="4869" width="7.21875" style="2" customWidth="1"/>
    <col min="4870" max="4870" width="8.21875" style="2" customWidth="1"/>
    <col min="4871" max="4872" width="10.21875" style="2" customWidth="1"/>
    <col min="4873" max="4873" width="3.77734375" style="2" customWidth="1"/>
    <col min="4874" max="4874" width="8.77734375" style="2"/>
    <col min="4875" max="4875" width="6.21875" style="2" customWidth="1"/>
    <col min="4876" max="4876" width="5.5546875" style="2" customWidth="1"/>
    <col min="4877" max="4877" width="10.77734375" style="2" customWidth="1"/>
    <col min="4878" max="4878" width="8.21875" style="2" customWidth="1"/>
    <col min="4879" max="4879" width="12.21875" style="2" customWidth="1"/>
    <col min="4880" max="4880" width="10.21875" style="2" customWidth="1"/>
    <col min="4881" max="4881" width="9.21875" style="2" customWidth="1"/>
    <col min="4882" max="5120" width="8.77734375" style="2"/>
    <col min="5121" max="5121" width="4.21875" style="2" customWidth="1"/>
    <col min="5122" max="5122" width="2.5546875" style="2" customWidth="1"/>
    <col min="5123" max="5124" width="8.77734375" style="2"/>
    <col min="5125" max="5125" width="7.21875" style="2" customWidth="1"/>
    <col min="5126" max="5126" width="8.21875" style="2" customWidth="1"/>
    <col min="5127" max="5128" width="10.21875" style="2" customWidth="1"/>
    <col min="5129" max="5129" width="3.77734375" style="2" customWidth="1"/>
    <col min="5130" max="5130" width="8.77734375" style="2"/>
    <col min="5131" max="5131" width="6.21875" style="2" customWidth="1"/>
    <col min="5132" max="5132" width="5.5546875" style="2" customWidth="1"/>
    <col min="5133" max="5133" width="10.77734375" style="2" customWidth="1"/>
    <col min="5134" max="5134" width="8.21875" style="2" customWidth="1"/>
    <col min="5135" max="5135" width="12.21875" style="2" customWidth="1"/>
    <col min="5136" max="5136" width="10.21875" style="2" customWidth="1"/>
    <col min="5137" max="5137" width="9.21875" style="2" customWidth="1"/>
    <col min="5138" max="5376" width="8.77734375" style="2"/>
    <col min="5377" max="5377" width="4.21875" style="2" customWidth="1"/>
    <col min="5378" max="5378" width="2.5546875" style="2" customWidth="1"/>
    <col min="5379" max="5380" width="8.77734375" style="2"/>
    <col min="5381" max="5381" width="7.21875" style="2" customWidth="1"/>
    <col min="5382" max="5382" width="8.21875" style="2" customWidth="1"/>
    <col min="5383" max="5384" width="10.21875" style="2" customWidth="1"/>
    <col min="5385" max="5385" width="3.77734375" style="2" customWidth="1"/>
    <col min="5386" max="5386" width="8.77734375" style="2"/>
    <col min="5387" max="5387" width="6.21875" style="2" customWidth="1"/>
    <col min="5388" max="5388" width="5.5546875" style="2" customWidth="1"/>
    <col min="5389" max="5389" width="10.77734375" style="2" customWidth="1"/>
    <col min="5390" max="5390" width="8.21875" style="2" customWidth="1"/>
    <col min="5391" max="5391" width="12.21875" style="2" customWidth="1"/>
    <col min="5392" max="5392" width="10.21875" style="2" customWidth="1"/>
    <col min="5393" max="5393" width="9.21875" style="2" customWidth="1"/>
    <col min="5394" max="5632" width="8.77734375" style="2"/>
    <col min="5633" max="5633" width="4.21875" style="2" customWidth="1"/>
    <col min="5634" max="5634" width="2.5546875" style="2" customWidth="1"/>
    <col min="5635" max="5636" width="8.77734375" style="2"/>
    <col min="5637" max="5637" width="7.21875" style="2" customWidth="1"/>
    <col min="5638" max="5638" width="8.21875" style="2" customWidth="1"/>
    <col min="5639" max="5640" width="10.21875" style="2" customWidth="1"/>
    <col min="5641" max="5641" width="3.77734375" style="2" customWidth="1"/>
    <col min="5642" max="5642" width="8.77734375" style="2"/>
    <col min="5643" max="5643" width="6.21875" style="2" customWidth="1"/>
    <col min="5644" max="5644" width="5.5546875" style="2" customWidth="1"/>
    <col min="5645" max="5645" width="10.77734375" style="2" customWidth="1"/>
    <col min="5646" max="5646" width="8.21875" style="2" customWidth="1"/>
    <col min="5647" max="5647" width="12.21875" style="2" customWidth="1"/>
    <col min="5648" max="5648" width="10.21875" style="2" customWidth="1"/>
    <col min="5649" max="5649" width="9.21875" style="2" customWidth="1"/>
    <col min="5650" max="5888" width="8.77734375" style="2"/>
    <col min="5889" max="5889" width="4.21875" style="2" customWidth="1"/>
    <col min="5890" max="5890" width="2.5546875" style="2" customWidth="1"/>
    <col min="5891" max="5892" width="8.77734375" style="2"/>
    <col min="5893" max="5893" width="7.21875" style="2" customWidth="1"/>
    <col min="5894" max="5894" width="8.21875" style="2" customWidth="1"/>
    <col min="5895" max="5896" width="10.21875" style="2" customWidth="1"/>
    <col min="5897" max="5897" width="3.77734375" style="2" customWidth="1"/>
    <col min="5898" max="5898" width="8.77734375" style="2"/>
    <col min="5899" max="5899" width="6.21875" style="2" customWidth="1"/>
    <col min="5900" max="5900" width="5.5546875" style="2" customWidth="1"/>
    <col min="5901" max="5901" width="10.77734375" style="2" customWidth="1"/>
    <col min="5902" max="5902" width="8.21875" style="2" customWidth="1"/>
    <col min="5903" max="5903" width="12.21875" style="2" customWidth="1"/>
    <col min="5904" max="5904" width="10.21875" style="2" customWidth="1"/>
    <col min="5905" max="5905" width="9.21875" style="2" customWidth="1"/>
    <col min="5906" max="6144" width="8.77734375" style="2"/>
    <col min="6145" max="6145" width="4.21875" style="2" customWidth="1"/>
    <col min="6146" max="6146" width="2.5546875" style="2" customWidth="1"/>
    <col min="6147" max="6148" width="8.77734375" style="2"/>
    <col min="6149" max="6149" width="7.21875" style="2" customWidth="1"/>
    <col min="6150" max="6150" width="8.21875" style="2" customWidth="1"/>
    <col min="6151" max="6152" width="10.21875" style="2" customWidth="1"/>
    <col min="6153" max="6153" width="3.77734375" style="2" customWidth="1"/>
    <col min="6154" max="6154" width="8.77734375" style="2"/>
    <col min="6155" max="6155" width="6.21875" style="2" customWidth="1"/>
    <col min="6156" max="6156" width="5.5546875" style="2" customWidth="1"/>
    <col min="6157" max="6157" width="10.77734375" style="2" customWidth="1"/>
    <col min="6158" max="6158" width="8.21875" style="2" customWidth="1"/>
    <col min="6159" max="6159" width="12.21875" style="2" customWidth="1"/>
    <col min="6160" max="6160" width="10.21875" style="2" customWidth="1"/>
    <col min="6161" max="6161" width="9.21875" style="2" customWidth="1"/>
    <col min="6162" max="6400" width="8.77734375" style="2"/>
    <col min="6401" max="6401" width="4.21875" style="2" customWidth="1"/>
    <col min="6402" max="6402" width="2.5546875" style="2" customWidth="1"/>
    <col min="6403" max="6404" width="8.77734375" style="2"/>
    <col min="6405" max="6405" width="7.21875" style="2" customWidth="1"/>
    <col min="6406" max="6406" width="8.21875" style="2" customWidth="1"/>
    <col min="6407" max="6408" width="10.21875" style="2" customWidth="1"/>
    <col min="6409" max="6409" width="3.77734375" style="2" customWidth="1"/>
    <col min="6410" max="6410" width="8.77734375" style="2"/>
    <col min="6411" max="6411" width="6.21875" style="2" customWidth="1"/>
    <col min="6412" max="6412" width="5.5546875" style="2" customWidth="1"/>
    <col min="6413" max="6413" width="10.77734375" style="2" customWidth="1"/>
    <col min="6414" max="6414" width="8.21875" style="2" customWidth="1"/>
    <col min="6415" max="6415" width="12.21875" style="2" customWidth="1"/>
    <col min="6416" max="6416" width="10.21875" style="2" customWidth="1"/>
    <col min="6417" max="6417" width="9.21875" style="2" customWidth="1"/>
    <col min="6418" max="6656" width="8.77734375" style="2"/>
    <col min="6657" max="6657" width="4.21875" style="2" customWidth="1"/>
    <col min="6658" max="6658" width="2.5546875" style="2" customWidth="1"/>
    <col min="6659" max="6660" width="8.77734375" style="2"/>
    <col min="6661" max="6661" width="7.21875" style="2" customWidth="1"/>
    <col min="6662" max="6662" width="8.21875" style="2" customWidth="1"/>
    <col min="6663" max="6664" width="10.21875" style="2" customWidth="1"/>
    <col min="6665" max="6665" width="3.77734375" style="2" customWidth="1"/>
    <col min="6666" max="6666" width="8.77734375" style="2"/>
    <col min="6667" max="6667" width="6.21875" style="2" customWidth="1"/>
    <col min="6668" max="6668" width="5.5546875" style="2" customWidth="1"/>
    <col min="6669" max="6669" width="10.77734375" style="2" customWidth="1"/>
    <col min="6670" max="6670" width="8.21875" style="2" customWidth="1"/>
    <col min="6671" max="6671" width="12.21875" style="2" customWidth="1"/>
    <col min="6672" max="6672" width="10.21875" style="2" customWidth="1"/>
    <col min="6673" max="6673" width="9.21875" style="2" customWidth="1"/>
    <col min="6674" max="6912" width="8.77734375" style="2"/>
    <col min="6913" max="6913" width="4.21875" style="2" customWidth="1"/>
    <col min="6914" max="6914" width="2.5546875" style="2" customWidth="1"/>
    <col min="6915" max="6916" width="8.77734375" style="2"/>
    <col min="6917" max="6917" width="7.21875" style="2" customWidth="1"/>
    <col min="6918" max="6918" width="8.21875" style="2" customWidth="1"/>
    <col min="6919" max="6920" width="10.21875" style="2" customWidth="1"/>
    <col min="6921" max="6921" width="3.77734375" style="2" customWidth="1"/>
    <col min="6922" max="6922" width="8.77734375" style="2"/>
    <col min="6923" max="6923" width="6.21875" style="2" customWidth="1"/>
    <col min="6924" max="6924" width="5.5546875" style="2" customWidth="1"/>
    <col min="6925" max="6925" width="10.77734375" style="2" customWidth="1"/>
    <col min="6926" max="6926" width="8.21875" style="2" customWidth="1"/>
    <col min="6927" max="6927" width="12.21875" style="2" customWidth="1"/>
    <col min="6928" max="6928" width="10.21875" style="2" customWidth="1"/>
    <col min="6929" max="6929" width="9.21875" style="2" customWidth="1"/>
    <col min="6930" max="7168" width="8.77734375" style="2"/>
    <col min="7169" max="7169" width="4.21875" style="2" customWidth="1"/>
    <col min="7170" max="7170" width="2.5546875" style="2" customWidth="1"/>
    <col min="7171" max="7172" width="8.77734375" style="2"/>
    <col min="7173" max="7173" width="7.21875" style="2" customWidth="1"/>
    <col min="7174" max="7174" width="8.21875" style="2" customWidth="1"/>
    <col min="7175" max="7176" width="10.21875" style="2" customWidth="1"/>
    <col min="7177" max="7177" width="3.77734375" style="2" customWidth="1"/>
    <col min="7178" max="7178" width="8.77734375" style="2"/>
    <col min="7179" max="7179" width="6.21875" style="2" customWidth="1"/>
    <col min="7180" max="7180" width="5.5546875" style="2" customWidth="1"/>
    <col min="7181" max="7181" width="10.77734375" style="2" customWidth="1"/>
    <col min="7182" max="7182" width="8.21875" style="2" customWidth="1"/>
    <col min="7183" max="7183" width="12.21875" style="2" customWidth="1"/>
    <col min="7184" max="7184" width="10.21875" style="2" customWidth="1"/>
    <col min="7185" max="7185" width="9.21875" style="2" customWidth="1"/>
    <col min="7186" max="7424" width="8.77734375" style="2"/>
    <col min="7425" max="7425" width="4.21875" style="2" customWidth="1"/>
    <col min="7426" max="7426" width="2.5546875" style="2" customWidth="1"/>
    <col min="7427" max="7428" width="8.77734375" style="2"/>
    <col min="7429" max="7429" width="7.21875" style="2" customWidth="1"/>
    <col min="7430" max="7430" width="8.21875" style="2" customWidth="1"/>
    <col min="7431" max="7432" width="10.21875" style="2" customWidth="1"/>
    <col min="7433" max="7433" width="3.77734375" style="2" customWidth="1"/>
    <col min="7434" max="7434" width="8.77734375" style="2"/>
    <col min="7435" max="7435" width="6.21875" style="2" customWidth="1"/>
    <col min="7436" max="7436" width="5.5546875" style="2" customWidth="1"/>
    <col min="7437" max="7437" width="10.77734375" style="2" customWidth="1"/>
    <col min="7438" max="7438" width="8.21875" style="2" customWidth="1"/>
    <col min="7439" max="7439" width="12.21875" style="2" customWidth="1"/>
    <col min="7440" max="7440" width="10.21875" style="2" customWidth="1"/>
    <col min="7441" max="7441" width="9.21875" style="2" customWidth="1"/>
    <col min="7442" max="7680" width="8.77734375" style="2"/>
    <col min="7681" max="7681" width="4.21875" style="2" customWidth="1"/>
    <col min="7682" max="7682" width="2.5546875" style="2" customWidth="1"/>
    <col min="7683" max="7684" width="8.77734375" style="2"/>
    <col min="7685" max="7685" width="7.21875" style="2" customWidth="1"/>
    <col min="7686" max="7686" width="8.21875" style="2" customWidth="1"/>
    <col min="7687" max="7688" width="10.21875" style="2" customWidth="1"/>
    <col min="7689" max="7689" width="3.77734375" style="2" customWidth="1"/>
    <col min="7690" max="7690" width="8.77734375" style="2"/>
    <col min="7691" max="7691" width="6.21875" style="2" customWidth="1"/>
    <col min="7692" max="7692" width="5.5546875" style="2" customWidth="1"/>
    <col min="7693" max="7693" width="10.77734375" style="2" customWidth="1"/>
    <col min="7694" max="7694" width="8.21875" style="2" customWidth="1"/>
    <col min="7695" max="7695" width="12.21875" style="2" customWidth="1"/>
    <col min="7696" max="7696" width="10.21875" style="2" customWidth="1"/>
    <col min="7697" max="7697" width="9.21875" style="2" customWidth="1"/>
    <col min="7698" max="7936" width="8.77734375" style="2"/>
    <col min="7937" max="7937" width="4.21875" style="2" customWidth="1"/>
    <col min="7938" max="7938" width="2.5546875" style="2" customWidth="1"/>
    <col min="7939" max="7940" width="8.77734375" style="2"/>
    <col min="7941" max="7941" width="7.21875" style="2" customWidth="1"/>
    <col min="7942" max="7942" width="8.21875" style="2" customWidth="1"/>
    <col min="7943" max="7944" width="10.21875" style="2" customWidth="1"/>
    <col min="7945" max="7945" width="3.77734375" style="2" customWidth="1"/>
    <col min="7946" max="7946" width="8.77734375" style="2"/>
    <col min="7947" max="7947" width="6.21875" style="2" customWidth="1"/>
    <col min="7948" max="7948" width="5.5546875" style="2" customWidth="1"/>
    <col min="7949" max="7949" width="10.77734375" style="2" customWidth="1"/>
    <col min="7950" max="7950" width="8.21875" style="2" customWidth="1"/>
    <col min="7951" max="7951" width="12.21875" style="2" customWidth="1"/>
    <col min="7952" max="7952" width="10.21875" style="2" customWidth="1"/>
    <col min="7953" max="7953" width="9.21875" style="2" customWidth="1"/>
    <col min="7954" max="8192" width="8.77734375" style="2"/>
    <col min="8193" max="8193" width="4.21875" style="2" customWidth="1"/>
    <col min="8194" max="8194" width="2.5546875" style="2" customWidth="1"/>
    <col min="8195" max="8196" width="8.77734375" style="2"/>
    <col min="8197" max="8197" width="7.21875" style="2" customWidth="1"/>
    <col min="8198" max="8198" width="8.21875" style="2" customWidth="1"/>
    <col min="8199" max="8200" width="10.21875" style="2" customWidth="1"/>
    <col min="8201" max="8201" width="3.77734375" style="2" customWidth="1"/>
    <col min="8202" max="8202" width="8.77734375" style="2"/>
    <col min="8203" max="8203" width="6.21875" style="2" customWidth="1"/>
    <col min="8204" max="8204" width="5.5546875" style="2" customWidth="1"/>
    <col min="8205" max="8205" width="10.77734375" style="2" customWidth="1"/>
    <col min="8206" max="8206" width="8.21875" style="2" customWidth="1"/>
    <col min="8207" max="8207" width="12.21875" style="2" customWidth="1"/>
    <col min="8208" max="8208" width="10.21875" style="2" customWidth="1"/>
    <col min="8209" max="8209" width="9.21875" style="2" customWidth="1"/>
    <col min="8210" max="8448" width="8.77734375" style="2"/>
    <col min="8449" max="8449" width="4.21875" style="2" customWidth="1"/>
    <col min="8450" max="8450" width="2.5546875" style="2" customWidth="1"/>
    <col min="8451" max="8452" width="8.77734375" style="2"/>
    <col min="8453" max="8453" width="7.21875" style="2" customWidth="1"/>
    <col min="8454" max="8454" width="8.21875" style="2" customWidth="1"/>
    <col min="8455" max="8456" width="10.21875" style="2" customWidth="1"/>
    <col min="8457" max="8457" width="3.77734375" style="2" customWidth="1"/>
    <col min="8458" max="8458" width="8.77734375" style="2"/>
    <col min="8459" max="8459" width="6.21875" style="2" customWidth="1"/>
    <col min="8460" max="8460" width="5.5546875" style="2" customWidth="1"/>
    <col min="8461" max="8461" width="10.77734375" style="2" customWidth="1"/>
    <col min="8462" max="8462" width="8.21875" style="2" customWidth="1"/>
    <col min="8463" max="8463" width="12.21875" style="2" customWidth="1"/>
    <col min="8464" max="8464" width="10.21875" style="2" customWidth="1"/>
    <col min="8465" max="8465" width="9.21875" style="2" customWidth="1"/>
    <col min="8466" max="8704" width="8.77734375" style="2"/>
    <col min="8705" max="8705" width="4.21875" style="2" customWidth="1"/>
    <col min="8706" max="8706" width="2.5546875" style="2" customWidth="1"/>
    <col min="8707" max="8708" width="8.77734375" style="2"/>
    <col min="8709" max="8709" width="7.21875" style="2" customWidth="1"/>
    <col min="8710" max="8710" width="8.21875" style="2" customWidth="1"/>
    <col min="8711" max="8712" width="10.21875" style="2" customWidth="1"/>
    <col min="8713" max="8713" width="3.77734375" style="2" customWidth="1"/>
    <col min="8714" max="8714" width="8.77734375" style="2"/>
    <col min="8715" max="8715" width="6.21875" style="2" customWidth="1"/>
    <col min="8716" max="8716" width="5.5546875" style="2" customWidth="1"/>
    <col min="8717" max="8717" width="10.77734375" style="2" customWidth="1"/>
    <col min="8718" max="8718" width="8.21875" style="2" customWidth="1"/>
    <col min="8719" max="8719" width="12.21875" style="2" customWidth="1"/>
    <col min="8720" max="8720" width="10.21875" style="2" customWidth="1"/>
    <col min="8721" max="8721" width="9.21875" style="2" customWidth="1"/>
    <col min="8722" max="8960" width="8.77734375" style="2"/>
    <col min="8961" max="8961" width="4.21875" style="2" customWidth="1"/>
    <col min="8962" max="8962" width="2.5546875" style="2" customWidth="1"/>
    <col min="8963" max="8964" width="8.77734375" style="2"/>
    <col min="8965" max="8965" width="7.21875" style="2" customWidth="1"/>
    <col min="8966" max="8966" width="8.21875" style="2" customWidth="1"/>
    <col min="8967" max="8968" width="10.21875" style="2" customWidth="1"/>
    <col min="8969" max="8969" width="3.77734375" style="2" customWidth="1"/>
    <col min="8970" max="8970" width="8.77734375" style="2"/>
    <col min="8971" max="8971" width="6.21875" style="2" customWidth="1"/>
    <col min="8972" max="8972" width="5.5546875" style="2" customWidth="1"/>
    <col min="8973" max="8973" width="10.77734375" style="2" customWidth="1"/>
    <col min="8974" max="8974" width="8.21875" style="2" customWidth="1"/>
    <col min="8975" max="8975" width="12.21875" style="2" customWidth="1"/>
    <col min="8976" max="8976" width="10.21875" style="2" customWidth="1"/>
    <col min="8977" max="8977" width="9.21875" style="2" customWidth="1"/>
    <col min="8978" max="9216" width="8.77734375" style="2"/>
    <col min="9217" max="9217" width="4.21875" style="2" customWidth="1"/>
    <col min="9218" max="9218" width="2.5546875" style="2" customWidth="1"/>
    <col min="9219" max="9220" width="8.77734375" style="2"/>
    <col min="9221" max="9221" width="7.21875" style="2" customWidth="1"/>
    <col min="9222" max="9222" width="8.21875" style="2" customWidth="1"/>
    <col min="9223" max="9224" width="10.21875" style="2" customWidth="1"/>
    <col min="9225" max="9225" width="3.77734375" style="2" customWidth="1"/>
    <col min="9226" max="9226" width="8.77734375" style="2"/>
    <col min="9227" max="9227" width="6.21875" style="2" customWidth="1"/>
    <col min="9228" max="9228" width="5.5546875" style="2" customWidth="1"/>
    <col min="9229" max="9229" width="10.77734375" style="2" customWidth="1"/>
    <col min="9230" max="9230" width="8.21875" style="2" customWidth="1"/>
    <col min="9231" max="9231" width="12.21875" style="2" customWidth="1"/>
    <col min="9232" max="9232" width="10.21875" style="2" customWidth="1"/>
    <col min="9233" max="9233" width="9.21875" style="2" customWidth="1"/>
    <col min="9234" max="9472" width="8.77734375" style="2"/>
    <col min="9473" max="9473" width="4.21875" style="2" customWidth="1"/>
    <col min="9474" max="9474" width="2.5546875" style="2" customWidth="1"/>
    <col min="9475" max="9476" width="8.77734375" style="2"/>
    <col min="9477" max="9477" width="7.21875" style="2" customWidth="1"/>
    <col min="9478" max="9478" width="8.21875" style="2" customWidth="1"/>
    <col min="9479" max="9480" width="10.21875" style="2" customWidth="1"/>
    <col min="9481" max="9481" width="3.77734375" style="2" customWidth="1"/>
    <col min="9482" max="9482" width="8.77734375" style="2"/>
    <col min="9483" max="9483" width="6.21875" style="2" customWidth="1"/>
    <col min="9484" max="9484" width="5.5546875" style="2" customWidth="1"/>
    <col min="9485" max="9485" width="10.77734375" style="2" customWidth="1"/>
    <col min="9486" max="9486" width="8.21875" style="2" customWidth="1"/>
    <col min="9487" max="9487" width="12.21875" style="2" customWidth="1"/>
    <col min="9488" max="9488" width="10.21875" style="2" customWidth="1"/>
    <col min="9489" max="9489" width="9.21875" style="2" customWidth="1"/>
    <col min="9490" max="9728" width="8.77734375" style="2"/>
    <col min="9729" max="9729" width="4.21875" style="2" customWidth="1"/>
    <col min="9730" max="9730" width="2.5546875" style="2" customWidth="1"/>
    <col min="9731" max="9732" width="8.77734375" style="2"/>
    <col min="9733" max="9733" width="7.21875" style="2" customWidth="1"/>
    <col min="9734" max="9734" width="8.21875" style="2" customWidth="1"/>
    <col min="9735" max="9736" width="10.21875" style="2" customWidth="1"/>
    <col min="9737" max="9737" width="3.77734375" style="2" customWidth="1"/>
    <col min="9738" max="9738" width="8.77734375" style="2"/>
    <col min="9739" max="9739" width="6.21875" style="2" customWidth="1"/>
    <col min="9740" max="9740" width="5.5546875" style="2" customWidth="1"/>
    <col min="9741" max="9741" width="10.77734375" style="2" customWidth="1"/>
    <col min="9742" max="9742" width="8.21875" style="2" customWidth="1"/>
    <col min="9743" max="9743" width="12.21875" style="2" customWidth="1"/>
    <col min="9744" max="9744" width="10.21875" style="2" customWidth="1"/>
    <col min="9745" max="9745" width="9.21875" style="2" customWidth="1"/>
    <col min="9746" max="9984" width="8.77734375" style="2"/>
    <col min="9985" max="9985" width="4.21875" style="2" customWidth="1"/>
    <col min="9986" max="9986" width="2.5546875" style="2" customWidth="1"/>
    <col min="9987" max="9988" width="8.77734375" style="2"/>
    <col min="9989" max="9989" width="7.21875" style="2" customWidth="1"/>
    <col min="9990" max="9990" width="8.21875" style="2" customWidth="1"/>
    <col min="9991" max="9992" width="10.21875" style="2" customWidth="1"/>
    <col min="9993" max="9993" width="3.77734375" style="2" customWidth="1"/>
    <col min="9994" max="9994" width="8.77734375" style="2"/>
    <col min="9995" max="9995" width="6.21875" style="2" customWidth="1"/>
    <col min="9996" max="9996" width="5.5546875" style="2" customWidth="1"/>
    <col min="9997" max="9997" width="10.77734375" style="2" customWidth="1"/>
    <col min="9998" max="9998" width="8.21875" style="2" customWidth="1"/>
    <col min="9999" max="9999" width="12.21875" style="2" customWidth="1"/>
    <col min="10000" max="10000" width="10.21875" style="2" customWidth="1"/>
    <col min="10001" max="10001" width="9.21875" style="2" customWidth="1"/>
    <col min="10002" max="10240" width="8.77734375" style="2"/>
    <col min="10241" max="10241" width="4.21875" style="2" customWidth="1"/>
    <col min="10242" max="10242" width="2.5546875" style="2" customWidth="1"/>
    <col min="10243" max="10244" width="8.77734375" style="2"/>
    <col min="10245" max="10245" width="7.21875" style="2" customWidth="1"/>
    <col min="10246" max="10246" width="8.21875" style="2" customWidth="1"/>
    <col min="10247" max="10248" width="10.21875" style="2" customWidth="1"/>
    <col min="10249" max="10249" width="3.77734375" style="2" customWidth="1"/>
    <col min="10250" max="10250" width="8.77734375" style="2"/>
    <col min="10251" max="10251" width="6.21875" style="2" customWidth="1"/>
    <col min="10252" max="10252" width="5.5546875" style="2" customWidth="1"/>
    <col min="10253" max="10253" width="10.77734375" style="2" customWidth="1"/>
    <col min="10254" max="10254" width="8.21875" style="2" customWidth="1"/>
    <col min="10255" max="10255" width="12.21875" style="2" customWidth="1"/>
    <col min="10256" max="10256" width="10.21875" style="2" customWidth="1"/>
    <col min="10257" max="10257" width="9.21875" style="2" customWidth="1"/>
    <col min="10258" max="10496" width="8.77734375" style="2"/>
    <col min="10497" max="10497" width="4.21875" style="2" customWidth="1"/>
    <col min="10498" max="10498" width="2.5546875" style="2" customWidth="1"/>
    <col min="10499" max="10500" width="8.77734375" style="2"/>
    <col min="10501" max="10501" width="7.21875" style="2" customWidth="1"/>
    <col min="10502" max="10502" width="8.21875" style="2" customWidth="1"/>
    <col min="10503" max="10504" width="10.21875" style="2" customWidth="1"/>
    <col min="10505" max="10505" width="3.77734375" style="2" customWidth="1"/>
    <col min="10506" max="10506" width="8.77734375" style="2"/>
    <col min="10507" max="10507" width="6.21875" style="2" customWidth="1"/>
    <col min="10508" max="10508" width="5.5546875" style="2" customWidth="1"/>
    <col min="10509" max="10509" width="10.77734375" style="2" customWidth="1"/>
    <col min="10510" max="10510" width="8.21875" style="2" customWidth="1"/>
    <col min="10511" max="10511" width="12.21875" style="2" customWidth="1"/>
    <col min="10512" max="10512" width="10.21875" style="2" customWidth="1"/>
    <col min="10513" max="10513" width="9.21875" style="2" customWidth="1"/>
    <col min="10514" max="10752" width="8.77734375" style="2"/>
    <col min="10753" max="10753" width="4.21875" style="2" customWidth="1"/>
    <col min="10754" max="10754" width="2.5546875" style="2" customWidth="1"/>
    <col min="10755" max="10756" width="8.77734375" style="2"/>
    <col min="10757" max="10757" width="7.21875" style="2" customWidth="1"/>
    <col min="10758" max="10758" width="8.21875" style="2" customWidth="1"/>
    <col min="10759" max="10760" width="10.21875" style="2" customWidth="1"/>
    <col min="10761" max="10761" width="3.77734375" style="2" customWidth="1"/>
    <col min="10762" max="10762" width="8.77734375" style="2"/>
    <col min="10763" max="10763" width="6.21875" style="2" customWidth="1"/>
    <col min="10764" max="10764" width="5.5546875" style="2" customWidth="1"/>
    <col min="10765" max="10765" width="10.77734375" style="2" customWidth="1"/>
    <col min="10766" max="10766" width="8.21875" style="2" customWidth="1"/>
    <col min="10767" max="10767" width="12.21875" style="2" customWidth="1"/>
    <col min="10768" max="10768" width="10.21875" style="2" customWidth="1"/>
    <col min="10769" max="10769" width="9.21875" style="2" customWidth="1"/>
    <col min="10770" max="11008" width="8.77734375" style="2"/>
    <col min="11009" max="11009" width="4.21875" style="2" customWidth="1"/>
    <col min="11010" max="11010" width="2.5546875" style="2" customWidth="1"/>
    <col min="11011" max="11012" width="8.77734375" style="2"/>
    <col min="11013" max="11013" width="7.21875" style="2" customWidth="1"/>
    <col min="11014" max="11014" width="8.21875" style="2" customWidth="1"/>
    <col min="11015" max="11016" width="10.21875" style="2" customWidth="1"/>
    <col min="11017" max="11017" width="3.77734375" style="2" customWidth="1"/>
    <col min="11018" max="11018" width="8.77734375" style="2"/>
    <col min="11019" max="11019" width="6.21875" style="2" customWidth="1"/>
    <col min="11020" max="11020" width="5.5546875" style="2" customWidth="1"/>
    <col min="11021" max="11021" width="10.77734375" style="2" customWidth="1"/>
    <col min="11022" max="11022" width="8.21875" style="2" customWidth="1"/>
    <col min="11023" max="11023" width="12.21875" style="2" customWidth="1"/>
    <col min="11024" max="11024" width="10.21875" style="2" customWidth="1"/>
    <col min="11025" max="11025" width="9.21875" style="2" customWidth="1"/>
    <col min="11026" max="11264" width="8.77734375" style="2"/>
    <col min="11265" max="11265" width="4.21875" style="2" customWidth="1"/>
    <col min="11266" max="11266" width="2.5546875" style="2" customWidth="1"/>
    <col min="11267" max="11268" width="8.77734375" style="2"/>
    <col min="11269" max="11269" width="7.21875" style="2" customWidth="1"/>
    <col min="11270" max="11270" width="8.21875" style="2" customWidth="1"/>
    <col min="11271" max="11272" width="10.21875" style="2" customWidth="1"/>
    <col min="11273" max="11273" width="3.77734375" style="2" customWidth="1"/>
    <col min="11274" max="11274" width="8.77734375" style="2"/>
    <col min="11275" max="11275" width="6.21875" style="2" customWidth="1"/>
    <col min="11276" max="11276" width="5.5546875" style="2" customWidth="1"/>
    <col min="11277" max="11277" width="10.77734375" style="2" customWidth="1"/>
    <col min="11278" max="11278" width="8.21875" style="2" customWidth="1"/>
    <col min="11279" max="11279" width="12.21875" style="2" customWidth="1"/>
    <col min="11280" max="11280" width="10.21875" style="2" customWidth="1"/>
    <col min="11281" max="11281" width="9.21875" style="2" customWidth="1"/>
    <col min="11282" max="11520" width="8.77734375" style="2"/>
    <col min="11521" max="11521" width="4.21875" style="2" customWidth="1"/>
    <col min="11522" max="11522" width="2.5546875" style="2" customWidth="1"/>
    <col min="11523" max="11524" width="8.77734375" style="2"/>
    <col min="11525" max="11525" width="7.21875" style="2" customWidth="1"/>
    <col min="11526" max="11526" width="8.21875" style="2" customWidth="1"/>
    <col min="11527" max="11528" width="10.21875" style="2" customWidth="1"/>
    <col min="11529" max="11529" width="3.77734375" style="2" customWidth="1"/>
    <col min="11530" max="11530" width="8.77734375" style="2"/>
    <col min="11531" max="11531" width="6.21875" style="2" customWidth="1"/>
    <col min="11532" max="11532" width="5.5546875" style="2" customWidth="1"/>
    <col min="11533" max="11533" width="10.77734375" style="2" customWidth="1"/>
    <col min="11534" max="11534" width="8.21875" style="2" customWidth="1"/>
    <col min="11535" max="11535" width="12.21875" style="2" customWidth="1"/>
    <col min="11536" max="11536" width="10.21875" style="2" customWidth="1"/>
    <col min="11537" max="11537" width="9.21875" style="2" customWidth="1"/>
    <col min="11538" max="11776" width="8.77734375" style="2"/>
    <col min="11777" max="11777" width="4.21875" style="2" customWidth="1"/>
    <col min="11778" max="11778" width="2.5546875" style="2" customWidth="1"/>
    <col min="11779" max="11780" width="8.77734375" style="2"/>
    <col min="11781" max="11781" width="7.21875" style="2" customWidth="1"/>
    <col min="11782" max="11782" width="8.21875" style="2" customWidth="1"/>
    <col min="11783" max="11784" width="10.21875" style="2" customWidth="1"/>
    <col min="11785" max="11785" width="3.77734375" style="2" customWidth="1"/>
    <col min="11786" max="11786" width="8.77734375" style="2"/>
    <col min="11787" max="11787" width="6.21875" style="2" customWidth="1"/>
    <col min="11788" max="11788" width="5.5546875" style="2" customWidth="1"/>
    <col min="11789" max="11789" width="10.77734375" style="2" customWidth="1"/>
    <col min="11790" max="11790" width="8.21875" style="2" customWidth="1"/>
    <col min="11791" max="11791" width="12.21875" style="2" customWidth="1"/>
    <col min="11792" max="11792" width="10.21875" style="2" customWidth="1"/>
    <col min="11793" max="11793" width="9.21875" style="2" customWidth="1"/>
    <col min="11794" max="12032" width="8.77734375" style="2"/>
    <col min="12033" max="12033" width="4.21875" style="2" customWidth="1"/>
    <col min="12034" max="12034" width="2.5546875" style="2" customWidth="1"/>
    <col min="12035" max="12036" width="8.77734375" style="2"/>
    <col min="12037" max="12037" width="7.21875" style="2" customWidth="1"/>
    <col min="12038" max="12038" width="8.21875" style="2" customWidth="1"/>
    <col min="12039" max="12040" width="10.21875" style="2" customWidth="1"/>
    <col min="12041" max="12041" width="3.77734375" style="2" customWidth="1"/>
    <col min="12042" max="12042" width="8.77734375" style="2"/>
    <col min="12043" max="12043" width="6.21875" style="2" customWidth="1"/>
    <col min="12044" max="12044" width="5.5546875" style="2" customWidth="1"/>
    <col min="12045" max="12045" width="10.77734375" style="2" customWidth="1"/>
    <col min="12046" max="12046" width="8.21875" style="2" customWidth="1"/>
    <col min="12047" max="12047" width="12.21875" style="2" customWidth="1"/>
    <col min="12048" max="12048" width="10.21875" style="2" customWidth="1"/>
    <col min="12049" max="12049" width="9.21875" style="2" customWidth="1"/>
    <col min="12050" max="12288" width="8.77734375" style="2"/>
    <col min="12289" max="12289" width="4.21875" style="2" customWidth="1"/>
    <col min="12290" max="12290" width="2.5546875" style="2" customWidth="1"/>
    <col min="12291" max="12292" width="8.77734375" style="2"/>
    <col min="12293" max="12293" width="7.21875" style="2" customWidth="1"/>
    <col min="12294" max="12294" width="8.21875" style="2" customWidth="1"/>
    <col min="12295" max="12296" width="10.21875" style="2" customWidth="1"/>
    <col min="12297" max="12297" width="3.77734375" style="2" customWidth="1"/>
    <col min="12298" max="12298" width="8.77734375" style="2"/>
    <col min="12299" max="12299" width="6.21875" style="2" customWidth="1"/>
    <col min="12300" max="12300" width="5.5546875" style="2" customWidth="1"/>
    <col min="12301" max="12301" width="10.77734375" style="2" customWidth="1"/>
    <col min="12302" max="12302" width="8.21875" style="2" customWidth="1"/>
    <col min="12303" max="12303" width="12.21875" style="2" customWidth="1"/>
    <col min="12304" max="12304" width="10.21875" style="2" customWidth="1"/>
    <col min="12305" max="12305" width="9.21875" style="2" customWidth="1"/>
    <col min="12306" max="12544" width="8.77734375" style="2"/>
    <col min="12545" max="12545" width="4.21875" style="2" customWidth="1"/>
    <col min="12546" max="12546" width="2.5546875" style="2" customWidth="1"/>
    <col min="12547" max="12548" width="8.77734375" style="2"/>
    <col min="12549" max="12549" width="7.21875" style="2" customWidth="1"/>
    <col min="12550" max="12550" width="8.21875" style="2" customWidth="1"/>
    <col min="12551" max="12552" width="10.21875" style="2" customWidth="1"/>
    <col min="12553" max="12553" width="3.77734375" style="2" customWidth="1"/>
    <col min="12554" max="12554" width="8.77734375" style="2"/>
    <col min="12555" max="12555" width="6.21875" style="2" customWidth="1"/>
    <col min="12556" max="12556" width="5.5546875" style="2" customWidth="1"/>
    <col min="12557" max="12557" width="10.77734375" style="2" customWidth="1"/>
    <col min="12558" max="12558" width="8.21875" style="2" customWidth="1"/>
    <col min="12559" max="12559" width="12.21875" style="2" customWidth="1"/>
    <col min="12560" max="12560" width="10.21875" style="2" customWidth="1"/>
    <col min="12561" max="12561" width="9.21875" style="2" customWidth="1"/>
    <col min="12562" max="12800" width="8.77734375" style="2"/>
    <col min="12801" max="12801" width="4.21875" style="2" customWidth="1"/>
    <col min="12802" max="12802" width="2.5546875" style="2" customWidth="1"/>
    <col min="12803" max="12804" width="8.77734375" style="2"/>
    <col min="12805" max="12805" width="7.21875" style="2" customWidth="1"/>
    <col min="12806" max="12806" width="8.21875" style="2" customWidth="1"/>
    <col min="12807" max="12808" width="10.21875" style="2" customWidth="1"/>
    <col min="12809" max="12809" width="3.77734375" style="2" customWidth="1"/>
    <col min="12810" max="12810" width="8.77734375" style="2"/>
    <col min="12811" max="12811" width="6.21875" style="2" customWidth="1"/>
    <col min="12812" max="12812" width="5.5546875" style="2" customWidth="1"/>
    <col min="12813" max="12813" width="10.77734375" style="2" customWidth="1"/>
    <col min="12814" max="12814" width="8.21875" style="2" customWidth="1"/>
    <col min="12815" max="12815" width="12.21875" style="2" customWidth="1"/>
    <col min="12816" max="12816" width="10.21875" style="2" customWidth="1"/>
    <col min="12817" max="12817" width="9.21875" style="2" customWidth="1"/>
    <col min="12818" max="13056" width="8.77734375" style="2"/>
    <col min="13057" max="13057" width="4.21875" style="2" customWidth="1"/>
    <col min="13058" max="13058" width="2.5546875" style="2" customWidth="1"/>
    <col min="13059" max="13060" width="8.77734375" style="2"/>
    <col min="13061" max="13061" width="7.21875" style="2" customWidth="1"/>
    <col min="13062" max="13062" width="8.21875" style="2" customWidth="1"/>
    <col min="13063" max="13064" width="10.21875" style="2" customWidth="1"/>
    <col min="13065" max="13065" width="3.77734375" style="2" customWidth="1"/>
    <col min="13066" max="13066" width="8.77734375" style="2"/>
    <col min="13067" max="13067" width="6.21875" style="2" customWidth="1"/>
    <col min="13068" max="13068" width="5.5546875" style="2" customWidth="1"/>
    <col min="13069" max="13069" width="10.77734375" style="2" customWidth="1"/>
    <col min="13070" max="13070" width="8.21875" style="2" customWidth="1"/>
    <col min="13071" max="13071" width="12.21875" style="2" customWidth="1"/>
    <col min="13072" max="13072" width="10.21875" style="2" customWidth="1"/>
    <col min="13073" max="13073" width="9.21875" style="2" customWidth="1"/>
    <col min="13074" max="13312" width="8.77734375" style="2"/>
    <col min="13313" max="13313" width="4.21875" style="2" customWidth="1"/>
    <col min="13314" max="13314" width="2.5546875" style="2" customWidth="1"/>
    <col min="13315" max="13316" width="8.77734375" style="2"/>
    <col min="13317" max="13317" width="7.21875" style="2" customWidth="1"/>
    <col min="13318" max="13318" width="8.21875" style="2" customWidth="1"/>
    <col min="13319" max="13320" width="10.21875" style="2" customWidth="1"/>
    <col min="13321" max="13321" width="3.77734375" style="2" customWidth="1"/>
    <col min="13322" max="13322" width="8.77734375" style="2"/>
    <col min="13323" max="13323" width="6.21875" style="2" customWidth="1"/>
    <col min="13324" max="13324" width="5.5546875" style="2" customWidth="1"/>
    <col min="13325" max="13325" width="10.77734375" style="2" customWidth="1"/>
    <col min="13326" max="13326" width="8.21875" style="2" customWidth="1"/>
    <col min="13327" max="13327" width="12.21875" style="2" customWidth="1"/>
    <col min="13328" max="13328" width="10.21875" style="2" customWidth="1"/>
    <col min="13329" max="13329" width="9.21875" style="2" customWidth="1"/>
    <col min="13330" max="13568" width="8.77734375" style="2"/>
    <col min="13569" max="13569" width="4.21875" style="2" customWidth="1"/>
    <col min="13570" max="13570" width="2.5546875" style="2" customWidth="1"/>
    <col min="13571" max="13572" width="8.77734375" style="2"/>
    <col min="13573" max="13573" width="7.21875" style="2" customWidth="1"/>
    <col min="13574" max="13574" width="8.21875" style="2" customWidth="1"/>
    <col min="13575" max="13576" width="10.21875" style="2" customWidth="1"/>
    <col min="13577" max="13577" width="3.77734375" style="2" customWidth="1"/>
    <col min="13578" max="13578" width="8.77734375" style="2"/>
    <col min="13579" max="13579" width="6.21875" style="2" customWidth="1"/>
    <col min="13580" max="13580" width="5.5546875" style="2" customWidth="1"/>
    <col min="13581" max="13581" width="10.77734375" style="2" customWidth="1"/>
    <col min="13582" max="13582" width="8.21875" style="2" customWidth="1"/>
    <col min="13583" max="13583" width="12.21875" style="2" customWidth="1"/>
    <col min="13584" max="13584" width="10.21875" style="2" customWidth="1"/>
    <col min="13585" max="13585" width="9.21875" style="2" customWidth="1"/>
    <col min="13586" max="13824" width="8.77734375" style="2"/>
    <col min="13825" max="13825" width="4.21875" style="2" customWidth="1"/>
    <col min="13826" max="13826" width="2.5546875" style="2" customWidth="1"/>
    <col min="13827" max="13828" width="8.77734375" style="2"/>
    <col min="13829" max="13829" width="7.21875" style="2" customWidth="1"/>
    <col min="13830" max="13830" width="8.21875" style="2" customWidth="1"/>
    <col min="13831" max="13832" width="10.21875" style="2" customWidth="1"/>
    <col min="13833" max="13833" width="3.77734375" style="2" customWidth="1"/>
    <col min="13834" max="13834" width="8.77734375" style="2"/>
    <col min="13835" max="13835" width="6.21875" style="2" customWidth="1"/>
    <col min="13836" max="13836" width="5.5546875" style="2" customWidth="1"/>
    <col min="13837" max="13837" width="10.77734375" style="2" customWidth="1"/>
    <col min="13838" max="13838" width="8.21875" style="2" customWidth="1"/>
    <col min="13839" max="13839" width="12.21875" style="2" customWidth="1"/>
    <col min="13840" max="13840" width="10.21875" style="2" customWidth="1"/>
    <col min="13841" max="13841" width="9.21875" style="2" customWidth="1"/>
    <col min="13842" max="14080" width="8.77734375" style="2"/>
    <col min="14081" max="14081" width="4.21875" style="2" customWidth="1"/>
    <col min="14082" max="14082" width="2.5546875" style="2" customWidth="1"/>
    <col min="14083" max="14084" width="8.77734375" style="2"/>
    <col min="14085" max="14085" width="7.21875" style="2" customWidth="1"/>
    <col min="14086" max="14086" width="8.21875" style="2" customWidth="1"/>
    <col min="14087" max="14088" width="10.21875" style="2" customWidth="1"/>
    <col min="14089" max="14089" width="3.77734375" style="2" customWidth="1"/>
    <col min="14090" max="14090" width="8.77734375" style="2"/>
    <col min="14091" max="14091" width="6.21875" style="2" customWidth="1"/>
    <col min="14092" max="14092" width="5.5546875" style="2" customWidth="1"/>
    <col min="14093" max="14093" width="10.77734375" style="2" customWidth="1"/>
    <col min="14094" max="14094" width="8.21875" style="2" customWidth="1"/>
    <col min="14095" max="14095" width="12.21875" style="2" customWidth="1"/>
    <col min="14096" max="14096" width="10.21875" style="2" customWidth="1"/>
    <col min="14097" max="14097" width="9.21875" style="2" customWidth="1"/>
    <col min="14098" max="14336" width="8.77734375" style="2"/>
    <col min="14337" max="14337" width="4.21875" style="2" customWidth="1"/>
    <col min="14338" max="14338" width="2.5546875" style="2" customWidth="1"/>
    <col min="14339" max="14340" width="8.77734375" style="2"/>
    <col min="14341" max="14341" width="7.21875" style="2" customWidth="1"/>
    <col min="14342" max="14342" width="8.21875" style="2" customWidth="1"/>
    <col min="14343" max="14344" width="10.21875" style="2" customWidth="1"/>
    <col min="14345" max="14345" width="3.77734375" style="2" customWidth="1"/>
    <col min="14346" max="14346" width="8.77734375" style="2"/>
    <col min="14347" max="14347" width="6.21875" style="2" customWidth="1"/>
    <col min="14348" max="14348" width="5.5546875" style="2" customWidth="1"/>
    <col min="14349" max="14349" width="10.77734375" style="2" customWidth="1"/>
    <col min="14350" max="14350" width="8.21875" style="2" customWidth="1"/>
    <col min="14351" max="14351" width="12.21875" style="2" customWidth="1"/>
    <col min="14352" max="14352" width="10.21875" style="2" customWidth="1"/>
    <col min="14353" max="14353" width="9.21875" style="2" customWidth="1"/>
    <col min="14354" max="14592" width="8.77734375" style="2"/>
    <col min="14593" max="14593" width="4.21875" style="2" customWidth="1"/>
    <col min="14594" max="14594" width="2.5546875" style="2" customWidth="1"/>
    <col min="14595" max="14596" width="8.77734375" style="2"/>
    <col min="14597" max="14597" width="7.21875" style="2" customWidth="1"/>
    <col min="14598" max="14598" width="8.21875" style="2" customWidth="1"/>
    <col min="14599" max="14600" width="10.21875" style="2" customWidth="1"/>
    <col min="14601" max="14601" width="3.77734375" style="2" customWidth="1"/>
    <col min="14602" max="14602" width="8.77734375" style="2"/>
    <col min="14603" max="14603" width="6.21875" style="2" customWidth="1"/>
    <col min="14604" max="14604" width="5.5546875" style="2" customWidth="1"/>
    <col min="14605" max="14605" width="10.77734375" style="2" customWidth="1"/>
    <col min="14606" max="14606" width="8.21875" style="2" customWidth="1"/>
    <col min="14607" max="14607" width="12.21875" style="2" customWidth="1"/>
    <col min="14608" max="14608" width="10.21875" style="2" customWidth="1"/>
    <col min="14609" max="14609" width="9.21875" style="2" customWidth="1"/>
    <col min="14610" max="14848" width="8.77734375" style="2"/>
    <col min="14849" max="14849" width="4.21875" style="2" customWidth="1"/>
    <col min="14850" max="14850" width="2.5546875" style="2" customWidth="1"/>
    <col min="14851" max="14852" width="8.77734375" style="2"/>
    <col min="14853" max="14853" width="7.21875" style="2" customWidth="1"/>
    <col min="14854" max="14854" width="8.21875" style="2" customWidth="1"/>
    <col min="14855" max="14856" width="10.21875" style="2" customWidth="1"/>
    <col min="14857" max="14857" width="3.77734375" style="2" customWidth="1"/>
    <col min="14858" max="14858" width="8.77734375" style="2"/>
    <col min="14859" max="14859" width="6.21875" style="2" customWidth="1"/>
    <col min="14860" max="14860" width="5.5546875" style="2" customWidth="1"/>
    <col min="14861" max="14861" width="10.77734375" style="2" customWidth="1"/>
    <col min="14862" max="14862" width="8.21875" style="2" customWidth="1"/>
    <col min="14863" max="14863" width="12.21875" style="2" customWidth="1"/>
    <col min="14864" max="14864" width="10.21875" style="2" customWidth="1"/>
    <col min="14865" max="14865" width="9.21875" style="2" customWidth="1"/>
    <col min="14866" max="15104" width="8.77734375" style="2"/>
    <col min="15105" max="15105" width="4.21875" style="2" customWidth="1"/>
    <col min="15106" max="15106" width="2.5546875" style="2" customWidth="1"/>
    <col min="15107" max="15108" width="8.77734375" style="2"/>
    <col min="15109" max="15109" width="7.21875" style="2" customWidth="1"/>
    <col min="15110" max="15110" width="8.21875" style="2" customWidth="1"/>
    <col min="15111" max="15112" width="10.21875" style="2" customWidth="1"/>
    <col min="15113" max="15113" width="3.77734375" style="2" customWidth="1"/>
    <col min="15114" max="15114" width="8.77734375" style="2"/>
    <col min="15115" max="15115" width="6.21875" style="2" customWidth="1"/>
    <col min="15116" max="15116" width="5.5546875" style="2" customWidth="1"/>
    <col min="15117" max="15117" width="10.77734375" style="2" customWidth="1"/>
    <col min="15118" max="15118" width="8.21875" style="2" customWidth="1"/>
    <col min="15119" max="15119" width="12.21875" style="2" customWidth="1"/>
    <col min="15120" max="15120" width="10.21875" style="2" customWidth="1"/>
    <col min="15121" max="15121" width="9.21875" style="2" customWidth="1"/>
    <col min="15122" max="15360" width="8.77734375" style="2"/>
    <col min="15361" max="15361" width="4.21875" style="2" customWidth="1"/>
    <col min="15362" max="15362" width="2.5546875" style="2" customWidth="1"/>
    <col min="15363" max="15364" width="8.77734375" style="2"/>
    <col min="15365" max="15365" width="7.21875" style="2" customWidth="1"/>
    <col min="15366" max="15366" width="8.21875" style="2" customWidth="1"/>
    <col min="15367" max="15368" width="10.21875" style="2" customWidth="1"/>
    <col min="15369" max="15369" width="3.77734375" style="2" customWidth="1"/>
    <col min="15370" max="15370" width="8.77734375" style="2"/>
    <col min="15371" max="15371" width="6.21875" style="2" customWidth="1"/>
    <col min="15372" max="15372" width="5.5546875" style="2" customWidth="1"/>
    <col min="15373" max="15373" width="10.77734375" style="2" customWidth="1"/>
    <col min="15374" max="15374" width="8.21875" style="2" customWidth="1"/>
    <col min="15375" max="15375" width="12.21875" style="2" customWidth="1"/>
    <col min="15376" max="15376" width="10.21875" style="2" customWidth="1"/>
    <col min="15377" max="15377" width="9.21875" style="2" customWidth="1"/>
    <col min="15378" max="15616" width="8.77734375" style="2"/>
    <col min="15617" max="15617" width="4.21875" style="2" customWidth="1"/>
    <col min="15618" max="15618" width="2.5546875" style="2" customWidth="1"/>
    <col min="15619" max="15620" width="8.77734375" style="2"/>
    <col min="15621" max="15621" width="7.21875" style="2" customWidth="1"/>
    <col min="15622" max="15622" width="8.21875" style="2" customWidth="1"/>
    <col min="15623" max="15624" width="10.21875" style="2" customWidth="1"/>
    <col min="15625" max="15625" width="3.77734375" style="2" customWidth="1"/>
    <col min="15626" max="15626" width="8.77734375" style="2"/>
    <col min="15627" max="15627" width="6.21875" style="2" customWidth="1"/>
    <col min="15628" max="15628" width="5.5546875" style="2" customWidth="1"/>
    <col min="15629" max="15629" width="10.77734375" style="2" customWidth="1"/>
    <col min="15630" max="15630" width="8.21875" style="2" customWidth="1"/>
    <col min="15631" max="15631" width="12.21875" style="2" customWidth="1"/>
    <col min="15632" max="15632" width="10.21875" style="2" customWidth="1"/>
    <col min="15633" max="15633" width="9.21875" style="2" customWidth="1"/>
    <col min="15634" max="15872" width="8.77734375" style="2"/>
    <col min="15873" max="15873" width="4.21875" style="2" customWidth="1"/>
    <col min="15874" max="15874" width="2.5546875" style="2" customWidth="1"/>
    <col min="15875" max="15876" width="8.77734375" style="2"/>
    <col min="15877" max="15877" width="7.21875" style="2" customWidth="1"/>
    <col min="15878" max="15878" width="8.21875" style="2" customWidth="1"/>
    <col min="15879" max="15880" width="10.21875" style="2" customWidth="1"/>
    <col min="15881" max="15881" width="3.77734375" style="2" customWidth="1"/>
    <col min="15882" max="15882" width="8.77734375" style="2"/>
    <col min="15883" max="15883" width="6.21875" style="2" customWidth="1"/>
    <col min="15884" max="15884" width="5.5546875" style="2" customWidth="1"/>
    <col min="15885" max="15885" width="10.77734375" style="2" customWidth="1"/>
    <col min="15886" max="15886" width="8.21875" style="2" customWidth="1"/>
    <col min="15887" max="15887" width="12.21875" style="2" customWidth="1"/>
    <col min="15888" max="15888" width="10.21875" style="2" customWidth="1"/>
    <col min="15889" max="15889" width="9.21875" style="2" customWidth="1"/>
    <col min="15890" max="16128" width="8.77734375" style="2"/>
    <col min="16129" max="16129" width="4.21875" style="2" customWidth="1"/>
    <col min="16130" max="16130" width="2.5546875" style="2" customWidth="1"/>
    <col min="16131" max="16132" width="8.77734375" style="2"/>
    <col min="16133" max="16133" width="7.21875" style="2" customWidth="1"/>
    <col min="16134" max="16134" width="8.21875" style="2" customWidth="1"/>
    <col min="16135" max="16136" width="10.21875" style="2" customWidth="1"/>
    <col min="16137" max="16137" width="3.77734375" style="2" customWidth="1"/>
    <col min="16138" max="16138" width="8.77734375" style="2"/>
    <col min="16139" max="16139" width="6.21875" style="2" customWidth="1"/>
    <col min="16140" max="16140" width="5.5546875" style="2" customWidth="1"/>
    <col min="16141" max="16141" width="10.77734375" style="2" customWidth="1"/>
    <col min="16142" max="16142" width="8.21875" style="2" customWidth="1"/>
    <col min="16143" max="16143" width="12.21875" style="2" customWidth="1"/>
    <col min="16144" max="16144" width="10.21875" style="2" customWidth="1"/>
    <col min="16145" max="16145" width="9.21875" style="2" customWidth="1"/>
    <col min="16146" max="16384" width="8.77734375" style="2"/>
  </cols>
  <sheetData>
    <row r="1" spans="1:18" ht="15.6">
      <c r="A1" s="1220" t="s">
        <v>20</v>
      </c>
      <c r="B1" s="1220"/>
      <c r="C1" s="1220"/>
      <c r="D1" s="1220"/>
      <c r="E1" s="1220"/>
      <c r="F1" s="1220"/>
      <c r="G1" s="1220"/>
      <c r="H1" s="1220"/>
      <c r="I1" s="1220"/>
      <c r="J1" s="1220"/>
      <c r="K1" s="1220"/>
      <c r="L1" s="1220"/>
      <c r="M1" s="1220"/>
      <c r="N1" s="1220"/>
      <c r="O1" s="1220"/>
      <c r="P1" s="49"/>
      <c r="Q1" s="50"/>
      <c r="R1" s="49"/>
    </row>
    <row r="2" spans="1:18" ht="15.6">
      <c r="A2" s="1220" t="s">
        <v>42</v>
      </c>
      <c r="B2" s="1220"/>
      <c r="C2" s="1220"/>
      <c r="D2" s="1220"/>
      <c r="E2" s="1220"/>
      <c r="F2" s="1220"/>
      <c r="G2" s="1220"/>
      <c r="H2" s="1220"/>
      <c r="I2" s="1220"/>
      <c r="J2" s="1220"/>
      <c r="K2" s="1220"/>
      <c r="L2" s="1220"/>
      <c r="M2" s="1220"/>
      <c r="N2" s="1220"/>
      <c r="O2" s="1220"/>
    </row>
    <row r="3" spans="1:18" ht="15" customHeight="1">
      <c r="A3" s="1225" t="s">
        <v>48</v>
      </c>
      <c r="B3" s="1225"/>
      <c r="C3" s="1225"/>
      <c r="D3" s="1225"/>
      <c r="E3" s="1225"/>
      <c r="F3" s="1225"/>
      <c r="G3" s="1225"/>
      <c r="H3" s="1225"/>
      <c r="I3" s="1225"/>
      <c r="J3" s="1225"/>
      <c r="K3" s="1225"/>
      <c r="L3" s="1225"/>
      <c r="M3" s="1225"/>
      <c r="N3" s="1225"/>
      <c r="O3" s="1225"/>
    </row>
    <row r="4" spans="1:18" ht="7.5" customHeight="1"/>
    <row r="5" spans="1:18" ht="39" customHeight="1">
      <c r="A5" s="33" t="s">
        <v>22</v>
      </c>
      <c r="F5" s="34" t="s">
        <v>23</v>
      </c>
      <c r="H5" s="35" t="s">
        <v>24</v>
      </c>
      <c r="I5" s="36"/>
      <c r="J5" s="1221" t="s">
        <v>25</v>
      </c>
      <c r="K5" s="1217"/>
      <c r="M5" s="3" t="s">
        <v>26</v>
      </c>
      <c r="O5" s="37" t="s">
        <v>27</v>
      </c>
    </row>
    <row r="6" spans="1:18" ht="6.75" customHeight="1"/>
    <row r="7" spans="1:18" ht="15">
      <c r="B7" s="5" t="s">
        <v>6</v>
      </c>
      <c r="F7" s="38">
        <f>IF('Input (8)'!$G$4=0," ",'Input (8)'!$G$4)</f>
        <v>23.75</v>
      </c>
      <c r="G7" s="39"/>
      <c r="J7" s="1222">
        <f>IF('Input (8)'!G4=0,"0",'Input (8)'!G4)</f>
        <v>23.75</v>
      </c>
      <c r="K7" s="1222"/>
      <c r="L7" s="40" t="s">
        <v>28</v>
      </c>
      <c r="M7" s="41">
        <f>IF('Input (8)'!G4=0,0,LOOKUP(J7,'criteria (8)'!$A$3:$A$10,'criteria (8)'!$B$3:$B$10))</f>
        <v>40</v>
      </c>
      <c r="N7" s="42" t="s">
        <v>29</v>
      </c>
      <c r="O7" s="38">
        <f>IF(Q7=0,0,IF(Q7&lt;LOOKUP(J7,'criteria (8)'!$A$3:$A$10,'criteria (8)'!$C$3:$C$10),LOOKUP(J7,'criteria (8)'!$A$3:$A$10,'criteria (8)'!$C$3:$C$10),IF(LOOKUP(J7,'criteria (8)'!$A$3:$A$10,'criteria (8)'!$C$3:$C$10)=0,0,Q7)))</f>
        <v>0.75</v>
      </c>
      <c r="P7" s="28" t="str">
        <f>IF('Input (8)'!G4=0," ",IF(O7=0,"ADD to 1-6",IF(O7=Q7," ","Minimum")))</f>
        <v>Minimum</v>
      </c>
      <c r="Q7" s="32">
        <f>ROUND(IF('Input (8)'!G4=0,0,IF(M7=0,0,(J7/M7))),2)</f>
        <v>0.59</v>
      </c>
    </row>
    <row r="8" spans="1:18" ht="6.75" customHeight="1">
      <c r="J8" s="43"/>
      <c r="K8" s="43"/>
      <c r="O8" s="43"/>
    </row>
    <row r="9" spans="1:18">
      <c r="B9" s="5" t="s">
        <v>7</v>
      </c>
      <c r="J9" s="43"/>
      <c r="K9" s="43"/>
      <c r="O9" s="43"/>
    </row>
    <row r="10" spans="1:18">
      <c r="B10" s="28" t="s">
        <v>30</v>
      </c>
      <c r="J10" s="43"/>
      <c r="K10" s="43"/>
      <c r="O10" s="43"/>
    </row>
    <row r="11" spans="1:18" ht="16.5" customHeight="1">
      <c r="C11" s="12" t="s">
        <v>8</v>
      </c>
      <c r="F11" s="41" t="str">
        <f>IF(J11=0," ",IF($J$16&gt;300," ",'Input (8)'!G7))</f>
        <v xml:space="preserve"> </v>
      </c>
      <c r="G11" s="44" t="s">
        <v>31</v>
      </c>
      <c r="H11" s="38" t="str">
        <f>IF(J11=0," ",'C (8)'!H25)</f>
        <v xml:space="preserve"> </v>
      </c>
      <c r="I11" s="42" t="s">
        <v>29</v>
      </c>
      <c r="J11" s="1222">
        <f>IF('Input (8)'!G7=0,0,IF(SUM('Input (8)'!G7-'C (8)'!H25)+SUM('Input (8)'!G8-'C (8)'!H26)&gt;299.99,SUM('Input (8)'!G7-'C (8)'!H25),0))</f>
        <v>0</v>
      </c>
      <c r="K11" s="1222"/>
      <c r="L11" s="40" t="s">
        <v>28</v>
      </c>
      <c r="M11" s="41">
        <f>IF(SUM('Input (8)'!$G$7-'C (8)'!$H$25)+SUM('Input (8)'!$G$8-'C (8)'!$H$26)&gt;299.99,20,0)</f>
        <v>0</v>
      </c>
      <c r="N11" s="42" t="s">
        <v>29</v>
      </c>
      <c r="O11" s="38">
        <f>ROUND(IF(SUM('Input (8)'!$G$7-'C (8)'!$H$25)+SUM('Input (8)'!$G$8-'C (8)'!$H$26)&lt;299.99,0,IF(Q11+Q13&lt;15,0,(J11/M11))),2)</f>
        <v>0</v>
      </c>
      <c r="P11" s="2" t="str">
        <f>IF(O11=0," ",IF(O11=Q11," ","Minimum"))</f>
        <v xml:space="preserve"> </v>
      </c>
      <c r="Q11" s="32">
        <f>ROUND(IF(SUM('Input (8)'!$G$7-'C (8)'!$H$25)+SUM('Input (8)'!$G$8-'C (8)'!$H$26)&lt;299.99,0,(J11/M11)),2)</f>
        <v>0</v>
      </c>
    </row>
    <row r="12" spans="1:18" ht="9" customHeight="1">
      <c r="B12" s="12"/>
      <c r="J12" s="43"/>
      <c r="K12" s="43"/>
      <c r="O12" s="43"/>
    </row>
    <row r="13" spans="1:18" ht="15">
      <c r="C13" s="12" t="s">
        <v>9</v>
      </c>
      <c r="F13" s="41" t="str">
        <f>IF(J13=0," ",IF($J$16&gt;300," ",'Input (8)'!G8))</f>
        <v xml:space="preserve"> </v>
      </c>
      <c r="G13" s="44" t="s">
        <v>31</v>
      </c>
      <c r="H13" s="38" t="str">
        <f>IF(J13=0," ",'C (8)'!H26)</f>
        <v xml:space="preserve"> </v>
      </c>
      <c r="I13" s="42" t="s">
        <v>29</v>
      </c>
      <c r="J13" s="1222">
        <f>IF('Input (8)'!G8=0,0,IF(SUM('Input (8)'!G7-'C (8)'!H25)+SUM('Input (8)'!G8-'C (8)'!H26)&gt;299.99,SUM('Input (8)'!G8-'C (8)'!H26),0))</f>
        <v>0</v>
      </c>
      <c r="K13" s="1222"/>
      <c r="L13" s="40" t="s">
        <v>28</v>
      </c>
      <c r="M13" s="41">
        <f>IF(SUM('Input (8)'!$G$7-'C (8)'!$H$25)+SUM('Input (8)'!$G$8-'C (8)'!$H$26)&gt;299.99,23,0)</f>
        <v>0</v>
      </c>
      <c r="N13" s="42" t="s">
        <v>29</v>
      </c>
      <c r="O13" s="38">
        <f>ROUND(IF(SUM('Input (8)'!$G$7-'C (8)'!$H$25)+SUM('Input (8)'!$G$8-'C (8)'!$H$26)&lt;299.99,0,IF(Q11+Q13&lt;15,0,($J$13/$M$13))),2)</f>
        <v>0</v>
      </c>
      <c r="P13" s="2" t="str">
        <f>IF(O13=0," ",IF(O13=Q13," ","Minimum"))</f>
        <v xml:space="preserve"> </v>
      </c>
      <c r="Q13" s="32">
        <f>ROUND(IF(SUM('Input (8)'!$G$7-'C (8)'!$H$25)+SUM('Input (8)'!$G$8-'C (8)'!$H$26)&lt;299.99,0,($J$13/$M$13)),2)</f>
        <v>0</v>
      </c>
    </row>
    <row r="14" spans="1:18" ht="15">
      <c r="B14" s="5" t="s">
        <v>7</v>
      </c>
      <c r="F14" s="36"/>
      <c r="G14" s="44"/>
      <c r="H14" s="39"/>
      <c r="I14" s="42"/>
      <c r="O14" s="39" t="str">
        <f>IF(P14="Minimum",15," ")</f>
        <v xml:space="preserve"> </v>
      </c>
      <c r="P14" s="2" t="str">
        <f>IF(Q11+Q13=0," ",IF(Q11+Q13&lt;15,"Minimum"," "))</f>
        <v xml:space="preserve"> </v>
      </c>
    </row>
    <row r="15" spans="1:18">
      <c r="B15" s="28" t="s">
        <v>32</v>
      </c>
      <c r="O15" s="43"/>
    </row>
    <row r="16" spans="1:18" ht="15">
      <c r="C16" s="12" t="s">
        <v>33</v>
      </c>
      <c r="F16" s="41">
        <f>IF(J16=0," ",IF(J16&lt;300,SUM('Input (8)'!G7+'Input (8)'!G8)," "))</f>
        <v>142.5</v>
      </c>
      <c r="G16" s="44" t="s">
        <v>31</v>
      </c>
      <c r="H16" s="38">
        <f>IF(J16=0," ",'C (8)'!H22)</f>
        <v>10.5</v>
      </c>
      <c r="I16" s="42" t="s">
        <v>29</v>
      </c>
      <c r="J16" s="1222">
        <f>IF('Input (8)'!G9=0,0,IF(SUM('Input (8)'!G7-'C (8)'!H25)+SUM('Input (8)'!G8-'C (8)'!H26)&lt;300,IF(P7="ADD to 1-6",SUM('Input (8)'!G7-'C (8)'!H25)+SUM('Input (8)'!G8-'C (8)'!H26)+'Input (8)'!G4,SUM('Input (8)'!G7-'C (8)'!H25)+SUM('Input (8)'!G8-'C (8)'!H26)),0))</f>
        <v>132</v>
      </c>
      <c r="K16" s="1222"/>
      <c r="L16" s="40" t="s">
        <v>28</v>
      </c>
      <c r="M16" s="41">
        <f>IF(SUM('Input (8)'!$G$7-'C (8)'!$H$25)+SUM('Input (8)'!$G$8-'C (8)'!$H$26)&lt;299.99,LOOKUP(J16,'criteria (8)'!$M$3:$M$11,'criteria (8)'!$N$3:$N$11),0)</f>
        <v>19</v>
      </c>
      <c r="N16" s="42" t="s">
        <v>29</v>
      </c>
      <c r="O16" s="38">
        <f>IF(Q16=0,0,IF(Q16&lt;LOOKUP(J16,'criteria (8)'!$M$3:$M$10,'criteria (8)'!$O$3:$O$10),LOOKUP(J16,'criteria (8)'!$M$3:$M$10,'criteria (8)'!$O$3:$O$10),Q16))</f>
        <v>6.95</v>
      </c>
      <c r="P16" s="2" t="str">
        <f>IF(O16=0," ",IF(O16=Q16," ","Minimum"))</f>
        <v xml:space="preserve"> </v>
      </c>
      <c r="Q16" s="32">
        <f>ROUND(IF('Input (8)'!G9=0,0,IF(SUM('Input (8)'!$G$7-'C (8)'!$H$25)+SUM('Input (8)'!$G$8-'C (8)'!$H$26)&gt;299.99,0,(J16/M16))),2)</f>
        <v>6.95</v>
      </c>
    </row>
    <row r="17" spans="1:17" ht="6" customHeight="1">
      <c r="J17" s="43"/>
      <c r="K17" s="43"/>
      <c r="O17" s="43"/>
    </row>
    <row r="18" spans="1:17" ht="15">
      <c r="B18" s="5" t="s">
        <v>10</v>
      </c>
      <c r="F18" s="41">
        <f>IF(J18=0," ",'Input (8)'!G10)</f>
        <v>142.5</v>
      </c>
      <c r="G18" s="44" t="s">
        <v>31</v>
      </c>
      <c r="H18" s="38"/>
      <c r="I18" s="42" t="s">
        <v>29</v>
      </c>
      <c r="J18" s="1222">
        <f>IF('Input (8)'!G10=0,0,'Input (8)'!G10)</f>
        <v>142.5</v>
      </c>
      <c r="K18" s="1222"/>
      <c r="L18" s="40" t="s">
        <v>28</v>
      </c>
      <c r="M18" s="41">
        <f>IF(J18=0,0,IF(J18&gt;99.99,LOOKUP(J18,'criteria (8)'!Q3:Q10,'criteria (8)'!R3:R10),12))</f>
        <v>12</v>
      </c>
      <c r="N18" s="42" t="s">
        <v>29</v>
      </c>
      <c r="O18" s="38">
        <f>ROUND(IF(J18=0,0,IF(J18&lt;99.99,IF(M18=0,8,(J18/M18)),IF(Q18&lt;LOOKUP(J18,'criteria (8)'!$Q$3:$Q$10,'criteria (8)'!$S$3:$S$10),LOOKUP(J18,'criteria (8)'!$Q$3:$Q$10,'criteria (8)'!$S$3:$S$10),Q18))),2)</f>
        <v>11.88</v>
      </c>
      <c r="P18" s="2" t="str">
        <f>IF(O18=0," ",IF(O18=Q18," ","Minimum"))</f>
        <v xml:space="preserve"> </v>
      </c>
      <c r="Q18" s="32">
        <f>ROUND(IF(M18=0,0,(J18/M18)),2)</f>
        <v>11.88</v>
      </c>
    </row>
    <row r="19" spans="1:17">
      <c r="B19" s="5"/>
      <c r="J19" s="39"/>
      <c r="K19" s="39"/>
      <c r="M19" s="36"/>
      <c r="N19" s="42"/>
      <c r="O19" s="36"/>
    </row>
    <row r="20" spans="1:17" ht="15.6">
      <c r="A20" s="48" t="s">
        <v>43</v>
      </c>
      <c r="J20" s="43"/>
      <c r="K20" s="43"/>
    </row>
    <row r="21" spans="1:17" ht="3.75" customHeight="1">
      <c r="J21" s="43"/>
      <c r="K21" s="43"/>
    </row>
    <row r="22" spans="1:17">
      <c r="B22" s="2" t="s">
        <v>44</v>
      </c>
      <c r="J22" s="1222" t="str">
        <f>IF('C (8)'!H55=0," ",'C (8)'!H55)</f>
        <v xml:space="preserve"> </v>
      </c>
      <c r="K22" s="1222"/>
    </row>
    <row r="23" spans="1:17" ht="6" customHeight="1">
      <c r="J23" s="43"/>
      <c r="K23" s="43"/>
    </row>
    <row r="24" spans="1:17">
      <c r="B24" s="2" t="s">
        <v>45</v>
      </c>
      <c r="J24" s="1222">
        <f>IF('C (8)'!H22=0," ",'C (8)'!H22)</f>
        <v>10.5</v>
      </c>
      <c r="K24" s="1222"/>
    </row>
    <row r="25" spans="1:17" ht="6" customHeight="1">
      <c r="J25" s="43"/>
      <c r="K25" s="43"/>
    </row>
    <row r="26" spans="1:17">
      <c r="B26" s="2" t="s">
        <v>46</v>
      </c>
      <c r="J26" s="1222">
        <f>0</f>
        <v>0</v>
      </c>
      <c r="K26" s="1222"/>
    </row>
    <row r="27" spans="1:17" ht="6" customHeight="1">
      <c r="J27" s="43"/>
      <c r="K27" s="43"/>
    </row>
    <row r="28" spans="1:17" ht="6" customHeight="1">
      <c r="J28" s="39"/>
      <c r="K28" s="39"/>
    </row>
    <row r="29" spans="1:17" ht="13.5" customHeight="1" thickBot="1">
      <c r="B29" s="46" t="s">
        <v>47</v>
      </c>
      <c r="J29" s="1219">
        <f>SUM(J22:K27)</f>
        <v>10.5</v>
      </c>
      <c r="K29" s="1219"/>
      <c r="L29" s="40" t="s">
        <v>28</v>
      </c>
      <c r="M29" s="41">
        <f>IF(SUM('Input (8)'!C4:C10)=0,0,IF(J29&gt;=14,LOOKUP(J29,'criteria (8)'!$U$3:$U$10,'criteria (8)'!$V$3:$V$10),0))</f>
        <v>0</v>
      </c>
      <c r="N29" s="42" t="s">
        <v>29</v>
      </c>
      <c r="O29" s="38">
        <f>IF(J29=0,0,IF(Q29&lt;LOOKUP(J29,'criteria (8)'!$U$3:$U$10,'criteria (8)'!$W$3:$W$10),LOOKUP(J29,'criteria (8)'!$U$3:$U$10,'criteria (8)'!$W$3:$W$10),Q29))</f>
        <v>0.75</v>
      </c>
      <c r="P29" s="2" t="str">
        <f>IF(O29=0," ",IF(O29=Q29," ","Minimum"))</f>
        <v>Minimum</v>
      </c>
      <c r="Q29" s="32">
        <f>ROUND(IF(SUM('Input (8)'!C4:C10)=0,0,IF(M29=0,0,(J29/M29))),2)</f>
        <v>0</v>
      </c>
    </row>
    <row r="30" spans="1:17" ht="12" customHeight="1" thickTop="1">
      <c r="B30" s="1226"/>
      <c r="C30" s="1226"/>
      <c r="D30" s="1226"/>
      <c r="E30" s="1226"/>
      <c r="F30" s="47"/>
      <c r="G30" s="47"/>
      <c r="H30" s="47"/>
      <c r="J30" s="12"/>
      <c r="N30" s="42"/>
      <c r="O30" s="39"/>
      <c r="P30" s="46"/>
    </row>
    <row r="31" spans="1:17" ht="19.5" customHeight="1">
      <c r="A31" s="48" t="s">
        <v>39</v>
      </c>
      <c r="O31" s="43"/>
    </row>
    <row r="32" spans="1:17" ht="15">
      <c r="B32" s="1227" t="str">
        <f>IF('Input (8)'!E14=0," ","Alternative Secondary High School")</f>
        <v xml:space="preserve"> </v>
      </c>
      <c r="C32" s="1227"/>
      <c r="D32" s="1227"/>
      <c r="E32" s="1227"/>
      <c r="F32" s="1227"/>
      <c r="J32" s="1222">
        <f>'Input (8)'!G14</f>
        <v>0</v>
      </c>
      <c r="K32" s="1222"/>
      <c r="L32" s="40" t="s">
        <v>28</v>
      </c>
      <c r="M32" s="41">
        <f>IF(J32=0,0,IF(Q32&lt;1,M18,12))</f>
        <v>0</v>
      </c>
      <c r="N32" s="42" t="s">
        <v>29</v>
      </c>
      <c r="O32" s="38">
        <f>ROUND(IF(J32=0,0,J32/M32),2)</f>
        <v>0</v>
      </c>
      <c r="P32" s="45"/>
      <c r="Q32" s="32">
        <f>ROUND(IF(J32=0,0,J32/12),2)</f>
        <v>0</v>
      </c>
    </row>
    <row r="33" spans="1:17" ht="11.25" customHeight="1">
      <c r="J33" s="43"/>
      <c r="K33" s="43"/>
      <c r="O33" s="43"/>
    </row>
    <row r="34" spans="1:17" ht="11.25" customHeight="1">
      <c r="B34" s="1227" t="str">
        <f>IF('Input (8)'!E15=0," ","Summer Alternative Secondary High School")</f>
        <v xml:space="preserve"> </v>
      </c>
      <c r="C34" s="1227"/>
      <c r="D34" s="1227"/>
      <c r="E34" s="1227"/>
      <c r="F34" s="1227"/>
      <c r="J34" s="1222">
        <f>'Input (8)'!E15</f>
        <v>0</v>
      </c>
      <c r="K34" s="1222"/>
      <c r="L34" s="40" t="s">
        <v>28</v>
      </c>
      <c r="M34" s="41">
        <f>IF(J34=0,0,40)</f>
        <v>0</v>
      </c>
      <c r="N34" s="42" t="s">
        <v>29</v>
      </c>
      <c r="O34" s="38">
        <f>ROUND(IF(J34=0,0,J34/M34),2)</f>
        <v>0</v>
      </c>
      <c r="P34" s="45"/>
      <c r="Q34" s="32">
        <f>ROUND(IF(J34=0,0,J34/12),2)</f>
        <v>0</v>
      </c>
    </row>
    <row r="35" spans="1:17" ht="13.5" customHeight="1">
      <c r="J35" s="36"/>
      <c r="K35" s="36"/>
      <c r="L35" s="40"/>
      <c r="M35" s="36"/>
      <c r="N35" s="42"/>
      <c r="O35" s="36"/>
      <c r="P35" s="46"/>
    </row>
    <row r="36" spans="1:17" ht="18.75" customHeight="1" thickBot="1">
      <c r="A36" s="45"/>
      <c r="B36" s="12" t="s">
        <v>40</v>
      </c>
      <c r="C36" s="46"/>
      <c r="D36" s="46"/>
      <c r="E36" s="46"/>
      <c r="F36" s="46"/>
      <c r="G36" s="46"/>
      <c r="H36" s="46"/>
      <c r="I36" s="46"/>
      <c r="J36" s="46"/>
      <c r="K36" s="46"/>
      <c r="M36" s="36"/>
      <c r="O36" s="52">
        <f>ROUND(IF(SUM(O7:O34)=0,0,SUM(O7:O34)),2)</f>
        <v>20.329999999999998</v>
      </c>
    </row>
    <row r="37" spans="1:17" ht="13.8" thickTop="1">
      <c r="M37" s="1218" t="str">
        <f>IF(O36=0," ",IF(O36&lt;'Best 28 (8)'!O36,"Do Not Use","You May Use this Calculation"))</f>
        <v>You May Use this Calculation</v>
      </c>
      <c r="N37" s="1218"/>
      <c r="O37" s="1218"/>
      <c r="P37" s="1218"/>
    </row>
  </sheetData>
  <sheetProtection password="CDD6" sheet="1" objects="1" scenarios="1"/>
  <mergeCells count="19">
    <mergeCell ref="M37:P37"/>
    <mergeCell ref="J29:K29"/>
    <mergeCell ref="B30:E30"/>
    <mergeCell ref="B32:F32"/>
    <mergeCell ref="J32:K32"/>
    <mergeCell ref="B34:F34"/>
    <mergeCell ref="J34:K34"/>
    <mergeCell ref="J26:K26"/>
    <mergeCell ref="A1:O1"/>
    <mergeCell ref="A2:O2"/>
    <mergeCell ref="A3:O3"/>
    <mergeCell ref="J5:K5"/>
    <mergeCell ref="J7:K7"/>
    <mergeCell ref="J11:K11"/>
    <mergeCell ref="J13:K13"/>
    <mergeCell ref="J16:K16"/>
    <mergeCell ref="J18:K18"/>
    <mergeCell ref="J22:K22"/>
    <mergeCell ref="J24:K24"/>
  </mergeCells>
  <conditionalFormatting sqref="M37:P37">
    <cfRule type="cellIs" dxfId="1" priority="1" stopIfTrue="1" operator="equal">
      <formula>"Do Not Use"</formula>
    </cfRule>
    <cfRule type="cellIs" dxfId="0" priority="2" stopIfTrue="1" operator="equal">
      <formula>"You May Use this Calculation"</formula>
    </cfRule>
  </conditionalFormatting>
  <pageMargins left="0.5" right="0.5" top="0.5" bottom="0.5" header="0.25" footer="0.25"/>
  <pageSetup scale="76" orientation="portrait" r:id="rId1"/>
  <headerFooter alignWithMargins="0">
    <oddFooter>&amp;L&amp;F</oddFooter>
  </headerFooter>
  <colBreaks count="1" manualBreakCount="1">
    <brk id="16" max="1048575"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60"/>
  <dimension ref="A1:K57"/>
  <sheetViews>
    <sheetView showGridLines="0" zoomScaleNormal="100" workbookViewId="0">
      <selection activeCell="C4" sqref="C4"/>
    </sheetView>
  </sheetViews>
  <sheetFormatPr defaultRowHeight="13.2"/>
  <cols>
    <col min="1" max="1" width="6" style="30" customWidth="1"/>
    <col min="2" max="5" width="8.77734375" style="2"/>
    <col min="6" max="6" width="17.21875" style="2" customWidth="1"/>
    <col min="7" max="7" width="2.77734375" style="30" customWidth="1"/>
    <col min="8" max="9" width="8.77734375" style="2"/>
    <col min="10" max="10" width="6.5546875" style="2" customWidth="1"/>
    <col min="11" max="11" width="10.21875" style="2" customWidth="1"/>
    <col min="12" max="256" width="8.77734375" style="2"/>
    <col min="257" max="257" width="6" style="2" customWidth="1"/>
    <col min="258" max="261" width="8.77734375" style="2"/>
    <col min="262" max="262" width="17.21875" style="2" customWidth="1"/>
    <col min="263" max="263" width="2.77734375" style="2" customWidth="1"/>
    <col min="264" max="265" width="8.77734375" style="2"/>
    <col min="266" max="266" width="6.5546875" style="2" customWidth="1"/>
    <col min="267" max="267" width="10.21875" style="2" customWidth="1"/>
    <col min="268" max="512" width="8.77734375" style="2"/>
    <col min="513" max="513" width="6" style="2" customWidth="1"/>
    <col min="514" max="517" width="8.77734375" style="2"/>
    <col min="518" max="518" width="17.21875" style="2" customWidth="1"/>
    <col min="519" max="519" width="2.77734375" style="2" customWidth="1"/>
    <col min="520" max="521" width="8.77734375" style="2"/>
    <col min="522" max="522" width="6.5546875" style="2" customWidth="1"/>
    <col min="523" max="523" width="10.21875" style="2" customWidth="1"/>
    <col min="524" max="768" width="8.77734375" style="2"/>
    <col min="769" max="769" width="6" style="2" customWidth="1"/>
    <col min="770" max="773" width="8.77734375" style="2"/>
    <col min="774" max="774" width="17.21875" style="2" customWidth="1"/>
    <col min="775" max="775" width="2.77734375" style="2" customWidth="1"/>
    <col min="776" max="777" width="8.77734375" style="2"/>
    <col min="778" max="778" width="6.5546875" style="2" customWidth="1"/>
    <col min="779" max="779" width="10.21875" style="2" customWidth="1"/>
    <col min="780" max="1024" width="8.77734375" style="2"/>
    <col min="1025" max="1025" width="6" style="2" customWidth="1"/>
    <col min="1026" max="1029" width="8.77734375" style="2"/>
    <col min="1030" max="1030" width="17.21875" style="2" customWidth="1"/>
    <col min="1031" max="1031" width="2.77734375" style="2" customWidth="1"/>
    <col min="1032" max="1033" width="8.77734375" style="2"/>
    <col min="1034" max="1034" width="6.5546875" style="2" customWidth="1"/>
    <col min="1035" max="1035" width="10.21875" style="2" customWidth="1"/>
    <col min="1036" max="1280" width="8.77734375" style="2"/>
    <col min="1281" max="1281" width="6" style="2" customWidth="1"/>
    <col min="1282" max="1285" width="8.77734375" style="2"/>
    <col min="1286" max="1286" width="17.21875" style="2" customWidth="1"/>
    <col min="1287" max="1287" width="2.77734375" style="2" customWidth="1"/>
    <col min="1288" max="1289" width="8.77734375" style="2"/>
    <col min="1290" max="1290" width="6.5546875" style="2" customWidth="1"/>
    <col min="1291" max="1291" width="10.21875" style="2" customWidth="1"/>
    <col min="1292" max="1536" width="8.77734375" style="2"/>
    <col min="1537" max="1537" width="6" style="2" customWidth="1"/>
    <col min="1538" max="1541" width="8.77734375" style="2"/>
    <col min="1542" max="1542" width="17.21875" style="2" customWidth="1"/>
    <col min="1543" max="1543" width="2.77734375" style="2" customWidth="1"/>
    <col min="1544" max="1545" width="8.77734375" style="2"/>
    <col min="1546" max="1546" width="6.5546875" style="2" customWidth="1"/>
    <col min="1547" max="1547" width="10.21875" style="2" customWidth="1"/>
    <col min="1548" max="1792" width="8.77734375" style="2"/>
    <col min="1793" max="1793" width="6" style="2" customWidth="1"/>
    <col min="1794" max="1797" width="8.77734375" style="2"/>
    <col min="1798" max="1798" width="17.21875" style="2" customWidth="1"/>
    <col min="1799" max="1799" width="2.77734375" style="2" customWidth="1"/>
    <col min="1800" max="1801" width="8.77734375" style="2"/>
    <col min="1802" max="1802" width="6.5546875" style="2" customWidth="1"/>
    <col min="1803" max="1803" width="10.21875" style="2" customWidth="1"/>
    <col min="1804" max="2048" width="8.77734375" style="2"/>
    <col min="2049" max="2049" width="6" style="2" customWidth="1"/>
    <col min="2050" max="2053" width="8.77734375" style="2"/>
    <col min="2054" max="2054" width="17.21875" style="2" customWidth="1"/>
    <col min="2055" max="2055" width="2.77734375" style="2" customWidth="1"/>
    <col min="2056" max="2057" width="8.77734375" style="2"/>
    <col min="2058" max="2058" width="6.5546875" style="2" customWidth="1"/>
    <col min="2059" max="2059" width="10.21875" style="2" customWidth="1"/>
    <col min="2060" max="2304" width="8.77734375" style="2"/>
    <col min="2305" max="2305" width="6" style="2" customWidth="1"/>
    <col min="2306" max="2309" width="8.77734375" style="2"/>
    <col min="2310" max="2310" width="17.21875" style="2" customWidth="1"/>
    <col min="2311" max="2311" width="2.77734375" style="2" customWidth="1"/>
    <col min="2312" max="2313" width="8.77734375" style="2"/>
    <col min="2314" max="2314" width="6.5546875" style="2" customWidth="1"/>
    <col min="2315" max="2315" width="10.21875" style="2" customWidth="1"/>
    <col min="2316" max="2560" width="8.77734375" style="2"/>
    <col min="2561" max="2561" width="6" style="2" customWidth="1"/>
    <col min="2562" max="2565" width="8.77734375" style="2"/>
    <col min="2566" max="2566" width="17.21875" style="2" customWidth="1"/>
    <col min="2567" max="2567" width="2.77734375" style="2" customWidth="1"/>
    <col min="2568" max="2569" width="8.77734375" style="2"/>
    <col min="2570" max="2570" width="6.5546875" style="2" customWidth="1"/>
    <col min="2571" max="2571" width="10.21875" style="2" customWidth="1"/>
    <col min="2572" max="2816" width="8.77734375" style="2"/>
    <col min="2817" max="2817" width="6" style="2" customWidth="1"/>
    <col min="2818" max="2821" width="8.77734375" style="2"/>
    <col min="2822" max="2822" width="17.21875" style="2" customWidth="1"/>
    <col min="2823" max="2823" width="2.77734375" style="2" customWidth="1"/>
    <col min="2824" max="2825" width="8.77734375" style="2"/>
    <col min="2826" max="2826" width="6.5546875" style="2" customWidth="1"/>
    <col min="2827" max="2827" width="10.21875" style="2" customWidth="1"/>
    <col min="2828" max="3072" width="8.77734375" style="2"/>
    <col min="3073" max="3073" width="6" style="2" customWidth="1"/>
    <col min="3074" max="3077" width="8.77734375" style="2"/>
    <col min="3078" max="3078" width="17.21875" style="2" customWidth="1"/>
    <col min="3079" max="3079" width="2.77734375" style="2" customWidth="1"/>
    <col min="3080" max="3081" width="8.77734375" style="2"/>
    <col min="3082" max="3082" width="6.5546875" style="2" customWidth="1"/>
    <col min="3083" max="3083" width="10.21875" style="2" customWidth="1"/>
    <col min="3084" max="3328" width="8.77734375" style="2"/>
    <col min="3329" max="3329" width="6" style="2" customWidth="1"/>
    <col min="3330" max="3333" width="8.77734375" style="2"/>
    <col min="3334" max="3334" width="17.21875" style="2" customWidth="1"/>
    <col min="3335" max="3335" width="2.77734375" style="2" customWidth="1"/>
    <col min="3336" max="3337" width="8.77734375" style="2"/>
    <col min="3338" max="3338" width="6.5546875" style="2" customWidth="1"/>
    <col min="3339" max="3339" width="10.21875" style="2" customWidth="1"/>
    <col min="3340" max="3584" width="8.77734375" style="2"/>
    <col min="3585" max="3585" width="6" style="2" customWidth="1"/>
    <col min="3586" max="3589" width="8.77734375" style="2"/>
    <col min="3590" max="3590" width="17.21875" style="2" customWidth="1"/>
    <col min="3591" max="3591" width="2.77734375" style="2" customWidth="1"/>
    <col min="3592" max="3593" width="8.77734375" style="2"/>
    <col min="3594" max="3594" width="6.5546875" style="2" customWidth="1"/>
    <col min="3595" max="3595" width="10.21875" style="2" customWidth="1"/>
    <col min="3596" max="3840" width="8.77734375" style="2"/>
    <col min="3841" max="3841" width="6" style="2" customWidth="1"/>
    <col min="3842" max="3845" width="8.77734375" style="2"/>
    <col min="3846" max="3846" width="17.21875" style="2" customWidth="1"/>
    <col min="3847" max="3847" width="2.77734375" style="2" customWidth="1"/>
    <col min="3848" max="3849" width="8.77734375" style="2"/>
    <col min="3850" max="3850" width="6.5546875" style="2" customWidth="1"/>
    <col min="3851" max="3851" width="10.21875" style="2" customWidth="1"/>
    <col min="3852" max="4096" width="8.77734375" style="2"/>
    <col min="4097" max="4097" width="6" style="2" customWidth="1"/>
    <col min="4098" max="4101" width="8.77734375" style="2"/>
    <col min="4102" max="4102" width="17.21875" style="2" customWidth="1"/>
    <col min="4103" max="4103" width="2.77734375" style="2" customWidth="1"/>
    <col min="4104" max="4105" width="8.77734375" style="2"/>
    <col min="4106" max="4106" width="6.5546875" style="2" customWidth="1"/>
    <col min="4107" max="4107" width="10.21875" style="2" customWidth="1"/>
    <col min="4108" max="4352" width="8.77734375" style="2"/>
    <col min="4353" max="4353" width="6" style="2" customWidth="1"/>
    <col min="4354" max="4357" width="8.77734375" style="2"/>
    <col min="4358" max="4358" width="17.21875" style="2" customWidth="1"/>
    <col min="4359" max="4359" width="2.77734375" style="2" customWidth="1"/>
    <col min="4360" max="4361" width="8.77734375" style="2"/>
    <col min="4362" max="4362" width="6.5546875" style="2" customWidth="1"/>
    <col min="4363" max="4363" width="10.21875" style="2" customWidth="1"/>
    <col min="4364" max="4608" width="8.77734375" style="2"/>
    <col min="4609" max="4609" width="6" style="2" customWidth="1"/>
    <col min="4610" max="4613" width="8.77734375" style="2"/>
    <col min="4614" max="4614" width="17.21875" style="2" customWidth="1"/>
    <col min="4615" max="4615" width="2.77734375" style="2" customWidth="1"/>
    <col min="4616" max="4617" width="8.77734375" style="2"/>
    <col min="4618" max="4618" width="6.5546875" style="2" customWidth="1"/>
    <col min="4619" max="4619" width="10.21875" style="2" customWidth="1"/>
    <col min="4620" max="4864" width="8.77734375" style="2"/>
    <col min="4865" max="4865" width="6" style="2" customWidth="1"/>
    <col min="4866" max="4869" width="8.77734375" style="2"/>
    <col min="4870" max="4870" width="17.21875" style="2" customWidth="1"/>
    <col min="4871" max="4871" width="2.77734375" style="2" customWidth="1"/>
    <col min="4872" max="4873" width="8.77734375" style="2"/>
    <col min="4874" max="4874" width="6.5546875" style="2" customWidth="1"/>
    <col min="4875" max="4875" width="10.21875" style="2" customWidth="1"/>
    <col min="4876" max="5120" width="8.77734375" style="2"/>
    <col min="5121" max="5121" width="6" style="2" customWidth="1"/>
    <col min="5122" max="5125" width="8.77734375" style="2"/>
    <col min="5126" max="5126" width="17.21875" style="2" customWidth="1"/>
    <col min="5127" max="5127" width="2.77734375" style="2" customWidth="1"/>
    <col min="5128" max="5129" width="8.77734375" style="2"/>
    <col min="5130" max="5130" width="6.5546875" style="2" customWidth="1"/>
    <col min="5131" max="5131" width="10.21875" style="2" customWidth="1"/>
    <col min="5132" max="5376" width="8.77734375" style="2"/>
    <col min="5377" max="5377" width="6" style="2" customWidth="1"/>
    <col min="5378" max="5381" width="8.77734375" style="2"/>
    <col min="5382" max="5382" width="17.21875" style="2" customWidth="1"/>
    <col min="5383" max="5383" width="2.77734375" style="2" customWidth="1"/>
    <col min="5384" max="5385" width="8.77734375" style="2"/>
    <col min="5386" max="5386" width="6.5546875" style="2" customWidth="1"/>
    <col min="5387" max="5387" width="10.21875" style="2" customWidth="1"/>
    <col min="5388" max="5632" width="8.77734375" style="2"/>
    <col min="5633" max="5633" width="6" style="2" customWidth="1"/>
    <col min="5634" max="5637" width="8.77734375" style="2"/>
    <col min="5638" max="5638" width="17.21875" style="2" customWidth="1"/>
    <col min="5639" max="5639" width="2.77734375" style="2" customWidth="1"/>
    <col min="5640" max="5641" width="8.77734375" style="2"/>
    <col min="5642" max="5642" width="6.5546875" style="2" customWidth="1"/>
    <col min="5643" max="5643" width="10.21875" style="2" customWidth="1"/>
    <col min="5644" max="5888" width="8.77734375" style="2"/>
    <col min="5889" max="5889" width="6" style="2" customWidth="1"/>
    <col min="5890" max="5893" width="8.77734375" style="2"/>
    <col min="5894" max="5894" width="17.21875" style="2" customWidth="1"/>
    <col min="5895" max="5895" width="2.77734375" style="2" customWidth="1"/>
    <col min="5896" max="5897" width="8.77734375" style="2"/>
    <col min="5898" max="5898" width="6.5546875" style="2" customWidth="1"/>
    <col min="5899" max="5899" width="10.21875" style="2" customWidth="1"/>
    <col min="5900" max="6144" width="8.77734375" style="2"/>
    <col min="6145" max="6145" width="6" style="2" customWidth="1"/>
    <col min="6146" max="6149" width="8.77734375" style="2"/>
    <col min="6150" max="6150" width="17.21875" style="2" customWidth="1"/>
    <col min="6151" max="6151" width="2.77734375" style="2" customWidth="1"/>
    <col min="6152" max="6153" width="8.77734375" style="2"/>
    <col min="6154" max="6154" width="6.5546875" style="2" customWidth="1"/>
    <col min="6155" max="6155" width="10.21875" style="2" customWidth="1"/>
    <col min="6156" max="6400" width="8.77734375" style="2"/>
    <col min="6401" max="6401" width="6" style="2" customWidth="1"/>
    <col min="6402" max="6405" width="8.77734375" style="2"/>
    <col min="6406" max="6406" width="17.21875" style="2" customWidth="1"/>
    <col min="6407" max="6407" width="2.77734375" style="2" customWidth="1"/>
    <col min="6408" max="6409" width="8.77734375" style="2"/>
    <col min="6410" max="6410" width="6.5546875" style="2" customWidth="1"/>
    <col min="6411" max="6411" width="10.21875" style="2" customWidth="1"/>
    <col min="6412" max="6656" width="8.77734375" style="2"/>
    <col min="6657" max="6657" width="6" style="2" customWidth="1"/>
    <col min="6658" max="6661" width="8.77734375" style="2"/>
    <col min="6662" max="6662" width="17.21875" style="2" customWidth="1"/>
    <col min="6663" max="6663" width="2.77734375" style="2" customWidth="1"/>
    <col min="6664" max="6665" width="8.77734375" style="2"/>
    <col min="6666" max="6666" width="6.5546875" style="2" customWidth="1"/>
    <col min="6667" max="6667" width="10.21875" style="2" customWidth="1"/>
    <col min="6668" max="6912" width="8.77734375" style="2"/>
    <col min="6913" max="6913" width="6" style="2" customWidth="1"/>
    <col min="6914" max="6917" width="8.77734375" style="2"/>
    <col min="6918" max="6918" width="17.21875" style="2" customWidth="1"/>
    <col min="6919" max="6919" width="2.77734375" style="2" customWidth="1"/>
    <col min="6920" max="6921" width="8.77734375" style="2"/>
    <col min="6922" max="6922" width="6.5546875" style="2" customWidth="1"/>
    <col min="6923" max="6923" width="10.21875" style="2" customWidth="1"/>
    <col min="6924" max="7168" width="8.77734375" style="2"/>
    <col min="7169" max="7169" width="6" style="2" customWidth="1"/>
    <col min="7170" max="7173" width="8.77734375" style="2"/>
    <col min="7174" max="7174" width="17.21875" style="2" customWidth="1"/>
    <col min="7175" max="7175" width="2.77734375" style="2" customWidth="1"/>
    <col min="7176" max="7177" width="8.77734375" style="2"/>
    <col min="7178" max="7178" width="6.5546875" style="2" customWidth="1"/>
    <col min="7179" max="7179" width="10.21875" style="2" customWidth="1"/>
    <col min="7180" max="7424" width="8.77734375" style="2"/>
    <col min="7425" max="7425" width="6" style="2" customWidth="1"/>
    <col min="7426" max="7429" width="8.77734375" style="2"/>
    <col min="7430" max="7430" width="17.21875" style="2" customWidth="1"/>
    <col min="7431" max="7431" width="2.77734375" style="2" customWidth="1"/>
    <col min="7432" max="7433" width="8.77734375" style="2"/>
    <col min="7434" max="7434" width="6.5546875" style="2" customWidth="1"/>
    <col min="7435" max="7435" width="10.21875" style="2" customWidth="1"/>
    <col min="7436" max="7680" width="8.77734375" style="2"/>
    <col min="7681" max="7681" width="6" style="2" customWidth="1"/>
    <col min="7682" max="7685" width="8.77734375" style="2"/>
    <col min="7686" max="7686" width="17.21875" style="2" customWidth="1"/>
    <col min="7687" max="7687" width="2.77734375" style="2" customWidth="1"/>
    <col min="7688" max="7689" width="8.77734375" style="2"/>
    <col min="7690" max="7690" width="6.5546875" style="2" customWidth="1"/>
    <col min="7691" max="7691" width="10.21875" style="2" customWidth="1"/>
    <col min="7692" max="7936" width="8.77734375" style="2"/>
    <col min="7937" max="7937" width="6" style="2" customWidth="1"/>
    <col min="7938" max="7941" width="8.77734375" style="2"/>
    <col min="7942" max="7942" width="17.21875" style="2" customWidth="1"/>
    <col min="7943" max="7943" width="2.77734375" style="2" customWidth="1"/>
    <col min="7944" max="7945" width="8.77734375" style="2"/>
    <col min="7946" max="7946" width="6.5546875" style="2" customWidth="1"/>
    <col min="7947" max="7947" width="10.21875" style="2" customWidth="1"/>
    <col min="7948" max="8192" width="8.77734375" style="2"/>
    <col min="8193" max="8193" width="6" style="2" customWidth="1"/>
    <col min="8194" max="8197" width="8.77734375" style="2"/>
    <col min="8198" max="8198" width="17.21875" style="2" customWidth="1"/>
    <col min="8199" max="8199" width="2.77734375" style="2" customWidth="1"/>
    <col min="8200" max="8201" width="8.77734375" style="2"/>
    <col min="8202" max="8202" width="6.5546875" style="2" customWidth="1"/>
    <col min="8203" max="8203" width="10.21875" style="2" customWidth="1"/>
    <col min="8204" max="8448" width="8.77734375" style="2"/>
    <col min="8449" max="8449" width="6" style="2" customWidth="1"/>
    <col min="8450" max="8453" width="8.77734375" style="2"/>
    <col min="8454" max="8454" width="17.21875" style="2" customWidth="1"/>
    <col min="8455" max="8455" width="2.77734375" style="2" customWidth="1"/>
    <col min="8456" max="8457" width="8.77734375" style="2"/>
    <col min="8458" max="8458" width="6.5546875" style="2" customWidth="1"/>
    <col min="8459" max="8459" width="10.21875" style="2" customWidth="1"/>
    <col min="8460" max="8704" width="8.77734375" style="2"/>
    <col min="8705" max="8705" width="6" style="2" customWidth="1"/>
    <col min="8706" max="8709" width="8.77734375" style="2"/>
    <col min="8710" max="8710" width="17.21875" style="2" customWidth="1"/>
    <col min="8711" max="8711" width="2.77734375" style="2" customWidth="1"/>
    <col min="8712" max="8713" width="8.77734375" style="2"/>
    <col min="8714" max="8714" width="6.5546875" style="2" customWidth="1"/>
    <col min="8715" max="8715" width="10.21875" style="2" customWidth="1"/>
    <col min="8716" max="8960" width="8.77734375" style="2"/>
    <col min="8961" max="8961" width="6" style="2" customWidth="1"/>
    <col min="8962" max="8965" width="8.77734375" style="2"/>
    <col min="8966" max="8966" width="17.21875" style="2" customWidth="1"/>
    <col min="8967" max="8967" width="2.77734375" style="2" customWidth="1"/>
    <col min="8968" max="8969" width="8.77734375" style="2"/>
    <col min="8970" max="8970" width="6.5546875" style="2" customWidth="1"/>
    <col min="8971" max="8971" width="10.21875" style="2" customWidth="1"/>
    <col min="8972" max="9216" width="8.77734375" style="2"/>
    <col min="9217" max="9217" width="6" style="2" customWidth="1"/>
    <col min="9218" max="9221" width="8.77734375" style="2"/>
    <col min="9222" max="9222" width="17.21875" style="2" customWidth="1"/>
    <col min="9223" max="9223" width="2.77734375" style="2" customWidth="1"/>
    <col min="9224" max="9225" width="8.77734375" style="2"/>
    <col min="9226" max="9226" width="6.5546875" style="2" customWidth="1"/>
    <col min="9227" max="9227" width="10.21875" style="2" customWidth="1"/>
    <col min="9228" max="9472" width="8.77734375" style="2"/>
    <col min="9473" max="9473" width="6" style="2" customWidth="1"/>
    <col min="9474" max="9477" width="8.77734375" style="2"/>
    <col min="9478" max="9478" width="17.21875" style="2" customWidth="1"/>
    <col min="9479" max="9479" width="2.77734375" style="2" customWidth="1"/>
    <col min="9480" max="9481" width="8.77734375" style="2"/>
    <col min="9482" max="9482" width="6.5546875" style="2" customWidth="1"/>
    <col min="9483" max="9483" width="10.21875" style="2" customWidth="1"/>
    <col min="9484" max="9728" width="8.77734375" style="2"/>
    <col min="9729" max="9729" width="6" style="2" customWidth="1"/>
    <col min="9730" max="9733" width="8.77734375" style="2"/>
    <col min="9734" max="9734" width="17.21875" style="2" customWidth="1"/>
    <col min="9735" max="9735" width="2.77734375" style="2" customWidth="1"/>
    <col min="9736" max="9737" width="8.77734375" style="2"/>
    <col min="9738" max="9738" width="6.5546875" style="2" customWidth="1"/>
    <col min="9739" max="9739" width="10.21875" style="2" customWidth="1"/>
    <col min="9740" max="9984" width="8.77734375" style="2"/>
    <col min="9985" max="9985" width="6" style="2" customWidth="1"/>
    <col min="9986" max="9989" width="8.77734375" style="2"/>
    <col min="9990" max="9990" width="17.21875" style="2" customWidth="1"/>
    <col min="9991" max="9991" width="2.77734375" style="2" customWidth="1"/>
    <col min="9992" max="9993" width="8.77734375" style="2"/>
    <col min="9994" max="9994" width="6.5546875" style="2" customWidth="1"/>
    <col min="9995" max="9995" width="10.21875" style="2" customWidth="1"/>
    <col min="9996" max="10240" width="8.77734375" style="2"/>
    <col min="10241" max="10241" width="6" style="2" customWidth="1"/>
    <col min="10242" max="10245" width="8.77734375" style="2"/>
    <col min="10246" max="10246" width="17.21875" style="2" customWidth="1"/>
    <col min="10247" max="10247" width="2.77734375" style="2" customWidth="1"/>
    <col min="10248" max="10249" width="8.77734375" style="2"/>
    <col min="10250" max="10250" width="6.5546875" style="2" customWidth="1"/>
    <col min="10251" max="10251" width="10.21875" style="2" customWidth="1"/>
    <col min="10252" max="10496" width="8.77734375" style="2"/>
    <col min="10497" max="10497" width="6" style="2" customWidth="1"/>
    <col min="10498" max="10501" width="8.77734375" style="2"/>
    <col min="10502" max="10502" width="17.21875" style="2" customWidth="1"/>
    <col min="10503" max="10503" width="2.77734375" style="2" customWidth="1"/>
    <col min="10504" max="10505" width="8.77734375" style="2"/>
    <col min="10506" max="10506" width="6.5546875" style="2" customWidth="1"/>
    <col min="10507" max="10507" width="10.21875" style="2" customWidth="1"/>
    <col min="10508" max="10752" width="8.77734375" style="2"/>
    <col min="10753" max="10753" width="6" style="2" customWidth="1"/>
    <col min="10754" max="10757" width="8.77734375" style="2"/>
    <col min="10758" max="10758" width="17.21875" style="2" customWidth="1"/>
    <col min="10759" max="10759" width="2.77734375" style="2" customWidth="1"/>
    <col min="10760" max="10761" width="8.77734375" style="2"/>
    <col min="10762" max="10762" width="6.5546875" style="2" customWidth="1"/>
    <col min="10763" max="10763" width="10.21875" style="2" customWidth="1"/>
    <col min="10764" max="11008" width="8.77734375" style="2"/>
    <col min="11009" max="11009" width="6" style="2" customWidth="1"/>
    <col min="11010" max="11013" width="8.77734375" style="2"/>
    <col min="11014" max="11014" width="17.21875" style="2" customWidth="1"/>
    <col min="11015" max="11015" width="2.77734375" style="2" customWidth="1"/>
    <col min="11016" max="11017" width="8.77734375" style="2"/>
    <col min="11018" max="11018" width="6.5546875" style="2" customWidth="1"/>
    <col min="11019" max="11019" width="10.21875" style="2" customWidth="1"/>
    <col min="11020" max="11264" width="8.77734375" style="2"/>
    <col min="11265" max="11265" width="6" style="2" customWidth="1"/>
    <col min="11266" max="11269" width="8.77734375" style="2"/>
    <col min="11270" max="11270" width="17.21875" style="2" customWidth="1"/>
    <col min="11271" max="11271" width="2.77734375" style="2" customWidth="1"/>
    <col min="11272" max="11273" width="8.77734375" style="2"/>
    <col min="11274" max="11274" width="6.5546875" style="2" customWidth="1"/>
    <col min="11275" max="11275" width="10.21875" style="2" customWidth="1"/>
    <col min="11276" max="11520" width="8.77734375" style="2"/>
    <col min="11521" max="11521" width="6" style="2" customWidth="1"/>
    <col min="11522" max="11525" width="8.77734375" style="2"/>
    <col min="11526" max="11526" width="17.21875" style="2" customWidth="1"/>
    <col min="11527" max="11527" width="2.77734375" style="2" customWidth="1"/>
    <col min="11528" max="11529" width="8.77734375" style="2"/>
    <col min="11530" max="11530" width="6.5546875" style="2" customWidth="1"/>
    <col min="11531" max="11531" width="10.21875" style="2" customWidth="1"/>
    <col min="11532" max="11776" width="8.77734375" style="2"/>
    <col min="11777" max="11777" width="6" style="2" customWidth="1"/>
    <col min="11778" max="11781" width="8.77734375" style="2"/>
    <col min="11782" max="11782" width="17.21875" style="2" customWidth="1"/>
    <col min="11783" max="11783" width="2.77734375" style="2" customWidth="1"/>
    <col min="11784" max="11785" width="8.77734375" style="2"/>
    <col min="11786" max="11786" width="6.5546875" style="2" customWidth="1"/>
    <col min="11787" max="11787" width="10.21875" style="2" customWidth="1"/>
    <col min="11788" max="12032" width="8.77734375" style="2"/>
    <col min="12033" max="12033" width="6" style="2" customWidth="1"/>
    <col min="12034" max="12037" width="8.77734375" style="2"/>
    <col min="12038" max="12038" width="17.21875" style="2" customWidth="1"/>
    <col min="12039" max="12039" width="2.77734375" style="2" customWidth="1"/>
    <col min="12040" max="12041" width="8.77734375" style="2"/>
    <col min="12042" max="12042" width="6.5546875" style="2" customWidth="1"/>
    <col min="12043" max="12043" width="10.21875" style="2" customWidth="1"/>
    <col min="12044" max="12288" width="8.77734375" style="2"/>
    <col min="12289" max="12289" width="6" style="2" customWidth="1"/>
    <col min="12290" max="12293" width="8.77734375" style="2"/>
    <col min="12294" max="12294" width="17.21875" style="2" customWidth="1"/>
    <col min="12295" max="12295" width="2.77734375" style="2" customWidth="1"/>
    <col min="12296" max="12297" width="8.77734375" style="2"/>
    <col min="12298" max="12298" width="6.5546875" style="2" customWidth="1"/>
    <col min="12299" max="12299" width="10.21875" style="2" customWidth="1"/>
    <col min="12300" max="12544" width="8.77734375" style="2"/>
    <col min="12545" max="12545" width="6" style="2" customWidth="1"/>
    <col min="12546" max="12549" width="8.77734375" style="2"/>
    <col min="12550" max="12550" width="17.21875" style="2" customWidth="1"/>
    <col min="12551" max="12551" width="2.77734375" style="2" customWidth="1"/>
    <col min="12552" max="12553" width="8.77734375" style="2"/>
    <col min="12554" max="12554" width="6.5546875" style="2" customWidth="1"/>
    <col min="12555" max="12555" width="10.21875" style="2" customWidth="1"/>
    <col min="12556" max="12800" width="8.77734375" style="2"/>
    <col min="12801" max="12801" width="6" style="2" customWidth="1"/>
    <col min="12802" max="12805" width="8.77734375" style="2"/>
    <col min="12806" max="12806" width="17.21875" style="2" customWidth="1"/>
    <col min="12807" max="12807" width="2.77734375" style="2" customWidth="1"/>
    <col min="12808" max="12809" width="8.77734375" style="2"/>
    <col min="12810" max="12810" width="6.5546875" style="2" customWidth="1"/>
    <col min="12811" max="12811" width="10.21875" style="2" customWidth="1"/>
    <col min="12812" max="13056" width="8.77734375" style="2"/>
    <col min="13057" max="13057" width="6" style="2" customWidth="1"/>
    <col min="13058" max="13061" width="8.77734375" style="2"/>
    <col min="13062" max="13062" width="17.21875" style="2" customWidth="1"/>
    <col min="13063" max="13063" width="2.77734375" style="2" customWidth="1"/>
    <col min="13064" max="13065" width="8.77734375" style="2"/>
    <col min="13066" max="13066" width="6.5546875" style="2" customWidth="1"/>
    <col min="13067" max="13067" width="10.21875" style="2" customWidth="1"/>
    <col min="13068" max="13312" width="8.77734375" style="2"/>
    <col min="13313" max="13313" width="6" style="2" customWidth="1"/>
    <col min="13314" max="13317" width="8.77734375" style="2"/>
    <col min="13318" max="13318" width="17.21875" style="2" customWidth="1"/>
    <col min="13319" max="13319" width="2.77734375" style="2" customWidth="1"/>
    <col min="13320" max="13321" width="8.77734375" style="2"/>
    <col min="13322" max="13322" width="6.5546875" style="2" customWidth="1"/>
    <col min="13323" max="13323" width="10.21875" style="2" customWidth="1"/>
    <col min="13324" max="13568" width="8.77734375" style="2"/>
    <col min="13569" max="13569" width="6" style="2" customWidth="1"/>
    <col min="13570" max="13573" width="8.77734375" style="2"/>
    <col min="13574" max="13574" width="17.21875" style="2" customWidth="1"/>
    <col min="13575" max="13575" width="2.77734375" style="2" customWidth="1"/>
    <col min="13576" max="13577" width="8.77734375" style="2"/>
    <col min="13578" max="13578" width="6.5546875" style="2" customWidth="1"/>
    <col min="13579" max="13579" width="10.21875" style="2" customWidth="1"/>
    <col min="13580" max="13824" width="8.77734375" style="2"/>
    <col min="13825" max="13825" width="6" style="2" customWidth="1"/>
    <col min="13826" max="13829" width="8.77734375" style="2"/>
    <col min="13830" max="13830" width="17.21875" style="2" customWidth="1"/>
    <col min="13831" max="13831" width="2.77734375" style="2" customWidth="1"/>
    <col min="13832" max="13833" width="8.77734375" style="2"/>
    <col min="13834" max="13834" width="6.5546875" style="2" customWidth="1"/>
    <col min="13835" max="13835" width="10.21875" style="2" customWidth="1"/>
    <col min="13836" max="14080" width="8.77734375" style="2"/>
    <col min="14081" max="14081" width="6" style="2" customWidth="1"/>
    <col min="14082" max="14085" width="8.77734375" style="2"/>
    <col min="14086" max="14086" width="17.21875" style="2" customWidth="1"/>
    <col min="14087" max="14087" width="2.77734375" style="2" customWidth="1"/>
    <col min="14088" max="14089" width="8.77734375" style="2"/>
    <col min="14090" max="14090" width="6.5546875" style="2" customWidth="1"/>
    <col min="14091" max="14091" width="10.21875" style="2" customWidth="1"/>
    <col min="14092" max="14336" width="8.77734375" style="2"/>
    <col min="14337" max="14337" width="6" style="2" customWidth="1"/>
    <col min="14338" max="14341" width="8.77734375" style="2"/>
    <col min="14342" max="14342" width="17.21875" style="2" customWidth="1"/>
    <col min="14343" max="14343" width="2.77734375" style="2" customWidth="1"/>
    <col min="14344" max="14345" width="8.77734375" style="2"/>
    <col min="14346" max="14346" width="6.5546875" style="2" customWidth="1"/>
    <col min="14347" max="14347" width="10.21875" style="2" customWidth="1"/>
    <col min="14348" max="14592" width="8.77734375" style="2"/>
    <col min="14593" max="14593" width="6" style="2" customWidth="1"/>
    <col min="14594" max="14597" width="8.77734375" style="2"/>
    <col min="14598" max="14598" width="17.21875" style="2" customWidth="1"/>
    <col min="14599" max="14599" width="2.77734375" style="2" customWidth="1"/>
    <col min="14600" max="14601" width="8.77734375" style="2"/>
    <col min="14602" max="14602" width="6.5546875" style="2" customWidth="1"/>
    <col min="14603" max="14603" width="10.21875" style="2" customWidth="1"/>
    <col min="14604" max="14848" width="8.77734375" style="2"/>
    <col min="14849" max="14849" width="6" style="2" customWidth="1"/>
    <col min="14850" max="14853" width="8.77734375" style="2"/>
    <col min="14854" max="14854" width="17.21875" style="2" customWidth="1"/>
    <col min="14855" max="14855" width="2.77734375" style="2" customWidth="1"/>
    <col min="14856" max="14857" width="8.77734375" style="2"/>
    <col min="14858" max="14858" width="6.5546875" style="2" customWidth="1"/>
    <col min="14859" max="14859" width="10.21875" style="2" customWidth="1"/>
    <col min="14860" max="15104" width="8.77734375" style="2"/>
    <col min="15105" max="15105" width="6" style="2" customWidth="1"/>
    <col min="15106" max="15109" width="8.77734375" style="2"/>
    <col min="15110" max="15110" width="17.21875" style="2" customWidth="1"/>
    <col min="15111" max="15111" width="2.77734375" style="2" customWidth="1"/>
    <col min="15112" max="15113" width="8.77734375" style="2"/>
    <col min="15114" max="15114" width="6.5546875" style="2" customWidth="1"/>
    <col min="15115" max="15115" width="10.21875" style="2" customWidth="1"/>
    <col min="15116" max="15360" width="8.77734375" style="2"/>
    <col min="15361" max="15361" width="6" style="2" customWidth="1"/>
    <col min="15362" max="15365" width="8.77734375" style="2"/>
    <col min="15366" max="15366" width="17.21875" style="2" customWidth="1"/>
    <col min="15367" max="15367" width="2.77734375" style="2" customWidth="1"/>
    <col min="15368" max="15369" width="8.77734375" style="2"/>
    <col min="15370" max="15370" width="6.5546875" style="2" customWidth="1"/>
    <col min="15371" max="15371" width="10.21875" style="2" customWidth="1"/>
    <col min="15372" max="15616" width="8.77734375" style="2"/>
    <col min="15617" max="15617" width="6" style="2" customWidth="1"/>
    <col min="15618" max="15621" width="8.77734375" style="2"/>
    <col min="15622" max="15622" width="17.21875" style="2" customWidth="1"/>
    <col min="15623" max="15623" width="2.77734375" style="2" customWidth="1"/>
    <col min="15624" max="15625" width="8.77734375" style="2"/>
    <col min="15626" max="15626" width="6.5546875" style="2" customWidth="1"/>
    <col min="15627" max="15627" width="10.21875" style="2" customWidth="1"/>
    <col min="15628" max="15872" width="8.77734375" style="2"/>
    <col min="15873" max="15873" width="6" style="2" customWidth="1"/>
    <col min="15874" max="15877" width="8.77734375" style="2"/>
    <col min="15878" max="15878" width="17.21875" style="2" customWidth="1"/>
    <col min="15879" max="15879" width="2.77734375" style="2" customWidth="1"/>
    <col min="15880" max="15881" width="8.77734375" style="2"/>
    <col min="15882" max="15882" width="6.5546875" style="2" customWidth="1"/>
    <col min="15883" max="15883" width="10.21875" style="2" customWidth="1"/>
    <col min="15884" max="16128" width="8.77734375" style="2"/>
    <col min="16129" max="16129" width="6" style="2" customWidth="1"/>
    <col min="16130" max="16133" width="8.77734375" style="2"/>
    <col min="16134" max="16134" width="17.21875" style="2" customWidth="1"/>
    <col min="16135" max="16135" width="2.77734375" style="2" customWidth="1"/>
    <col min="16136" max="16137" width="8.77734375" style="2"/>
    <col min="16138" max="16138" width="6.5546875" style="2" customWidth="1"/>
    <col min="16139" max="16139" width="10.21875" style="2" customWidth="1"/>
    <col min="16140" max="16384" width="8.77734375" style="2"/>
  </cols>
  <sheetData>
    <row r="1" spans="1:11" ht="15.6">
      <c r="I1" s="31"/>
      <c r="K1" s="31" t="s">
        <v>49</v>
      </c>
    </row>
    <row r="3" spans="1:11" ht="15.6">
      <c r="A3" s="1220" t="s">
        <v>50</v>
      </c>
      <c r="B3" s="1220"/>
      <c r="C3" s="1220"/>
      <c r="D3" s="1220"/>
      <c r="E3" s="1220"/>
      <c r="F3" s="1220"/>
      <c r="G3" s="1220"/>
      <c r="H3" s="1220"/>
      <c r="I3" s="1220"/>
      <c r="J3" s="1227"/>
      <c r="K3" s="1227"/>
    </row>
    <row r="5" spans="1:11" ht="15.6">
      <c r="A5" s="1220" t="s">
        <v>51</v>
      </c>
      <c r="B5" s="1220"/>
      <c r="C5" s="1220"/>
      <c r="D5" s="1220"/>
      <c r="E5" s="1220"/>
      <c r="F5" s="1220"/>
      <c r="G5" s="1220"/>
      <c r="H5" s="1220"/>
      <c r="I5" s="1220"/>
      <c r="J5" s="1229"/>
      <c r="K5" s="1227"/>
    </row>
    <row r="6" spans="1:11">
      <c r="K6" s="2" t="s">
        <v>52</v>
      </c>
    </row>
    <row r="7" spans="1:11">
      <c r="K7" s="2" t="s">
        <v>53</v>
      </c>
    </row>
    <row r="8" spans="1:11" ht="15.6">
      <c r="A8" s="48" t="s">
        <v>54</v>
      </c>
    </row>
    <row r="9" spans="1:11" ht="8.25" customHeight="1">
      <c r="A9" s="48"/>
    </row>
    <row r="10" spans="1:11" ht="15">
      <c r="A10" s="45" t="s">
        <v>55</v>
      </c>
      <c r="B10" s="46" t="s">
        <v>56</v>
      </c>
      <c r="C10" s="46"/>
      <c r="D10" s="46"/>
      <c r="E10" s="46"/>
      <c r="F10" s="46"/>
      <c r="G10" s="45" t="s">
        <v>29</v>
      </c>
      <c r="H10" s="1228">
        <f>IF('Input (8)'!C4+'Input (8)'!C7=0,0,SUM('Input (8)'!C4+'Input (8)'!C7))</f>
        <v>100</v>
      </c>
      <c r="I10" s="1228"/>
      <c r="J10" s="46"/>
      <c r="K10" s="53">
        <f>IF(H10=0,0,(H10/($H$10+$H$13)))</f>
        <v>0.5714285714285714</v>
      </c>
    </row>
    <row r="11" spans="1:11" ht="7.5" customHeight="1">
      <c r="H11" s="54"/>
      <c r="I11" s="54"/>
    </row>
    <row r="12" spans="1:11" s="46" customFormat="1" ht="15">
      <c r="A12" s="45" t="s">
        <v>57</v>
      </c>
      <c r="B12" s="46" t="s">
        <v>58</v>
      </c>
      <c r="G12" s="45"/>
      <c r="H12" s="55"/>
      <c r="I12" s="55"/>
    </row>
    <row r="13" spans="1:11" ht="15">
      <c r="B13" s="28" t="s">
        <v>59</v>
      </c>
      <c r="G13" s="30" t="s">
        <v>29</v>
      </c>
      <c r="H13" s="1228">
        <f>IF('Input (8)'!C8=0,0,SUM('Input (8)'!C8))</f>
        <v>75</v>
      </c>
      <c r="I13" s="1228"/>
      <c r="K13" s="53">
        <f>IF(H13=0,0,(H13/($H$10+$H$13)))</f>
        <v>0.42857142857142855</v>
      </c>
    </row>
    <row r="14" spans="1:11" ht="6.75" customHeight="1">
      <c r="H14" s="54"/>
      <c r="I14" s="54"/>
    </row>
    <row r="15" spans="1:11" s="46" customFormat="1" ht="15">
      <c r="A15" s="45" t="s">
        <v>60</v>
      </c>
      <c r="B15" s="46" t="s">
        <v>61</v>
      </c>
      <c r="G15" s="45"/>
      <c r="H15" s="55"/>
      <c r="I15" s="55"/>
    </row>
    <row r="16" spans="1:11" s="46" customFormat="1" ht="15">
      <c r="A16" s="45"/>
      <c r="B16" s="46" t="s">
        <v>62</v>
      </c>
      <c r="G16" s="45" t="s">
        <v>29</v>
      </c>
      <c r="H16" s="1230">
        <f>IF('Input (8)'!C22=0,0,SUM('Input (8)'!C22))</f>
        <v>0</v>
      </c>
      <c r="I16" s="1230"/>
    </row>
    <row r="17" spans="1:9" ht="6.75" customHeight="1">
      <c r="H17" s="54"/>
      <c r="I17" s="54"/>
    </row>
    <row r="18" spans="1:9" s="46" customFormat="1" ht="15">
      <c r="A18" s="45" t="s">
        <v>63</v>
      </c>
      <c r="B18" s="46" t="s">
        <v>64</v>
      </c>
      <c r="G18" s="45" t="s">
        <v>29</v>
      </c>
      <c r="H18" s="1228">
        <f>H10+H13-H16</f>
        <v>175</v>
      </c>
      <c r="I18" s="1228"/>
    </row>
    <row r="19" spans="1:9" ht="6.75" customHeight="1">
      <c r="H19" s="43"/>
      <c r="I19" s="43"/>
    </row>
    <row r="20" spans="1:9" s="46" customFormat="1" ht="15">
      <c r="A20" s="45" t="s">
        <v>65</v>
      </c>
      <c r="B20" s="46" t="s">
        <v>66</v>
      </c>
      <c r="G20" s="45" t="s">
        <v>29</v>
      </c>
      <c r="H20" s="1228">
        <f>H18*0.06</f>
        <v>10.5</v>
      </c>
      <c r="I20" s="1228"/>
    </row>
    <row r="21" spans="1:9" ht="6.75" customHeight="1">
      <c r="H21" s="43"/>
      <c r="I21" s="43"/>
    </row>
    <row r="22" spans="1:9" s="46" customFormat="1" ht="15">
      <c r="A22" s="45" t="s">
        <v>67</v>
      </c>
      <c r="B22" s="46" t="s">
        <v>68</v>
      </c>
      <c r="G22" s="45" t="s">
        <v>29</v>
      </c>
      <c r="H22" s="1228">
        <f>H16+H20</f>
        <v>10.5</v>
      </c>
      <c r="I22" s="1228"/>
    </row>
    <row r="23" spans="1:9" s="46" customFormat="1" ht="15">
      <c r="A23" s="45"/>
      <c r="B23" s="46" t="s">
        <v>69</v>
      </c>
      <c r="G23" s="45"/>
      <c r="H23" s="55"/>
      <c r="I23" s="55"/>
    </row>
    <row r="24" spans="1:9" s="46" customFormat="1" ht="15">
      <c r="A24" s="45"/>
      <c r="G24" s="45"/>
      <c r="H24" s="55"/>
      <c r="I24" s="55"/>
    </row>
    <row r="25" spans="1:9" s="46" customFormat="1" ht="15">
      <c r="A25" s="45" t="s">
        <v>70</v>
      </c>
      <c r="B25" s="56">
        <f>K10</f>
        <v>0.5714285714285714</v>
      </c>
      <c r="C25" s="44" t="s">
        <v>71</v>
      </c>
      <c r="D25" s="57">
        <f>H22</f>
        <v>10.5</v>
      </c>
      <c r="E25" s="46" t="s">
        <v>72</v>
      </c>
      <c r="G25" s="45" t="s">
        <v>29</v>
      </c>
      <c r="H25" s="1228">
        <f>ROUND(SUM(B25*D25),2)</f>
        <v>6</v>
      </c>
      <c r="I25" s="1228"/>
    </row>
    <row r="26" spans="1:9" s="46" customFormat="1" ht="15">
      <c r="A26" s="45" t="s">
        <v>73</v>
      </c>
      <c r="B26" s="56">
        <f>K13</f>
        <v>0.42857142857142855</v>
      </c>
      <c r="C26" s="44" t="s">
        <v>71</v>
      </c>
      <c r="D26" s="57">
        <f>H22</f>
        <v>10.5</v>
      </c>
      <c r="E26" s="46" t="s">
        <v>74</v>
      </c>
      <c r="G26" s="45" t="s">
        <v>29</v>
      </c>
      <c r="H26" s="1231">
        <f>ROUND(SUM(H22-H25),2)</f>
        <v>4.5</v>
      </c>
      <c r="I26" s="1231"/>
    </row>
    <row r="27" spans="1:9" s="46" customFormat="1" ht="15">
      <c r="A27" s="45"/>
      <c r="G27" s="45"/>
      <c r="H27" s="55"/>
      <c r="I27" s="55"/>
    </row>
    <row r="28" spans="1:9" ht="15.6">
      <c r="A28" s="48" t="s">
        <v>75</v>
      </c>
      <c r="H28" s="54"/>
      <c r="I28" s="54"/>
    </row>
    <row r="29" spans="1:9" ht="6.75" customHeight="1">
      <c r="H29" s="54"/>
      <c r="I29" s="54"/>
    </row>
    <row r="30" spans="1:9" s="46" customFormat="1" ht="15">
      <c r="A30" s="45" t="s">
        <v>76</v>
      </c>
      <c r="B30" s="46" t="s">
        <v>77</v>
      </c>
      <c r="G30" s="45"/>
      <c r="H30" s="55"/>
      <c r="I30" s="55"/>
    </row>
    <row r="31" spans="1:9" s="46" customFormat="1" ht="15">
      <c r="A31" s="45"/>
      <c r="B31" s="46" t="s">
        <v>78</v>
      </c>
      <c r="G31" s="45" t="s">
        <v>29</v>
      </c>
      <c r="H31" s="1228">
        <f>IF('Input (8)'!$C$10=0,0,'Input (8)'!C10)</f>
        <v>150</v>
      </c>
      <c r="I31" s="1228"/>
    </row>
    <row r="32" spans="1:9" s="46" customFormat="1" ht="15">
      <c r="A32" s="45"/>
      <c r="B32" s="28" t="s">
        <v>79</v>
      </c>
      <c r="G32" s="45"/>
      <c r="H32" s="55"/>
      <c r="I32" s="55"/>
    </row>
    <row r="33" spans="1:9" s="46" customFormat="1" ht="15">
      <c r="A33" s="45"/>
      <c r="B33" s="28" t="s">
        <v>80</v>
      </c>
      <c r="G33" s="45"/>
      <c r="H33" s="55"/>
      <c r="I33" s="55"/>
    </row>
    <row r="34" spans="1:9" ht="6.75" customHeight="1">
      <c r="H34" s="54"/>
      <c r="I34" s="54"/>
    </row>
    <row r="35" spans="1:9" s="46" customFormat="1" ht="15">
      <c r="A35" s="45" t="s">
        <v>81</v>
      </c>
      <c r="B35" s="46" t="s">
        <v>82</v>
      </c>
      <c r="G35" s="45"/>
      <c r="H35" s="55"/>
      <c r="I35" s="55"/>
    </row>
    <row r="36" spans="1:9" s="46" customFormat="1" ht="15">
      <c r="A36" s="45"/>
      <c r="B36" s="46" t="s">
        <v>83</v>
      </c>
      <c r="G36" s="45"/>
      <c r="H36" s="55"/>
      <c r="I36" s="55"/>
    </row>
    <row r="37" spans="1:9" s="46" customFormat="1" ht="15">
      <c r="A37" s="45"/>
      <c r="B37" s="28" t="s">
        <v>84</v>
      </c>
      <c r="G37" s="45" t="s">
        <v>29</v>
      </c>
      <c r="H37" s="1228">
        <f>IF('Input (8)'!C23=0,0,SUM('Input (8)'!C23))</f>
        <v>0</v>
      </c>
      <c r="I37" s="1228"/>
    </row>
    <row r="38" spans="1:9" ht="6.75" customHeight="1">
      <c r="H38" s="43"/>
      <c r="I38" s="43"/>
    </row>
    <row r="39" spans="1:9" s="46" customFormat="1" ht="15">
      <c r="A39" s="45" t="s">
        <v>85</v>
      </c>
      <c r="B39" s="46" t="s">
        <v>86</v>
      </c>
      <c r="G39" s="45" t="s">
        <v>29</v>
      </c>
      <c r="H39" s="1228">
        <f>IF('Input (8)'!$C$10=0,0,SUM(H31-H37))</f>
        <v>150</v>
      </c>
      <c r="I39" s="1228"/>
    </row>
    <row r="40" spans="1:9" ht="6.75" customHeight="1">
      <c r="H40" s="43"/>
      <c r="I40" s="43"/>
    </row>
    <row r="41" spans="1:9" s="46" customFormat="1" ht="15">
      <c r="A41" s="45" t="s">
        <v>87</v>
      </c>
      <c r="B41" s="46" t="s">
        <v>88</v>
      </c>
      <c r="G41" s="45" t="s">
        <v>29</v>
      </c>
      <c r="H41" s="1228">
        <f>IF('Input (8)'!$C$10=0,0,H39*0.055)</f>
        <v>8.25</v>
      </c>
      <c r="I41" s="1228"/>
    </row>
    <row r="42" spans="1:9" ht="6.75" customHeight="1">
      <c r="H42" s="43"/>
      <c r="I42" s="43"/>
    </row>
    <row r="43" spans="1:9" s="46" customFormat="1" ht="15">
      <c r="A43" s="45" t="s">
        <v>89</v>
      </c>
      <c r="B43" s="46" t="s">
        <v>90</v>
      </c>
      <c r="G43" s="45" t="s">
        <v>29</v>
      </c>
      <c r="H43" s="1228">
        <f>ROUND(IF('Input (8)'!$C$10=0,0,SUM(H37+H41)),2)</f>
        <v>8.25</v>
      </c>
      <c r="I43" s="1228"/>
    </row>
    <row r="44" spans="1:9" s="46" customFormat="1" ht="15">
      <c r="A44" s="45"/>
      <c r="B44" s="46" t="s">
        <v>91</v>
      </c>
      <c r="G44" s="45"/>
    </row>
    <row r="46" spans="1:9" ht="15.6">
      <c r="A46" s="48" t="s">
        <v>92</v>
      </c>
    </row>
    <row r="47" spans="1:9" ht="6.75" customHeight="1"/>
    <row r="48" spans="1:9" s="46" customFormat="1" ht="15">
      <c r="A48" s="45" t="s">
        <v>93</v>
      </c>
      <c r="B48" s="46" t="s">
        <v>94</v>
      </c>
      <c r="G48" s="45"/>
    </row>
    <row r="49" spans="1:9" s="46" customFormat="1" ht="15">
      <c r="A49" s="45"/>
      <c r="B49" s="46" t="s">
        <v>95</v>
      </c>
      <c r="G49" s="45"/>
    </row>
    <row r="50" spans="1:9" s="46" customFormat="1" ht="15">
      <c r="A50" s="45"/>
      <c r="B50" s="46" t="s">
        <v>96</v>
      </c>
      <c r="G50" s="45"/>
    </row>
    <row r="51" spans="1:9" s="46" customFormat="1" ht="15">
      <c r="A51" s="45"/>
      <c r="B51" s="46" t="s">
        <v>97</v>
      </c>
      <c r="G51" s="45"/>
    </row>
    <row r="52" spans="1:9" s="46" customFormat="1" ht="15">
      <c r="A52" s="45"/>
      <c r="B52" s="46" t="s">
        <v>98</v>
      </c>
      <c r="G52" s="45"/>
    </row>
    <row r="53" spans="1:9" s="46" customFormat="1" ht="15">
      <c r="A53" s="45"/>
      <c r="B53" s="46" t="s">
        <v>99</v>
      </c>
      <c r="G53" s="45"/>
    </row>
    <row r="54" spans="1:9" ht="6.75" customHeight="1"/>
    <row r="55" spans="1:9" s="46" customFormat="1" ht="15">
      <c r="A55" s="45"/>
      <c r="B55" s="46" t="s">
        <v>100</v>
      </c>
      <c r="G55" s="45" t="s">
        <v>29</v>
      </c>
      <c r="H55" s="1230">
        <f>IF('Input (8)'!$E$18+'Input (8)'!$E$19=0,0,SUM(('Input (8)'!E18*'Input (8)'!E19)/16))</f>
        <v>0</v>
      </c>
      <c r="I55" s="1230"/>
    </row>
    <row r="56" spans="1:9" s="46" customFormat="1" ht="15">
      <c r="A56" s="45"/>
      <c r="B56" s="46" t="s">
        <v>101</v>
      </c>
      <c r="G56" s="45"/>
    </row>
    <row r="57" spans="1:9" s="46" customFormat="1" ht="15">
      <c r="A57" s="45"/>
      <c r="B57" s="46" t="s">
        <v>102</v>
      </c>
      <c r="G57" s="45"/>
    </row>
  </sheetData>
  <sheetProtection password="CDD6" sheet="1" objects="1" scenarios="1"/>
  <mergeCells count="16">
    <mergeCell ref="H39:I39"/>
    <mergeCell ref="H41:I41"/>
    <mergeCell ref="H43:I43"/>
    <mergeCell ref="H55:I55"/>
    <mergeCell ref="H20:I20"/>
    <mergeCell ref="H22:I22"/>
    <mergeCell ref="H25:I25"/>
    <mergeCell ref="H26:I26"/>
    <mergeCell ref="H31:I31"/>
    <mergeCell ref="H37:I37"/>
    <mergeCell ref="H18:I18"/>
    <mergeCell ref="A3:K3"/>
    <mergeCell ref="A5:K5"/>
    <mergeCell ref="H10:I10"/>
    <mergeCell ref="H13:I13"/>
    <mergeCell ref="H16:I16"/>
  </mergeCells>
  <pageMargins left="0.5" right="0.5" top="0.63" bottom="1" header="0.33" footer="0.5"/>
  <pageSetup scale="93" orientation="portrait" r:id="rId1"/>
  <headerFooter alignWithMargins="0">
    <oddFooter>&amp;L&amp;F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dimension ref="A1:Q37"/>
  <sheetViews>
    <sheetView showGridLines="0" zoomScale="90" zoomScaleNormal="100" workbookViewId="0">
      <selection activeCell="F7" sqref="F7"/>
    </sheetView>
  </sheetViews>
  <sheetFormatPr defaultRowHeight="13.2"/>
  <cols>
    <col min="1" max="1" width="4.21875" style="30" customWidth="1"/>
    <col min="2" max="2" width="2.5546875" style="2" customWidth="1"/>
    <col min="3" max="4" width="8.77734375" style="2"/>
    <col min="5" max="5" width="5.77734375" style="2" customWidth="1"/>
    <col min="6" max="6" width="8.77734375" style="2" customWidth="1"/>
    <col min="7" max="7" width="3.21875" style="2" customWidth="1"/>
    <col min="8" max="8" width="10.21875" style="2" customWidth="1"/>
    <col min="9" max="9" width="3.77734375" style="2" customWidth="1"/>
    <col min="10" max="10" width="8.21875" style="2" customWidth="1"/>
    <col min="11" max="11" width="6.21875" style="2" customWidth="1"/>
    <col min="12" max="12" width="5.5546875" style="2" customWidth="1"/>
    <col min="13" max="13" width="10.77734375" style="2" customWidth="1"/>
    <col min="14" max="14" width="8.21875" style="2" customWidth="1"/>
    <col min="15" max="15" width="12.21875" style="2" customWidth="1"/>
    <col min="16" max="16" width="10.21875" style="2" customWidth="1"/>
    <col min="17" max="17" width="9.21875" style="32" customWidth="1"/>
    <col min="18" max="256" width="8.77734375" style="2"/>
    <col min="257" max="257" width="4.21875" style="2" customWidth="1"/>
    <col min="258" max="258" width="2.5546875" style="2" customWidth="1"/>
    <col min="259" max="260" width="8.77734375" style="2"/>
    <col min="261" max="261" width="5.77734375" style="2" customWidth="1"/>
    <col min="262" max="262" width="8.77734375" style="2" customWidth="1"/>
    <col min="263" max="263" width="3.21875" style="2" customWidth="1"/>
    <col min="264" max="264" width="10.21875" style="2" customWidth="1"/>
    <col min="265" max="265" width="3.77734375" style="2" customWidth="1"/>
    <col min="266" max="266" width="8.21875" style="2" customWidth="1"/>
    <col min="267" max="267" width="6.21875" style="2" customWidth="1"/>
    <col min="268" max="268" width="5.5546875" style="2" customWidth="1"/>
    <col min="269" max="269" width="10.77734375" style="2" customWidth="1"/>
    <col min="270" max="270" width="8.21875" style="2" customWidth="1"/>
    <col min="271" max="271" width="12.21875" style="2" customWidth="1"/>
    <col min="272" max="272" width="10.21875" style="2" customWidth="1"/>
    <col min="273" max="273" width="9.21875" style="2" customWidth="1"/>
    <col min="274" max="512" width="8.77734375" style="2"/>
    <col min="513" max="513" width="4.21875" style="2" customWidth="1"/>
    <col min="514" max="514" width="2.5546875" style="2" customWidth="1"/>
    <col min="515" max="516" width="8.77734375" style="2"/>
    <col min="517" max="517" width="5.77734375" style="2" customWidth="1"/>
    <col min="518" max="518" width="8.77734375" style="2" customWidth="1"/>
    <col min="519" max="519" width="3.21875" style="2" customWidth="1"/>
    <col min="520" max="520" width="10.21875" style="2" customWidth="1"/>
    <col min="521" max="521" width="3.77734375" style="2" customWidth="1"/>
    <col min="522" max="522" width="8.21875" style="2" customWidth="1"/>
    <col min="523" max="523" width="6.21875" style="2" customWidth="1"/>
    <col min="524" max="524" width="5.5546875" style="2" customWidth="1"/>
    <col min="525" max="525" width="10.77734375" style="2" customWidth="1"/>
    <col min="526" max="526" width="8.21875" style="2" customWidth="1"/>
    <col min="527" max="527" width="12.21875" style="2" customWidth="1"/>
    <col min="528" max="528" width="10.21875" style="2" customWidth="1"/>
    <col min="529" max="529" width="9.21875" style="2" customWidth="1"/>
    <col min="530" max="768" width="8.77734375" style="2"/>
    <col min="769" max="769" width="4.21875" style="2" customWidth="1"/>
    <col min="770" max="770" width="2.5546875" style="2" customWidth="1"/>
    <col min="771" max="772" width="8.77734375" style="2"/>
    <col min="773" max="773" width="5.77734375" style="2" customWidth="1"/>
    <col min="774" max="774" width="8.77734375" style="2" customWidth="1"/>
    <col min="775" max="775" width="3.21875" style="2" customWidth="1"/>
    <col min="776" max="776" width="10.21875" style="2" customWidth="1"/>
    <col min="777" max="777" width="3.77734375" style="2" customWidth="1"/>
    <col min="778" max="778" width="8.21875" style="2" customWidth="1"/>
    <col min="779" max="779" width="6.21875" style="2" customWidth="1"/>
    <col min="780" max="780" width="5.5546875" style="2" customWidth="1"/>
    <col min="781" max="781" width="10.77734375" style="2" customWidth="1"/>
    <col min="782" max="782" width="8.21875" style="2" customWidth="1"/>
    <col min="783" max="783" width="12.21875" style="2" customWidth="1"/>
    <col min="784" max="784" width="10.21875" style="2" customWidth="1"/>
    <col min="785" max="785" width="9.21875" style="2" customWidth="1"/>
    <col min="786" max="1024" width="8.77734375" style="2"/>
    <col min="1025" max="1025" width="4.21875" style="2" customWidth="1"/>
    <col min="1026" max="1026" width="2.5546875" style="2" customWidth="1"/>
    <col min="1027" max="1028" width="8.77734375" style="2"/>
    <col min="1029" max="1029" width="5.77734375" style="2" customWidth="1"/>
    <col min="1030" max="1030" width="8.77734375" style="2" customWidth="1"/>
    <col min="1031" max="1031" width="3.21875" style="2" customWidth="1"/>
    <col min="1032" max="1032" width="10.21875" style="2" customWidth="1"/>
    <col min="1033" max="1033" width="3.77734375" style="2" customWidth="1"/>
    <col min="1034" max="1034" width="8.21875" style="2" customWidth="1"/>
    <col min="1035" max="1035" width="6.21875" style="2" customWidth="1"/>
    <col min="1036" max="1036" width="5.5546875" style="2" customWidth="1"/>
    <col min="1037" max="1037" width="10.77734375" style="2" customWidth="1"/>
    <col min="1038" max="1038" width="8.21875" style="2" customWidth="1"/>
    <col min="1039" max="1039" width="12.21875" style="2" customWidth="1"/>
    <col min="1040" max="1040" width="10.21875" style="2" customWidth="1"/>
    <col min="1041" max="1041" width="9.21875" style="2" customWidth="1"/>
    <col min="1042" max="1280" width="8.77734375" style="2"/>
    <col min="1281" max="1281" width="4.21875" style="2" customWidth="1"/>
    <col min="1282" max="1282" width="2.5546875" style="2" customWidth="1"/>
    <col min="1283" max="1284" width="8.77734375" style="2"/>
    <col min="1285" max="1285" width="5.77734375" style="2" customWidth="1"/>
    <col min="1286" max="1286" width="8.77734375" style="2" customWidth="1"/>
    <col min="1287" max="1287" width="3.21875" style="2" customWidth="1"/>
    <col min="1288" max="1288" width="10.21875" style="2" customWidth="1"/>
    <col min="1289" max="1289" width="3.77734375" style="2" customWidth="1"/>
    <col min="1290" max="1290" width="8.21875" style="2" customWidth="1"/>
    <col min="1291" max="1291" width="6.21875" style="2" customWidth="1"/>
    <col min="1292" max="1292" width="5.5546875" style="2" customWidth="1"/>
    <col min="1293" max="1293" width="10.77734375" style="2" customWidth="1"/>
    <col min="1294" max="1294" width="8.21875" style="2" customWidth="1"/>
    <col min="1295" max="1295" width="12.21875" style="2" customWidth="1"/>
    <col min="1296" max="1296" width="10.21875" style="2" customWidth="1"/>
    <col min="1297" max="1297" width="9.21875" style="2" customWidth="1"/>
    <col min="1298" max="1536" width="8.77734375" style="2"/>
    <col min="1537" max="1537" width="4.21875" style="2" customWidth="1"/>
    <col min="1538" max="1538" width="2.5546875" style="2" customWidth="1"/>
    <col min="1539" max="1540" width="8.77734375" style="2"/>
    <col min="1541" max="1541" width="5.77734375" style="2" customWidth="1"/>
    <col min="1542" max="1542" width="8.77734375" style="2" customWidth="1"/>
    <col min="1543" max="1543" width="3.21875" style="2" customWidth="1"/>
    <col min="1544" max="1544" width="10.21875" style="2" customWidth="1"/>
    <col min="1545" max="1545" width="3.77734375" style="2" customWidth="1"/>
    <col min="1546" max="1546" width="8.21875" style="2" customWidth="1"/>
    <col min="1547" max="1547" width="6.21875" style="2" customWidth="1"/>
    <col min="1548" max="1548" width="5.5546875" style="2" customWidth="1"/>
    <col min="1549" max="1549" width="10.77734375" style="2" customWidth="1"/>
    <col min="1550" max="1550" width="8.21875" style="2" customWidth="1"/>
    <col min="1551" max="1551" width="12.21875" style="2" customWidth="1"/>
    <col min="1552" max="1552" width="10.21875" style="2" customWidth="1"/>
    <col min="1553" max="1553" width="9.21875" style="2" customWidth="1"/>
    <col min="1554" max="1792" width="8.77734375" style="2"/>
    <col min="1793" max="1793" width="4.21875" style="2" customWidth="1"/>
    <col min="1794" max="1794" width="2.5546875" style="2" customWidth="1"/>
    <col min="1795" max="1796" width="8.77734375" style="2"/>
    <col min="1797" max="1797" width="5.77734375" style="2" customWidth="1"/>
    <col min="1798" max="1798" width="8.77734375" style="2" customWidth="1"/>
    <col min="1799" max="1799" width="3.21875" style="2" customWidth="1"/>
    <col min="1800" max="1800" width="10.21875" style="2" customWidth="1"/>
    <col min="1801" max="1801" width="3.77734375" style="2" customWidth="1"/>
    <col min="1802" max="1802" width="8.21875" style="2" customWidth="1"/>
    <col min="1803" max="1803" width="6.21875" style="2" customWidth="1"/>
    <col min="1804" max="1804" width="5.5546875" style="2" customWidth="1"/>
    <col min="1805" max="1805" width="10.77734375" style="2" customWidth="1"/>
    <col min="1806" max="1806" width="8.21875" style="2" customWidth="1"/>
    <col min="1807" max="1807" width="12.21875" style="2" customWidth="1"/>
    <col min="1808" max="1808" width="10.21875" style="2" customWidth="1"/>
    <col min="1809" max="1809" width="9.21875" style="2" customWidth="1"/>
    <col min="1810" max="2048" width="8.77734375" style="2"/>
    <col min="2049" max="2049" width="4.21875" style="2" customWidth="1"/>
    <col min="2050" max="2050" width="2.5546875" style="2" customWidth="1"/>
    <col min="2051" max="2052" width="8.77734375" style="2"/>
    <col min="2053" max="2053" width="5.77734375" style="2" customWidth="1"/>
    <col min="2054" max="2054" width="8.77734375" style="2" customWidth="1"/>
    <col min="2055" max="2055" width="3.21875" style="2" customWidth="1"/>
    <col min="2056" max="2056" width="10.21875" style="2" customWidth="1"/>
    <col min="2057" max="2057" width="3.77734375" style="2" customWidth="1"/>
    <col min="2058" max="2058" width="8.21875" style="2" customWidth="1"/>
    <col min="2059" max="2059" width="6.21875" style="2" customWidth="1"/>
    <col min="2060" max="2060" width="5.5546875" style="2" customWidth="1"/>
    <col min="2061" max="2061" width="10.77734375" style="2" customWidth="1"/>
    <col min="2062" max="2062" width="8.21875" style="2" customWidth="1"/>
    <col min="2063" max="2063" width="12.21875" style="2" customWidth="1"/>
    <col min="2064" max="2064" width="10.21875" style="2" customWidth="1"/>
    <col min="2065" max="2065" width="9.21875" style="2" customWidth="1"/>
    <col min="2066" max="2304" width="8.77734375" style="2"/>
    <col min="2305" max="2305" width="4.21875" style="2" customWidth="1"/>
    <col min="2306" max="2306" width="2.5546875" style="2" customWidth="1"/>
    <col min="2307" max="2308" width="8.77734375" style="2"/>
    <col min="2309" max="2309" width="5.77734375" style="2" customWidth="1"/>
    <col min="2310" max="2310" width="8.77734375" style="2" customWidth="1"/>
    <col min="2311" max="2311" width="3.21875" style="2" customWidth="1"/>
    <col min="2312" max="2312" width="10.21875" style="2" customWidth="1"/>
    <col min="2313" max="2313" width="3.77734375" style="2" customWidth="1"/>
    <col min="2314" max="2314" width="8.21875" style="2" customWidth="1"/>
    <col min="2315" max="2315" width="6.21875" style="2" customWidth="1"/>
    <col min="2316" max="2316" width="5.5546875" style="2" customWidth="1"/>
    <col min="2317" max="2317" width="10.77734375" style="2" customWidth="1"/>
    <col min="2318" max="2318" width="8.21875" style="2" customWidth="1"/>
    <col min="2319" max="2319" width="12.21875" style="2" customWidth="1"/>
    <col min="2320" max="2320" width="10.21875" style="2" customWidth="1"/>
    <col min="2321" max="2321" width="9.21875" style="2" customWidth="1"/>
    <col min="2322" max="2560" width="8.77734375" style="2"/>
    <col min="2561" max="2561" width="4.21875" style="2" customWidth="1"/>
    <col min="2562" max="2562" width="2.5546875" style="2" customWidth="1"/>
    <col min="2563" max="2564" width="8.77734375" style="2"/>
    <col min="2565" max="2565" width="5.77734375" style="2" customWidth="1"/>
    <col min="2566" max="2566" width="8.77734375" style="2" customWidth="1"/>
    <col min="2567" max="2567" width="3.21875" style="2" customWidth="1"/>
    <col min="2568" max="2568" width="10.21875" style="2" customWidth="1"/>
    <col min="2569" max="2569" width="3.77734375" style="2" customWidth="1"/>
    <col min="2570" max="2570" width="8.21875" style="2" customWidth="1"/>
    <col min="2571" max="2571" width="6.21875" style="2" customWidth="1"/>
    <col min="2572" max="2572" width="5.5546875" style="2" customWidth="1"/>
    <col min="2573" max="2573" width="10.77734375" style="2" customWidth="1"/>
    <col min="2574" max="2574" width="8.21875" style="2" customWidth="1"/>
    <col min="2575" max="2575" width="12.21875" style="2" customWidth="1"/>
    <col min="2576" max="2576" width="10.21875" style="2" customWidth="1"/>
    <col min="2577" max="2577" width="9.21875" style="2" customWidth="1"/>
    <col min="2578" max="2816" width="8.77734375" style="2"/>
    <col min="2817" max="2817" width="4.21875" style="2" customWidth="1"/>
    <col min="2818" max="2818" width="2.5546875" style="2" customWidth="1"/>
    <col min="2819" max="2820" width="8.77734375" style="2"/>
    <col min="2821" max="2821" width="5.77734375" style="2" customWidth="1"/>
    <col min="2822" max="2822" width="8.77734375" style="2" customWidth="1"/>
    <col min="2823" max="2823" width="3.21875" style="2" customWidth="1"/>
    <col min="2824" max="2824" width="10.21875" style="2" customWidth="1"/>
    <col min="2825" max="2825" width="3.77734375" style="2" customWidth="1"/>
    <col min="2826" max="2826" width="8.21875" style="2" customWidth="1"/>
    <col min="2827" max="2827" width="6.21875" style="2" customWidth="1"/>
    <col min="2828" max="2828" width="5.5546875" style="2" customWidth="1"/>
    <col min="2829" max="2829" width="10.77734375" style="2" customWidth="1"/>
    <col min="2830" max="2830" width="8.21875" style="2" customWidth="1"/>
    <col min="2831" max="2831" width="12.21875" style="2" customWidth="1"/>
    <col min="2832" max="2832" width="10.21875" style="2" customWidth="1"/>
    <col min="2833" max="2833" width="9.21875" style="2" customWidth="1"/>
    <col min="2834" max="3072" width="8.77734375" style="2"/>
    <col min="3073" max="3073" width="4.21875" style="2" customWidth="1"/>
    <col min="3074" max="3074" width="2.5546875" style="2" customWidth="1"/>
    <col min="3075" max="3076" width="8.77734375" style="2"/>
    <col min="3077" max="3077" width="5.77734375" style="2" customWidth="1"/>
    <col min="3078" max="3078" width="8.77734375" style="2" customWidth="1"/>
    <col min="3079" max="3079" width="3.21875" style="2" customWidth="1"/>
    <col min="3080" max="3080" width="10.21875" style="2" customWidth="1"/>
    <col min="3081" max="3081" width="3.77734375" style="2" customWidth="1"/>
    <col min="3082" max="3082" width="8.21875" style="2" customWidth="1"/>
    <col min="3083" max="3083" width="6.21875" style="2" customWidth="1"/>
    <col min="3084" max="3084" width="5.5546875" style="2" customWidth="1"/>
    <col min="3085" max="3085" width="10.77734375" style="2" customWidth="1"/>
    <col min="3086" max="3086" width="8.21875" style="2" customWidth="1"/>
    <col min="3087" max="3087" width="12.21875" style="2" customWidth="1"/>
    <col min="3088" max="3088" width="10.21875" style="2" customWidth="1"/>
    <col min="3089" max="3089" width="9.21875" style="2" customWidth="1"/>
    <col min="3090" max="3328" width="8.77734375" style="2"/>
    <col min="3329" max="3329" width="4.21875" style="2" customWidth="1"/>
    <col min="3330" max="3330" width="2.5546875" style="2" customWidth="1"/>
    <col min="3331" max="3332" width="8.77734375" style="2"/>
    <col min="3333" max="3333" width="5.77734375" style="2" customWidth="1"/>
    <col min="3334" max="3334" width="8.77734375" style="2" customWidth="1"/>
    <col min="3335" max="3335" width="3.21875" style="2" customWidth="1"/>
    <col min="3336" max="3336" width="10.21875" style="2" customWidth="1"/>
    <col min="3337" max="3337" width="3.77734375" style="2" customWidth="1"/>
    <col min="3338" max="3338" width="8.21875" style="2" customWidth="1"/>
    <col min="3339" max="3339" width="6.21875" style="2" customWidth="1"/>
    <col min="3340" max="3340" width="5.5546875" style="2" customWidth="1"/>
    <col min="3341" max="3341" width="10.77734375" style="2" customWidth="1"/>
    <col min="3342" max="3342" width="8.21875" style="2" customWidth="1"/>
    <col min="3343" max="3343" width="12.21875" style="2" customWidth="1"/>
    <col min="3344" max="3344" width="10.21875" style="2" customWidth="1"/>
    <col min="3345" max="3345" width="9.21875" style="2" customWidth="1"/>
    <col min="3346" max="3584" width="8.77734375" style="2"/>
    <col min="3585" max="3585" width="4.21875" style="2" customWidth="1"/>
    <col min="3586" max="3586" width="2.5546875" style="2" customWidth="1"/>
    <col min="3587" max="3588" width="8.77734375" style="2"/>
    <col min="3589" max="3589" width="5.77734375" style="2" customWidth="1"/>
    <col min="3590" max="3590" width="8.77734375" style="2" customWidth="1"/>
    <col min="3591" max="3591" width="3.21875" style="2" customWidth="1"/>
    <col min="3592" max="3592" width="10.21875" style="2" customWidth="1"/>
    <col min="3593" max="3593" width="3.77734375" style="2" customWidth="1"/>
    <col min="3594" max="3594" width="8.21875" style="2" customWidth="1"/>
    <col min="3595" max="3595" width="6.21875" style="2" customWidth="1"/>
    <col min="3596" max="3596" width="5.5546875" style="2" customWidth="1"/>
    <col min="3597" max="3597" width="10.77734375" style="2" customWidth="1"/>
    <col min="3598" max="3598" width="8.21875" style="2" customWidth="1"/>
    <col min="3599" max="3599" width="12.21875" style="2" customWidth="1"/>
    <col min="3600" max="3600" width="10.21875" style="2" customWidth="1"/>
    <col min="3601" max="3601" width="9.21875" style="2" customWidth="1"/>
    <col min="3602" max="3840" width="8.77734375" style="2"/>
    <col min="3841" max="3841" width="4.21875" style="2" customWidth="1"/>
    <col min="3842" max="3842" width="2.5546875" style="2" customWidth="1"/>
    <col min="3843" max="3844" width="8.77734375" style="2"/>
    <col min="3845" max="3845" width="5.77734375" style="2" customWidth="1"/>
    <col min="3846" max="3846" width="8.77734375" style="2" customWidth="1"/>
    <col min="3847" max="3847" width="3.21875" style="2" customWidth="1"/>
    <col min="3848" max="3848" width="10.21875" style="2" customWidth="1"/>
    <col min="3849" max="3849" width="3.77734375" style="2" customWidth="1"/>
    <col min="3850" max="3850" width="8.21875" style="2" customWidth="1"/>
    <col min="3851" max="3851" width="6.21875" style="2" customWidth="1"/>
    <col min="3852" max="3852" width="5.5546875" style="2" customWidth="1"/>
    <col min="3853" max="3853" width="10.77734375" style="2" customWidth="1"/>
    <col min="3854" max="3854" width="8.21875" style="2" customWidth="1"/>
    <col min="3855" max="3855" width="12.21875" style="2" customWidth="1"/>
    <col min="3856" max="3856" width="10.21875" style="2" customWidth="1"/>
    <col min="3857" max="3857" width="9.21875" style="2" customWidth="1"/>
    <col min="3858" max="4096" width="8.77734375" style="2"/>
    <col min="4097" max="4097" width="4.21875" style="2" customWidth="1"/>
    <col min="4098" max="4098" width="2.5546875" style="2" customWidth="1"/>
    <col min="4099" max="4100" width="8.77734375" style="2"/>
    <col min="4101" max="4101" width="5.77734375" style="2" customWidth="1"/>
    <col min="4102" max="4102" width="8.77734375" style="2" customWidth="1"/>
    <col min="4103" max="4103" width="3.21875" style="2" customWidth="1"/>
    <col min="4104" max="4104" width="10.21875" style="2" customWidth="1"/>
    <col min="4105" max="4105" width="3.77734375" style="2" customWidth="1"/>
    <col min="4106" max="4106" width="8.21875" style="2" customWidth="1"/>
    <col min="4107" max="4107" width="6.21875" style="2" customWidth="1"/>
    <col min="4108" max="4108" width="5.5546875" style="2" customWidth="1"/>
    <col min="4109" max="4109" width="10.77734375" style="2" customWidth="1"/>
    <col min="4110" max="4110" width="8.21875" style="2" customWidth="1"/>
    <col min="4111" max="4111" width="12.21875" style="2" customWidth="1"/>
    <col min="4112" max="4112" width="10.21875" style="2" customWidth="1"/>
    <col min="4113" max="4113" width="9.21875" style="2" customWidth="1"/>
    <col min="4114" max="4352" width="8.77734375" style="2"/>
    <col min="4353" max="4353" width="4.21875" style="2" customWidth="1"/>
    <col min="4354" max="4354" width="2.5546875" style="2" customWidth="1"/>
    <col min="4355" max="4356" width="8.77734375" style="2"/>
    <col min="4357" max="4357" width="5.77734375" style="2" customWidth="1"/>
    <col min="4358" max="4358" width="8.77734375" style="2" customWidth="1"/>
    <col min="4359" max="4359" width="3.21875" style="2" customWidth="1"/>
    <col min="4360" max="4360" width="10.21875" style="2" customWidth="1"/>
    <col min="4361" max="4361" width="3.77734375" style="2" customWidth="1"/>
    <col min="4362" max="4362" width="8.21875" style="2" customWidth="1"/>
    <col min="4363" max="4363" width="6.21875" style="2" customWidth="1"/>
    <col min="4364" max="4364" width="5.5546875" style="2" customWidth="1"/>
    <col min="4365" max="4365" width="10.77734375" style="2" customWidth="1"/>
    <col min="4366" max="4366" width="8.21875" style="2" customWidth="1"/>
    <col min="4367" max="4367" width="12.21875" style="2" customWidth="1"/>
    <col min="4368" max="4368" width="10.21875" style="2" customWidth="1"/>
    <col min="4369" max="4369" width="9.21875" style="2" customWidth="1"/>
    <col min="4370" max="4608" width="8.77734375" style="2"/>
    <col min="4609" max="4609" width="4.21875" style="2" customWidth="1"/>
    <col min="4610" max="4610" width="2.5546875" style="2" customWidth="1"/>
    <col min="4611" max="4612" width="8.77734375" style="2"/>
    <col min="4613" max="4613" width="5.77734375" style="2" customWidth="1"/>
    <col min="4614" max="4614" width="8.77734375" style="2" customWidth="1"/>
    <col min="4615" max="4615" width="3.21875" style="2" customWidth="1"/>
    <col min="4616" max="4616" width="10.21875" style="2" customWidth="1"/>
    <col min="4617" max="4617" width="3.77734375" style="2" customWidth="1"/>
    <col min="4618" max="4618" width="8.21875" style="2" customWidth="1"/>
    <col min="4619" max="4619" width="6.21875" style="2" customWidth="1"/>
    <col min="4620" max="4620" width="5.5546875" style="2" customWidth="1"/>
    <col min="4621" max="4621" width="10.77734375" style="2" customWidth="1"/>
    <col min="4622" max="4622" width="8.21875" style="2" customWidth="1"/>
    <col min="4623" max="4623" width="12.21875" style="2" customWidth="1"/>
    <col min="4624" max="4624" width="10.21875" style="2" customWidth="1"/>
    <col min="4625" max="4625" width="9.21875" style="2" customWidth="1"/>
    <col min="4626" max="4864" width="8.77734375" style="2"/>
    <col min="4865" max="4865" width="4.21875" style="2" customWidth="1"/>
    <col min="4866" max="4866" width="2.5546875" style="2" customWidth="1"/>
    <col min="4867" max="4868" width="8.77734375" style="2"/>
    <col min="4869" max="4869" width="5.77734375" style="2" customWidth="1"/>
    <col min="4870" max="4870" width="8.77734375" style="2" customWidth="1"/>
    <col min="4871" max="4871" width="3.21875" style="2" customWidth="1"/>
    <col min="4872" max="4872" width="10.21875" style="2" customWidth="1"/>
    <col min="4873" max="4873" width="3.77734375" style="2" customWidth="1"/>
    <col min="4874" max="4874" width="8.21875" style="2" customWidth="1"/>
    <col min="4875" max="4875" width="6.21875" style="2" customWidth="1"/>
    <col min="4876" max="4876" width="5.5546875" style="2" customWidth="1"/>
    <col min="4877" max="4877" width="10.77734375" style="2" customWidth="1"/>
    <col min="4878" max="4878" width="8.21875" style="2" customWidth="1"/>
    <col min="4879" max="4879" width="12.21875" style="2" customWidth="1"/>
    <col min="4880" max="4880" width="10.21875" style="2" customWidth="1"/>
    <col min="4881" max="4881" width="9.21875" style="2" customWidth="1"/>
    <col min="4882" max="5120" width="8.77734375" style="2"/>
    <col min="5121" max="5121" width="4.21875" style="2" customWidth="1"/>
    <col min="5122" max="5122" width="2.5546875" style="2" customWidth="1"/>
    <col min="5123" max="5124" width="8.77734375" style="2"/>
    <col min="5125" max="5125" width="5.77734375" style="2" customWidth="1"/>
    <col min="5126" max="5126" width="8.77734375" style="2" customWidth="1"/>
    <col min="5127" max="5127" width="3.21875" style="2" customWidth="1"/>
    <col min="5128" max="5128" width="10.21875" style="2" customWidth="1"/>
    <col min="5129" max="5129" width="3.77734375" style="2" customWidth="1"/>
    <col min="5130" max="5130" width="8.21875" style="2" customWidth="1"/>
    <col min="5131" max="5131" width="6.21875" style="2" customWidth="1"/>
    <col min="5132" max="5132" width="5.5546875" style="2" customWidth="1"/>
    <col min="5133" max="5133" width="10.77734375" style="2" customWidth="1"/>
    <col min="5134" max="5134" width="8.21875" style="2" customWidth="1"/>
    <col min="5135" max="5135" width="12.21875" style="2" customWidth="1"/>
    <col min="5136" max="5136" width="10.21875" style="2" customWidth="1"/>
    <col min="5137" max="5137" width="9.21875" style="2" customWidth="1"/>
    <col min="5138" max="5376" width="8.77734375" style="2"/>
    <col min="5377" max="5377" width="4.21875" style="2" customWidth="1"/>
    <col min="5378" max="5378" width="2.5546875" style="2" customWidth="1"/>
    <col min="5379" max="5380" width="8.77734375" style="2"/>
    <col min="5381" max="5381" width="5.77734375" style="2" customWidth="1"/>
    <col min="5382" max="5382" width="8.77734375" style="2" customWidth="1"/>
    <col min="5383" max="5383" width="3.21875" style="2" customWidth="1"/>
    <col min="5384" max="5384" width="10.21875" style="2" customWidth="1"/>
    <col min="5385" max="5385" width="3.77734375" style="2" customWidth="1"/>
    <col min="5386" max="5386" width="8.21875" style="2" customWidth="1"/>
    <col min="5387" max="5387" width="6.21875" style="2" customWidth="1"/>
    <col min="5388" max="5388" width="5.5546875" style="2" customWidth="1"/>
    <col min="5389" max="5389" width="10.77734375" style="2" customWidth="1"/>
    <col min="5390" max="5390" width="8.21875" style="2" customWidth="1"/>
    <col min="5391" max="5391" width="12.21875" style="2" customWidth="1"/>
    <col min="5392" max="5392" width="10.21875" style="2" customWidth="1"/>
    <col min="5393" max="5393" width="9.21875" style="2" customWidth="1"/>
    <col min="5394" max="5632" width="8.77734375" style="2"/>
    <col min="5633" max="5633" width="4.21875" style="2" customWidth="1"/>
    <col min="5634" max="5634" width="2.5546875" style="2" customWidth="1"/>
    <col min="5635" max="5636" width="8.77734375" style="2"/>
    <col min="5637" max="5637" width="5.77734375" style="2" customWidth="1"/>
    <col min="5638" max="5638" width="8.77734375" style="2" customWidth="1"/>
    <col min="5639" max="5639" width="3.21875" style="2" customWidth="1"/>
    <col min="5640" max="5640" width="10.21875" style="2" customWidth="1"/>
    <col min="5641" max="5641" width="3.77734375" style="2" customWidth="1"/>
    <col min="5642" max="5642" width="8.21875" style="2" customWidth="1"/>
    <col min="5643" max="5643" width="6.21875" style="2" customWidth="1"/>
    <col min="5644" max="5644" width="5.5546875" style="2" customWidth="1"/>
    <col min="5645" max="5645" width="10.77734375" style="2" customWidth="1"/>
    <col min="5646" max="5646" width="8.21875" style="2" customWidth="1"/>
    <col min="5647" max="5647" width="12.21875" style="2" customWidth="1"/>
    <col min="5648" max="5648" width="10.21875" style="2" customWidth="1"/>
    <col min="5649" max="5649" width="9.21875" style="2" customWidth="1"/>
    <col min="5650" max="5888" width="8.77734375" style="2"/>
    <col min="5889" max="5889" width="4.21875" style="2" customWidth="1"/>
    <col min="5890" max="5890" width="2.5546875" style="2" customWidth="1"/>
    <col min="5891" max="5892" width="8.77734375" style="2"/>
    <col min="5893" max="5893" width="5.77734375" style="2" customWidth="1"/>
    <col min="5894" max="5894" width="8.77734375" style="2" customWidth="1"/>
    <col min="5895" max="5895" width="3.21875" style="2" customWidth="1"/>
    <col min="5896" max="5896" width="10.21875" style="2" customWidth="1"/>
    <col min="5897" max="5897" width="3.77734375" style="2" customWidth="1"/>
    <col min="5898" max="5898" width="8.21875" style="2" customWidth="1"/>
    <col min="5899" max="5899" width="6.21875" style="2" customWidth="1"/>
    <col min="5900" max="5900" width="5.5546875" style="2" customWidth="1"/>
    <col min="5901" max="5901" width="10.77734375" style="2" customWidth="1"/>
    <col min="5902" max="5902" width="8.21875" style="2" customWidth="1"/>
    <col min="5903" max="5903" width="12.21875" style="2" customWidth="1"/>
    <col min="5904" max="5904" width="10.21875" style="2" customWidth="1"/>
    <col min="5905" max="5905" width="9.21875" style="2" customWidth="1"/>
    <col min="5906" max="6144" width="8.77734375" style="2"/>
    <col min="6145" max="6145" width="4.21875" style="2" customWidth="1"/>
    <col min="6146" max="6146" width="2.5546875" style="2" customWidth="1"/>
    <col min="6147" max="6148" width="8.77734375" style="2"/>
    <col min="6149" max="6149" width="5.77734375" style="2" customWidth="1"/>
    <col min="6150" max="6150" width="8.77734375" style="2" customWidth="1"/>
    <col min="6151" max="6151" width="3.21875" style="2" customWidth="1"/>
    <col min="6152" max="6152" width="10.21875" style="2" customWidth="1"/>
    <col min="6153" max="6153" width="3.77734375" style="2" customWidth="1"/>
    <col min="6154" max="6154" width="8.21875" style="2" customWidth="1"/>
    <col min="6155" max="6155" width="6.21875" style="2" customWidth="1"/>
    <col min="6156" max="6156" width="5.5546875" style="2" customWidth="1"/>
    <col min="6157" max="6157" width="10.77734375" style="2" customWidth="1"/>
    <col min="6158" max="6158" width="8.21875" style="2" customWidth="1"/>
    <col min="6159" max="6159" width="12.21875" style="2" customWidth="1"/>
    <col min="6160" max="6160" width="10.21875" style="2" customWidth="1"/>
    <col min="6161" max="6161" width="9.21875" style="2" customWidth="1"/>
    <col min="6162" max="6400" width="8.77734375" style="2"/>
    <col min="6401" max="6401" width="4.21875" style="2" customWidth="1"/>
    <col min="6402" max="6402" width="2.5546875" style="2" customWidth="1"/>
    <col min="6403" max="6404" width="8.77734375" style="2"/>
    <col min="6405" max="6405" width="5.77734375" style="2" customWidth="1"/>
    <col min="6406" max="6406" width="8.77734375" style="2" customWidth="1"/>
    <col min="6407" max="6407" width="3.21875" style="2" customWidth="1"/>
    <col min="6408" max="6408" width="10.21875" style="2" customWidth="1"/>
    <col min="6409" max="6409" width="3.77734375" style="2" customWidth="1"/>
    <col min="6410" max="6410" width="8.21875" style="2" customWidth="1"/>
    <col min="6411" max="6411" width="6.21875" style="2" customWidth="1"/>
    <col min="6412" max="6412" width="5.5546875" style="2" customWidth="1"/>
    <col min="6413" max="6413" width="10.77734375" style="2" customWidth="1"/>
    <col min="6414" max="6414" width="8.21875" style="2" customWidth="1"/>
    <col min="6415" max="6415" width="12.21875" style="2" customWidth="1"/>
    <col min="6416" max="6416" width="10.21875" style="2" customWidth="1"/>
    <col min="6417" max="6417" width="9.21875" style="2" customWidth="1"/>
    <col min="6418" max="6656" width="8.77734375" style="2"/>
    <col min="6657" max="6657" width="4.21875" style="2" customWidth="1"/>
    <col min="6658" max="6658" width="2.5546875" style="2" customWidth="1"/>
    <col min="6659" max="6660" width="8.77734375" style="2"/>
    <col min="6661" max="6661" width="5.77734375" style="2" customWidth="1"/>
    <col min="6662" max="6662" width="8.77734375" style="2" customWidth="1"/>
    <col min="6663" max="6663" width="3.21875" style="2" customWidth="1"/>
    <col min="6664" max="6664" width="10.21875" style="2" customWidth="1"/>
    <col min="6665" max="6665" width="3.77734375" style="2" customWidth="1"/>
    <col min="6666" max="6666" width="8.21875" style="2" customWidth="1"/>
    <col min="6667" max="6667" width="6.21875" style="2" customWidth="1"/>
    <col min="6668" max="6668" width="5.5546875" style="2" customWidth="1"/>
    <col min="6669" max="6669" width="10.77734375" style="2" customWidth="1"/>
    <col min="6670" max="6670" width="8.21875" style="2" customWidth="1"/>
    <col min="6671" max="6671" width="12.21875" style="2" customWidth="1"/>
    <col min="6672" max="6672" width="10.21875" style="2" customWidth="1"/>
    <col min="6673" max="6673" width="9.21875" style="2" customWidth="1"/>
    <col min="6674" max="6912" width="8.77734375" style="2"/>
    <col min="6913" max="6913" width="4.21875" style="2" customWidth="1"/>
    <col min="6914" max="6914" width="2.5546875" style="2" customWidth="1"/>
    <col min="6915" max="6916" width="8.77734375" style="2"/>
    <col min="6917" max="6917" width="5.77734375" style="2" customWidth="1"/>
    <col min="6918" max="6918" width="8.77734375" style="2" customWidth="1"/>
    <col min="6919" max="6919" width="3.21875" style="2" customWidth="1"/>
    <col min="6920" max="6920" width="10.21875" style="2" customWidth="1"/>
    <col min="6921" max="6921" width="3.77734375" style="2" customWidth="1"/>
    <col min="6922" max="6922" width="8.21875" style="2" customWidth="1"/>
    <col min="6923" max="6923" width="6.21875" style="2" customWidth="1"/>
    <col min="6924" max="6924" width="5.5546875" style="2" customWidth="1"/>
    <col min="6925" max="6925" width="10.77734375" style="2" customWidth="1"/>
    <col min="6926" max="6926" width="8.21875" style="2" customWidth="1"/>
    <col min="6927" max="6927" width="12.21875" style="2" customWidth="1"/>
    <col min="6928" max="6928" width="10.21875" style="2" customWidth="1"/>
    <col min="6929" max="6929" width="9.21875" style="2" customWidth="1"/>
    <col min="6930" max="7168" width="8.77734375" style="2"/>
    <col min="7169" max="7169" width="4.21875" style="2" customWidth="1"/>
    <col min="7170" max="7170" width="2.5546875" style="2" customWidth="1"/>
    <col min="7171" max="7172" width="8.77734375" style="2"/>
    <col min="7173" max="7173" width="5.77734375" style="2" customWidth="1"/>
    <col min="7174" max="7174" width="8.77734375" style="2" customWidth="1"/>
    <col min="7175" max="7175" width="3.21875" style="2" customWidth="1"/>
    <col min="7176" max="7176" width="10.21875" style="2" customWidth="1"/>
    <col min="7177" max="7177" width="3.77734375" style="2" customWidth="1"/>
    <col min="7178" max="7178" width="8.21875" style="2" customWidth="1"/>
    <col min="7179" max="7179" width="6.21875" style="2" customWidth="1"/>
    <col min="7180" max="7180" width="5.5546875" style="2" customWidth="1"/>
    <col min="7181" max="7181" width="10.77734375" style="2" customWidth="1"/>
    <col min="7182" max="7182" width="8.21875" style="2" customWidth="1"/>
    <col min="7183" max="7183" width="12.21875" style="2" customWidth="1"/>
    <col min="7184" max="7184" width="10.21875" style="2" customWidth="1"/>
    <col min="7185" max="7185" width="9.21875" style="2" customWidth="1"/>
    <col min="7186" max="7424" width="8.77734375" style="2"/>
    <col min="7425" max="7425" width="4.21875" style="2" customWidth="1"/>
    <col min="7426" max="7426" width="2.5546875" style="2" customWidth="1"/>
    <col min="7427" max="7428" width="8.77734375" style="2"/>
    <col min="7429" max="7429" width="5.77734375" style="2" customWidth="1"/>
    <col min="7430" max="7430" width="8.77734375" style="2" customWidth="1"/>
    <col min="7431" max="7431" width="3.21875" style="2" customWidth="1"/>
    <col min="7432" max="7432" width="10.21875" style="2" customWidth="1"/>
    <col min="7433" max="7433" width="3.77734375" style="2" customWidth="1"/>
    <col min="7434" max="7434" width="8.21875" style="2" customWidth="1"/>
    <col min="7435" max="7435" width="6.21875" style="2" customWidth="1"/>
    <col min="7436" max="7436" width="5.5546875" style="2" customWidth="1"/>
    <col min="7437" max="7437" width="10.77734375" style="2" customWidth="1"/>
    <col min="7438" max="7438" width="8.21875" style="2" customWidth="1"/>
    <col min="7439" max="7439" width="12.21875" style="2" customWidth="1"/>
    <col min="7440" max="7440" width="10.21875" style="2" customWidth="1"/>
    <col min="7441" max="7441" width="9.21875" style="2" customWidth="1"/>
    <col min="7442" max="7680" width="8.77734375" style="2"/>
    <col min="7681" max="7681" width="4.21875" style="2" customWidth="1"/>
    <col min="7682" max="7682" width="2.5546875" style="2" customWidth="1"/>
    <col min="7683" max="7684" width="8.77734375" style="2"/>
    <col min="7685" max="7685" width="5.77734375" style="2" customWidth="1"/>
    <col min="7686" max="7686" width="8.77734375" style="2" customWidth="1"/>
    <col min="7687" max="7687" width="3.21875" style="2" customWidth="1"/>
    <col min="7688" max="7688" width="10.21875" style="2" customWidth="1"/>
    <col min="7689" max="7689" width="3.77734375" style="2" customWidth="1"/>
    <col min="7690" max="7690" width="8.21875" style="2" customWidth="1"/>
    <col min="7691" max="7691" width="6.21875" style="2" customWidth="1"/>
    <col min="7692" max="7692" width="5.5546875" style="2" customWidth="1"/>
    <col min="7693" max="7693" width="10.77734375" style="2" customWidth="1"/>
    <col min="7694" max="7694" width="8.21875" style="2" customWidth="1"/>
    <col min="7695" max="7695" width="12.21875" style="2" customWidth="1"/>
    <col min="7696" max="7696" width="10.21875" style="2" customWidth="1"/>
    <col min="7697" max="7697" width="9.21875" style="2" customWidth="1"/>
    <col min="7698" max="7936" width="8.77734375" style="2"/>
    <col min="7937" max="7937" width="4.21875" style="2" customWidth="1"/>
    <col min="7938" max="7938" width="2.5546875" style="2" customWidth="1"/>
    <col min="7939" max="7940" width="8.77734375" style="2"/>
    <col min="7941" max="7941" width="5.77734375" style="2" customWidth="1"/>
    <col min="7942" max="7942" width="8.77734375" style="2" customWidth="1"/>
    <col min="7943" max="7943" width="3.21875" style="2" customWidth="1"/>
    <col min="7944" max="7944" width="10.21875" style="2" customWidth="1"/>
    <col min="7945" max="7945" width="3.77734375" style="2" customWidth="1"/>
    <col min="7946" max="7946" width="8.21875" style="2" customWidth="1"/>
    <col min="7947" max="7947" width="6.21875" style="2" customWidth="1"/>
    <col min="7948" max="7948" width="5.5546875" style="2" customWidth="1"/>
    <col min="7949" max="7949" width="10.77734375" style="2" customWidth="1"/>
    <col min="7950" max="7950" width="8.21875" style="2" customWidth="1"/>
    <col min="7951" max="7951" width="12.21875" style="2" customWidth="1"/>
    <col min="7952" max="7952" width="10.21875" style="2" customWidth="1"/>
    <col min="7953" max="7953" width="9.21875" style="2" customWidth="1"/>
    <col min="7954" max="8192" width="8.77734375" style="2"/>
    <col min="8193" max="8193" width="4.21875" style="2" customWidth="1"/>
    <col min="8194" max="8194" width="2.5546875" style="2" customWidth="1"/>
    <col min="8195" max="8196" width="8.77734375" style="2"/>
    <col min="8197" max="8197" width="5.77734375" style="2" customWidth="1"/>
    <col min="8198" max="8198" width="8.77734375" style="2" customWidth="1"/>
    <col min="8199" max="8199" width="3.21875" style="2" customWidth="1"/>
    <col min="8200" max="8200" width="10.21875" style="2" customWidth="1"/>
    <col min="8201" max="8201" width="3.77734375" style="2" customWidth="1"/>
    <col min="8202" max="8202" width="8.21875" style="2" customWidth="1"/>
    <col min="8203" max="8203" width="6.21875" style="2" customWidth="1"/>
    <col min="8204" max="8204" width="5.5546875" style="2" customWidth="1"/>
    <col min="8205" max="8205" width="10.77734375" style="2" customWidth="1"/>
    <col min="8206" max="8206" width="8.21875" style="2" customWidth="1"/>
    <col min="8207" max="8207" width="12.21875" style="2" customWidth="1"/>
    <col min="8208" max="8208" width="10.21875" style="2" customWidth="1"/>
    <col min="8209" max="8209" width="9.21875" style="2" customWidth="1"/>
    <col min="8210" max="8448" width="8.77734375" style="2"/>
    <col min="8449" max="8449" width="4.21875" style="2" customWidth="1"/>
    <col min="8450" max="8450" width="2.5546875" style="2" customWidth="1"/>
    <col min="8451" max="8452" width="8.77734375" style="2"/>
    <col min="8453" max="8453" width="5.77734375" style="2" customWidth="1"/>
    <col min="8454" max="8454" width="8.77734375" style="2" customWidth="1"/>
    <col min="8455" max="8455" width="3.21875" style="2" customWidth="1"/>
    <col min="8456" max="8456" width="10.21875" style="2" customWidth="1"/>
    <col min="8457" max="8457" width="3.77734375" style="2" customWidth="1"/>
    <col min="8458" max="8458" width="8.21875" style="2" customWidth="1"/>
    <col min="8459" max="8459" width="6.21875" style="2" customWidth="1"/>
    <col min="8460" max="8460" width="5.5546875" style="2" customWidth="1"/>
    <col min="8461" max="8461" width="10.77734375" style="2" customWidth="1"/>
    <col min="8462" max="8462" width="8.21875" style="2" customWidth="1"/>
    <col min="8463" max="8463" width="12.21875" style="2" customWidth="1"/>
    <col min="8464" max="8464" width="10.21875" style="2" customWidth="1"/>
    <col min="8465" max="8465" width="9.21875" style="2" customWidth="1"/>
    <col min="8466" max="8704" width="8.77734375" style="2"/>
    <col min="8705" max="8705" width="4.21875" style="2" customWidth="1"/>
    <col min="8706" max="8706" width="2.5546875" style="2" customWidth="1"/>
    <col min="8707" max="8708" width="8.77734375" style="2"/>
    <col min="8709" max="8709" width="5.77734375" style="2" customWidth="1"/>
    <col min="8710" max="8710" width="8.77734375" style="2" customWidth="1"/>
    <col min="8711" max="8711" width="3.21875" style="2" customWidth="1"/>
    <col min="8712" max="8712" width="10.21875" style="2" customWidth="1"/>
    <col min="8713" max="8713" width="3.77734375" style="2" customWidth="1"/>
    <col min="8714" max="8714" width="8.21875" style="2" customWidth="1"/>
    <col min="8715" max="8715" width="6.21875" style="2" customWidth="1"/>
    <col min="8716" max="8716" width="5.5546875" style="2" customWidth="1"/>
    <col min="8717" max="8717" width="10.77734375" style="2" customWidth="1"/>
    <col min="8718" max="8718" width="8.21875" style="2" customWidth="1"/>
    <col min="8719" max="8719" width="12.21875" style="2" customWidth="1"/>
    <col min="8720" max="8720" width="10.21875" style="2" customWidth="1"/>
    <col min="8721" max="8721" width="9.21875" style="2" customWidth="1"/>
    <col min="8722" max="8960" width="8.77734375" style="2"/>
    <col min="8961" max="8961" width="4.21875" style="2" customWidth="1"/>
    <col min="8962" max="8962" width="2.5546875" style="2" customWidth="1"/>
    <col min="8963" max="8964" width="8.77734375" style="2"/>
    <col min="8965" max="8965" width="5.77734375" style="2" customWidth="1"/>
    <col min="8966" max="8966" width="8.77734375" style="2" customWidth="1"/>
    <col min="8967" max="8967" width="3.21875" style="2" customWidth="1"/>
    <col min="8968" max="8968" width="10.21875" style="2" customWidth="1"/>
    <col min="8969" max="8969" width="3.77734375" style="2" customWidth="1"/>
    <col min="8970" max="8970" width="8.21875" style="2" customWidth="1"/>
    <col min="8971" max="8971" width="6.21875" style="2" customWidth="1"/>
    <col min="8972" max="8972" width="5.5546875" style="2" customWidth="1"/>
    <col min="8973" max="8973" width="10.77734375" style="2" customWidth="1"/>
    <col min="8974" max="8974" width="8.21875" style="2" customWidth="1"/>
    <col min="8975" max="8975" width="12.21875" style="2" customWidth="1"/>
    <col min="8976" max="8976" width="10.21875" style="2" customWidth="1"/>
    <col min="8977" max="8977" width="9.21875" style="2" customWidth="1"/>
    <col min="8978" max="9216" width="8.77734375" style="2"/>
    <col min="9217" max="9217" width="4.21875" style="2" customWidth="1"/>
    <col min="9218" max="9218" width="2.5546875" style="2" customWidth="1"/>
    <col min="9219" max="9220" width="8.77734375" style="2"/>
    <col min="9221" max="9221" width="5.77734375" style="2" customWidth="1"/>
    <col min="9222" max="9222" width="8.77734375" style="2" customWidth="1"/>
    <col min="9223" max="9223" width="3.21875" style="2" customWidth="1"/>
    <col min="9224" max="9224" width="10.21875" style="2" customWidth="1"/>
    <col min="9225" max="9225" width="3.77734375" style="2" customWidth="1"/>
    <col min="9226" max="9226" width="8.21875" style="2" customWidth="1"/>
    <col min="9227" max="9227" width="6.21875" style="2" customWidth="1"/>
    <col min="9228" max="9228" width="5.5546875" style="2" customWidth="1"/>
    <col min="9229" max="9229" width="10.77734375" style="2" customWidth="1"/>
    <col min="9230" max="9230" width="8.21875" style="2" customWidth="1"/>
    <col min="9231" max="9231" width="12.21875" style="2" customWidth="1"/>
    <col min="9232" max="9232" width="10.21875" style="2" customWidth="1"/>
    <col min="9233" max="9233" width="9.21875" style="2" customWidth="1"/>
    <col min="9234" max="9472" width="8.77734375" style="2"/>
    <col min="9473" max="9473" width="4.21875" style="2" customWidth="1"/>
    <col min="9474" max="9474" width="2.5546875" style="2" customWidth="1"/>
    <col min="9475" max="9476" width="8.77734375" style="2"/>
    <col min="9477" max="9477" width="5.77734375" style="2" customWidth="1"/>
    <col min="9478" max="9478" width="8.77734375" style="2" customWidth="1"/>
    <col min="9479" max="9479" width="3.21875" style="2" customWidth="1"/>
    <col min="9480" max="9480" width="10.21875" style="2" customWidth="1"/>
    <col min="9481" max="9481" width="3.77734375" style="2" customWidth="1"/>
    <col min="9482" max="9482" width="8.21875" style="2" customWidth="1"/>
    <col min="9483" max="9483" width="6.21875" style="2" customWidth="1"/>
    <col min="9484" max="9484" width="5.5546875" style="2" customWidth="1"/>
    <col min="9485" max="9485" width="10.77734375" style="2" customWidth="1"/>
    <col min="9486" max="9486" width="8.21875" style="2" customWidth="1"/>
    <col min="9487" max="9487" width="12.21875" style="2" customWidth="1"/>
    <col min="9488" max="9488" width="10.21875" style="2" customWidth="1"/>
    <col min="9489" max="9489" width="9.21875" style="2" customWidth="1"/>
    <col min="9490" max="9728" width="8.77734375" style="2"/>
    <col min="9729" max="9729" width="4.21875" style="2" customWidth="1"/>
    <col min="9730" max="9730" width="2.5546875" style="2" customWidth="1"/>
    <col min="9731" max="9732" width="8.77734375" style="2"/>
    <col min="9733" max="9733" width="5.77734375" style="2" customWidth="1"/>
    <col min="9734" max="9734" width="8.77734375" style="2" customWidth="1"/>
    <col min="9735" max="9735" width="3.21875" style="2" customWidth="1"/>
    <col min="9736" max="9736" width="10.21875" style="2" customWidth="1"/>
    <col min="9737" max="9737" width="3.77734375" style="2" customWidth="1"/>
    <col min="9738" max="9738" width="8.21875" style="2" customWidth="1"/>
    <col min="9739" max="9739" width="6.21875" style="2" customWidth="1"/>
    <col min="9740" max="9740" width="5.5546875" style="2" customWidth="1"/>
    <col min="9741" max="9741" width="10.77734375" style="2" customWidth="1"/>
    <col min="9742" max="9742" width="8.21875" style="2" customWidth="1"/>
    <col min="9743" max="9743" width="12.21875" style="2" customWidth="1"/>
    <col min="9744" max="9744" width="10.21875" style="2" customWidth="1"/>
    <col min="9745" max="9745" width="9.21875" style="2" customWidth="1"/>
    <col min="9746" max="9984" width="8.77734375" style="2"/>
    <col min="9985" max="9985" width="4.21875" style="2" customWidth="1"/>
    <col min="9986" max="9986" width="2.5546875" style="2" customWidth="1"/>
    <col min="9987" max="9988" width="8.77734375" style="2"/>
    <col min="9989" max="9989" width="5.77734375" style="2" customWidth="1"/>
    <col min="9990" max="9990" width="8.77734375" style="2" customWidth="1"/>
    <col min="9991" max="9991" width="3.21875" style="2" customWidth="1"/>
    <col min="9992" max="9992" width="10.21875" style="2" customWidth="1"/>
    <col min="9993" max="9993" width="3.77734375" style="2" customWidth="1"/>
    <col min="9994" max="9994" width="8.21875" style="2" customWidth="1"/>
    <col min="9995" max="9995" width="6.21875" style="2" customWidth="1"/>
    <col min="9996" max="9996" width="5.5546875" style="2" customWidth="1"/>
    <col min="9997" max="9997" width="10.77734375" style="2" customWidth="1"/>
    <col min="9998" max="9998" width="8.21875" style="2" customWidth="1"/>
    <col min="9999" max="9999" width="12.21875" style="2" customWidth="1"/>
    <col min="10000" max="10000" width="10.21875" style="2" customWidth="1"/>
    <col min="10001" max="10001" width="9.21875" style="2" customWidth="1"/>
    <col min="10002" max="10240" width="8.77734375" style="2"/>
    <col min="10241" max="10241" width="4.21875" style="2" customWidth="1"/>
    <col min="10242" max="10242" width="2.5546875" style="2" customWidth="1"/>
    <col min="10243" max="10244" width="8.77734375" style="2"/>
    <col min="10245" max="10245" width="5.77734375" style="2" customWidth="1"/>
    <col min="10246" max="10246" width="8.77734375" style="2" customWidth="1"/>
    <col min="10247" max="10247" width="3.21875" style="2" customWidth="1"/>
    <col min="10248" max="10248" width="10.21875" style="2" customWidth="1"/>
    <col min="10249" max="10249" width="3.77734375" style="2" customWidth="1"/>
    <col min="10250" max="10250" width="8.21875" style="2" customWidth="1"/>
    <col min="10251" max="10251" width="6.21875" style="2" customWidth="1"/>
    <col min="10252" max="10252" width="5.5546875" style="2" customWidth="1"/>
    <col min="10253" max="10253" width="10.77734375" style="2" customWidth="1"/>
    <col min="10254" max="10254" width="8.21875" style="2" customWidth="1"/>
    <col min="10255" max="10255" width="12.21875" style="2" customWidth="1"/>
    <col min="10256" max="10256" width="10.21875" style="2" customWidth="1"/>
    <col min="10257" max="10257" width="9.21875" style="2" customWidth="1"/>
    <col min="10258" max="10496" width="8.77734375" style="2"/>
    <col min="10497" max="10497" width="4.21875" style="2" customWidth="1"/>
    <col min="10498" max="10498" width="2.5546875" style="2" customWidth="1"/>
    <col min="10499" max="10500" width="8.77734375" style="2"/>
    <col min="10501" max="10501" width="5.77734375" style="2" customWidth="1"/>
    <col min="10502" max="10502" width="8.77734375" style="2" customWidth="1"/>
    <col min="10503" max="10503" width="3.21875" style="2" customWidth="1"/>
    <col min="10504" max="10504" width="10.21875" style="2" customWidth="1"/>
    <col min="10505" max="10505" width="3.77734375" style="2" customWidth="1"/>
    <col min="10506" max="10506" width="8.21875" style="2" customWidth="1"/>
    <col min="10507" max="10507" width="6.21875" style="2" customWidth="1"/>
    <col min="10508" max="10508" width="5.5546875" style="2" customWidth="1"/>
    <col min="10509" max="10509" width="10.77734375" style="2" customWidth="1"/>
    <col min="10510" max="10510" width="8.21875" style="2" customWidth="1"/>
    <col min="10511" max="10511" width="12.21875" style="2" customWidth="1"/>
    <col min="10512" max="10512" width="10.21875" style="2" customWidth="1"/>
    <col min="10513" max="10513" width="9.21875" style="2" customWidth="1"/>
    <col min="10514" max="10752" width="8.77734375" style="2"/>
    <col min="10753" max="10753" width="4.21875" style="2" customWidth="1"/>
    <col min="10754" max="10754" width="2.5546875" style="2" customWidth="1"/>
    <col min="10755" max="10756" width="8.77734375" style="2"/>
    <col min="10757" max="10757" width="5.77734375" style="2" customWidth="1"/>
    <col min="10758" max="10758" width="8.77734375" style="2" customWidth="1"/>
    <col min="10759" max="10759" width="3.21875" style="2" customWidth="1"/>
    <col min="10760" max="10760" width="10.21875" style="2" customWidth="1"/>
    <col min="10761" max="10761" width="3.77734375" style="2" customWidth="1"/>
    <col min="10762" max="10762" width="8.21875" style="2" customWidth="1"/>
    <col min="10763" max="10763" width="6.21875" style="2" customWidth="1"/>
    <col min="10764" max="10764" width="5.5546875" style="2" customWidth="1"/>
    <col min="10765" max="10765" width="10.77734375" style="2" customWidth="1"/>
    <col min="10766" max="10766" width="8.21875" style="2" customWidth="1"/>
    <col min="10767" max="10767" width="12.21875" style="2" customWidth="1"/>
    <col min="10768" max="10768" width="10.21875" style="2" customWidth="1"/>
    <col min="10769" max="10769" width="9.21875" style="2" customWidth="1"/>
    <col min="10770" max="11008" width="8.77734375" style="2"/>
    <col min="11009" max="11009" width="4.21875" style="2" customWidth="1"/>
    <col min="11010" max="11010" width="2.5546875" style="2" customWidth="1"/>
    <col min="11011" max="11012" width="8.77734375" style="2"/>
    <col min="11013" max="11013" width="5.77734375" style="2" customWidth="1"/>
    <col min="11014" max="11014" width="8.77734375" style="2" customWidth="1"/>
    <col min="11015" max="11015" width="3.21875" style="2" customWidth="1"/>
    <col min="11016" max="11016" width="10.21875" style="2" customWidth="1"/>
    <col min="11017" max="11017" width="3.77734375" style="2" customWidth="1"/>
    <col min="11018" max="11018" width="8.21875" style="2" customWidth="1"/>
    <col min="11019" max="11019" width="6.21875" style="2" customWidth="1"/>
    <col min="11020" max="11020" width="5.5546875" style="2" customWidth="1"/>
    <col min="11021" max="11021" width="10.77734375" style="2" customWidth="1"/>
    <col min="11022" max="11022" width="8.21875" style="2" customWidth="1"/>
    <col min="11023" max="11023" width="12.21875" style="2" customWidth="1"/>
    <col min="11024" max="11024" width="10.21875" style="2" customWidth="1"/>
    <col min="11025" max="11025" width="9.21875" style="2" customWidth="1"/>
    <col min="11026" max="11264" width="8.77734375" style="2"/>
    <col min="11265" max="11265" width="4.21875" style="2" customWidth="1"/>
    <col min="11266" max="11266" width="2.5546875" style="2" customWidth="1"/>
    <col min="11267" max="11268" width="8.77734375" style="2"/>
    <col min="11269" max="11269" width="5.77734375" style="2" customWidth="1"/>
    <col min="11270" max="11270" width="8.77734375" style="2" customWidth="1"/>
    <col min="11271" max="11271" width="3.21875" style="2" customWidth="1"/>
    <col min="11272" max="11272" width="10.21875" style="2" customWidth="1"/>
    <col min="11273" max="11273" width="3.77734375" style="2" customWidth="1"/>
    <col min="11274" max="11274" width="8.21875" style="2" customWidth="1"/>
    <col min="11275" max="11275" width="6.21875" style="2" customWidth="1"/>
    <col min="11276" max="11276" width="5.5546875" style="2" customWidth="1"/>
    <col min="11277" max="11277" width="10.77734375" style="2" customWidth="1"/>
    <col min="11278" max="11278" width="8.21875" style="2" customWidth="1"/>
    <col min="11279" max="11279" width="12.21875" style="2" customWidth="1"/>
    <col min="11280" max="11280" width="10.21875" style="2" customWidth="1"/>
    <col min="11281" max="11281" width="9.21875" style="2" customWidth="1"/>
    <col min="11282" max="11520" width="8.77734375" style="2"/>
    <col min="11521" max="11521" width="4.21875" style="2" customWidth="1"/>
    <col min="11522" max="11522" width="2.5546875" style="2" customWidth="1"/>
    <col min="11523" max="11524" width="8.77734375" style="2"/>
    <col min="11525" max="11525" width="5.77734375" style="2" customWidth="1"/>
    <col min="11526" max="11526" width="8.77734375" style="2" customWidth="1"/>
    <col min="11527" max="11527" width="3.21875" style="2" customWidth="1"/>
    <col min="11528" max="11528" width="10.21875" style="2" customWidth="1"/>
    <col min="11529" max="11529" width="3.77734375" style="2" customWidth="1"/>
    <col min="11530" max="11530" width="8.21875" style="2" customWidth="1"/>
    <col min="11531" max="11531" width="6.21875" style="2" customWidth="1"/>
    <col min="11532" max="11532" width="5.5546875" style="2" customWidth="1"/>
    <col min="11533" max="11533" width="10.77734375" style="2" customWidth="1"/>
    <col min="11534" max="11534" width="8.21875" style="2" customWidth="1"/>
    <col min="11535" max="11535" width="12.21875" style="2" customWidth="1"/>
    <col min="11536" max="11536" width="10.21875" style="2" customWidth="1"/>
    <col min="11537" max="11537" width="9.21875" style="2" customWidth="1"/>
    <col min="11538" max="11776" width="8.77734375" style="2"/>
    <col min="11777" max="11777" width="4.21875" style="2" customWidth="1"/>
    <col min="11778" max="11778" width="2.5546875" style="2" customWidth="1"/>
    <col min="11779" max="11780" width="8.77734375" style="2"/>
    <col min="11781" max="11781" width="5.77734375" style="2" customWidth="1"/>
    <col min="11782" max="11782" width="8.77734375" style="2" customWidth="1"/>
    <col min="11783" max="11783" width="3.21875" style="2" customWidth="1"/>
    <col min="11784" max="11784" width="10.21875" style="2" customWidth="1"/>
    <col min="11785" max="11785" width="3.77734375" style="2" customWidth="1"/>
    <col min="11786" max="11786" width="8.21875" style="2" customWidth="1"/>
    <col min="11787" max="11787" width="6.21875" style="2" customWidth="1"/>
    <col min="11788" max="11788" width="5.5546875" style="2" customWidth="1"/>
    <col min="11789" max="11789" width="10.77734375" style="2" customWidth="1"/>
    <col min="11790" max="11790" width="8.21875" style="2" customWidth="1"/>
    <col min="11791" max="11791" width="12.21875" style="2" customWidth="1"/>
    <col min="11792" max="11792" width="10.21875" style="2" customWidth="1"/>
    <col min="11793" max="11793" width="9.21875" style="2" customWidth="1"/>
    <col min="11794" max="12032" width="8.77734375" style="2"/>
    <col min="12033" max="12033" width="4.21875" style="2" customWidth="1"/>
    <col min="12034" max="12034" width="2.5546875" style="2" customWidth="1"/>
    <col min="12035" max="12036" width="8.77734375" style="2"/>
    <col min="12037" max="12037" width="5.77734375" style="2" customWidth="1"/>
    <col min="12038" max="12038" width="8.77734375" style="2" customWidth="1"/>
    <col min="12039" max="12039" width="3.21875" style="2" customWidth="1"/>
    <col min="12040" max="12040" width="10.21875" style="2" customWidth="1"/>
    <col min="12041" max="12041" width="3.77734375" style="2" customWidth="1"/>
    <col min="12042" max="12042" width="8.21875" style="2" customWidth="1"/>
    <col min="12043" max="12043" width="6.21875" style="2" customWidth="1"/>
    <col min="12044" max="12044" width="5.5546875" style="2" customWidth="1"/>
    <col min="12045" max="12045" width="10.77734375" style="2" customWidth="1"/>
    <col min="12046" max="12046" width="8.21875" style="2" customWidth="1"/>
    <col min="12047" max="12047" width="12.21875" style="2" customWidth="1"/>
    <col min="12048" max="12048" width="10.21875" style="2" customWidth="1"/>
    <col min="12049" max="12049" width="9.21875" style="2" customWidth="1"/>
    <col min="12050" max="12288" width="8.77734375" style="2"/>
    <col min="12289" max="12289" width="4.21875" style="2" customWidth="1"/>
    <col min="12290" max="12290" width="2.5546875" style="2" customWidth="1"/>
    <col min="12291" max="12292" width="8.77734375" style="2"/>
    <col min="12293" max="12293" width="5.77734375" style="2" customWidth="1"/>
    <col min="12294" max="12294" width="8.77734375" style="2" customWidth="1"/>
    <col min="12295" max="12295" width="3.21875" style="2" customWidth="1"/>
    <col min="12296" max="12296" width="10.21875" style="2" customWidth="1"/>
    <col min="12297" max="12297" width="3.77734375" style="2" customWidth="1"/>
    <col min="12298" max="12298" width="8.21875" style="2" customWidth="1"/>
    <col min="12299" max="12299" width="6.21875" style="2" customWidth="1"/>
    <col min="12300" max="12300" width="5.5546875" style="2" customWidth="1"/>
    <col min="12301" max="12301" width="10.77734375" style="2" customWidth="1"/>
    <col min="12302" max="12302" width="8.21875" style="2" customWidth="1"/>
    <col min="12303" max="12303" width="12.21875" style="2" customWidth="1"/>
    <col min="12304" max="12304" width="10.21875" style="2" customWidth="1"/>
    <col min="12305" max="12305" width="9.21875" style="2" customWidth="1"/>
    <col min="12306" max="12544" width="8.77734375" style="2"/>
    <col min="12545" max="12545" width="4.21875" style="2" customWidth="1"/>
    <col min="12546" max="12546" width="2.5546875" style="2" customWidth="1"/>
    <col min="12547" max="12548" width="8.77734375" style="2"/>
    <col min="12549" max="12549" width="5.77734375" style="2" customWidth="1"/>
    <col min="12550" max="12550" width="8.77734375" style="2" customWidth="1"/>
    <col min="12551" max="12551" width="3.21875" style="2" customWidth="1"/>
    <col min="12552" max="12552" width="10.21875" style="2" customWidth="1"/>
    <col min="12553" max="12553" width="3.77734375" style="2" customWidth="1"/>
    <col min="12554" max="12554" width="8.21875" style="2" customWidth="1"/>
    <col min="12555" max="12555" width="6.21875" style="2" customWidth="1"/>
    <col min="12556" max="12556" width="5.5546875" style="2" customWidth="1"/>
    <col min="12557" max="12557" width="10.77734375" style="2" customWidth="1"/>
    <col min="12558" max="12558" width="8.21875" style="2" customWidth="1"/>
    <col min="12559" max="12559" width="12.21875" style="2" customWidth="1"/>
    <col min="12560" max="12560" width="10.21875" style="2" customWidth="1"/>
    <col min="12561" max="12561" width="9.21875" style="2" customWidth="1"/>
    <col min="12562" max="12800" width="8.77734375" style="2"/>
    <col min="12801" max="12801" width="4.21875" style="2" customWidth="1"/>
    <col min="12802" max="12802" width="2.5546875" style="2" customWidth="1"/>
    <col min="12803" max="12804" width="8.77734375" style="2"/>
    <col min="12805" max="12805" width="5.77734375" style="2" customWidth="1"/>
    <col min="12806" max="12806" width="8.77734375" style="2" customWidth="1"/>
    <col min="12807" max="12807" width="3.21875" style="2" customWidth="1"/>
    <col min="12808" max="12808" width="10.21875" style="2" customWidth="1"/>
    <col min="12809" max="12809" width="3.77734375" style="2" customWidth="1"/>
    <col min="12810" max="12810" width="8.21875" style="2" customWidth="1"/>
    <col min="12811" max="12811" width="6.21875" style="2" customWidth="1"/>
    <col min="12812" max="12812" width="5.5546875" style="2" customWidth="1"/>
    <col min="12813" max="12813" width="10.77734375" style="2" customWidth="1"/>
    <col min="12814" max="12814" width="8.21875" style="2" customWidth="1"/>
    <col min="12815" max="12815" width="12.21875" style="2" customWidth="1"/>
    <col min="12816" max="12816" width="10.21875" style="2" customWidth="1"/>
    <col min="12817" max="12817" width="9.21875" style="2" customWidth="1"/>
    <col min="12818" max="13056" width="8.77734375" style="2"/>
    <col min="13057" max="13057" width="4.21875" style="2" customWidth="1"/>
    <col min="13058" max="13058" width="2.5546875" style="2" customWidth="1"/>
    <col min="13059" max="13060" width="8.77734375" style="2"/>
    <col min="13061" max="13061" width="5.77734375" style="2" customWidth="1"/>
    <col min="13062" max="13062" width="8.77734375" style="2" customWidth="1"/>
    <col min="13063" max="13063" width="3.21875" style="2" customWidth="1"/>
    <col min="13064" max="13064" width="10.21875" style="2" customWidth="1"/>
    <col min="13065" max="13065" width="3.77734375" style="2" customWidth="1"/>
    <col min="13066" max="13066" width="8.21875" style="2" customWidth="1"/>
    <col min="13067" max="13067" width="6.21875" style="2" customWidth="1"/>
    <col min="13068" max="13068" width="5.5546875" style="2" customWidth="1"/>
    <col min="13069" max="13069" width="10.77734375" style="2" customWidth="1"/>
    <col min="13070" max="13070" width="8.21875" style="2" customWidth="1"/>
    <col min="13071" max="13071" width="12.21875" style="2" customWidth="1"/>
    <col min="13072" max="13072" width="10.21875" style="2" customWidth="1"/>
    <col min="13073" max="13073" width="9.21875" style="2" customWidth="1"/>
    <col min="13074" max="13312" width="8.77734375" style="2"/>
    <col min="13313" max="13313" width="4.21875" style="2" customWidth="1"/>
    <col min="13314" max="13314" width="2.5546875" style="2" customWidth="1"/>
    <col min="13315" max="13316" width="8.77734375" style="2"/>
    <col min="13317" max="13317" width="5.77734375" style="2" customWidth="1"/>
    <col min="13318" max="13318" width="8.77734375" style="2" customWidth="1"/>
    <col min="13319" max="13319" width="3.21875" style="2" customWidth="1"/>
    <col min="13320" max="13320" width="10.21875" style="2" customWidth="1"/>
    <col min="13321" max="13321" width="3.77734375" style="2" customWidth="1"/>
    <col min="13322" max="13322" width="8.21875" style="2" customWidth="1"/>
    <col min="13323" max="13323" width="6.21875" style="2" customWidth="1"/>
    <col min="13324" max="13324" width="5.5546875" style="2" customWidth="1"/>
    <col min="13325" max="13325" width="10.77734375" style="2" customWidth="1"/>
    <col min="13326" max="13326" width="8.21875" style="2" customWidth="1"/>
    <col min="13327" max="13327" width="12.21875" style="2" customWidth="1"/>
    <col min="13328" max="13328" width="10.21875" style="2" customWidth="1"/>
    <col min="13329" max="13329" width="9.21875" style="2" customWidth="1"/>
    <col min="13330" max="13568" width="8.77734375" style="2"/>
    <col min="13569" max="13569" width="4.21875" style="2" customWidth="1"/>
    <col min="13570" max="13570" width="2.5546875" style="2" customWidth="1"/>
    <col min="13571" max="13572" width="8.77734375" style="2"/>
    <col min="13573" max="13573" width="5.77734375" style="2" customWidth="1"/>
    <col min="13574" max="13574" width="8.77734375" style="2" customWidth="1"/>
    <col min="13575" max="13575" width="3.21875" style="2" customWidth="1"/>
    <col min="13576" max="13576" width="10.21875" style="2" customWidth="1"/>
    <col min="13577" max="13577" width="3.77734375" style="2" customWidth="1"/>
    <col min="13578" max="13578" width="8.21875" style="2" customWidth="1"/>
    <col min="13579" max="13579" width="6.21875" style="2" customWidth="1"/>
    <col min="13580" max="13580" width="5.5546875" style="2" customWidth="1"/>
    <col min="13581" max="13581" width="10.77734375" style="2" customWidth="1"/>
    <col min="13582" max="13582" width="8.21875" style="2" customWidth="1"/>
    <col min="13583" max="13583" width="12.21875" style="2" customWidth="1"/>
    <col min="13584" max="13584" width="10.21875" style="2" customWidth="1"/>
    <col min="13585" max="13585" width="9.21875" style="2" customWidth="1"/>
    <col min="13586" max="13824" width="8.77734375" style="2"/>
    <col min="13825" max="13825" width="4.21875" style="2" customWidth="1"/>
    <col min="13826" max="13826" width="2.5546875" style="2" customWidth="1"/>
    <col min="13827" max="13828" width="8.77734375" style="2"/>
    <col min="13829" max="13829" width="5.77734375" style="2" customWidth="1"/>
    <col min="13830" max="13830" width="8.77734375" style="2" customWidth="1"/>
    <col min="13831" max="13831" width="3.21875" style="2" customWidth="1"/>
    <col min="13832" max="13832" width="10.21875" style="2" customWidth="1"/>
    <col min="13833" max="13833" width="3.77734375" style="2" customWidth="1"/>
    <col min="13834" max="13834" width="8.21875" style="2" customWidth="1"/>
    <col min="13835" max="13835" width="6.21875" style="2" customWidth="1"/>
    <col min="13836" max="13836" width="5.5546875" style="2" customWidth="1"/>
    <col min="13837" max="13837" width="10.77734375" style="2" customWidth="1"/>
    <col min="13838" max="13838" width="8.21875" style="2" customWidth="1"/>
    <col min="13839" max="13839" width="12.21875" style="2" customWidth="1"/>
    <col min="13840" max="13840" width="10.21875" style="2" customWidth="1"/>
    <col min="13841" max="13841" width="9.21875" style="2" customWidth="1"/>
    <col min="13842" max="14080" width="8.77734375" style="2"/>
    <col min="14081" max="14081" width="4.21875" style="2" customWidth="1"/>
    <col min="14082" max="14082" width="2.5546875" style="2" customWidth="1"/>
    <col min="14083" max="14084" width="8.77734375" style="2"/>
    <col min="14085" max="14085" width="5.77734375" style="2" customWidth="1"/>
    <col min="14086" max="14086" width="8.77734375" style="2" customWidth="1"/>
    <col min="14087" max="14087" width="3.21875" style="2" customWidth="1"/>
    <col min="14088" max="14088" width="10.21875" style="2" customWidth="1"/>
    <col min="14089" max="14089" width="3.77734375" style="2" customWidth="1"/>
    <col min="14090" max="14090" width="8.21875" style="2" customWidth="1"/>
    <col min="14091" max="14091" width="6.21875" style="2" customWidth="1"/>
    <col min="14092" max="14092" width="5.5546875" style="2" customWidth="1"/>
    <col min="14093" max="14093" width="10.77734375" style="2" customWidth="1"/>
    <col min="14094" max="14094" width="8.21875" style="2" customWidth="1"/>
    <col min="14095" max="14095" width="12.21875" style="2" customWidth="1"/>
    <col min="14096" max="14096" width="10.21875" style="2" customWidth="1"/>
    <col min="14097" max="14097" width="9.21875" style="2" customWidth="1"/>
    <col min="14098" max="14336" width="8.77734375" style="2"/>
    <col min="14337" max="14337" width="4.21875" style="2" customWidth="1"/>
    <col min="14338" max="14338" width="2.5546875" style="2" customWidth="1"/>
    <col min="14339" max="14340" width="8.77734375" style="2"/>
    <col min="14341" max="14341" width="5.77734375" style="2" customWidth="1"/>
    <col min="14342" max="14342" width="8.77734375" style="2" customWidth="1"/>
    <col min="14343" max="14343" width="3.21875" style="2" customWidth="1"/>
    <col min="14344" max="14344" width="10.21875" style="2" customWidth="1"/>
    <col min="14345" max="14345" width="3.77734375" style="2" customWidth="1"/>
    <col min="14346" max="14346" width="8.21875" style="2" customWidth="1"/>
    <col min="14347" max="14347" width="6.21875" style="2" customWidth="1"/>
    <col min="14348" max="14348" width="5.5546875" style="2" customWidth="1"/>
    <col min="14349" max="14349" width="10.77734375" style="2" customWidth="1"/>
    <col min="14350" max="14350" width="8.21875" style="2" customWidth="1"/>
    <col min="14351" max="14351" width="12.21875" style="2" customWidth="1"/>
    <col min="14352" max="14352" width="10.21875" style="2" customWidth="1"/>
    <col min="14353" max="14353" width="9.21875" style="2" customWidth="1"/>
    <col min="14354" max="14592" width="8.77734375" style="2"/>
    <col min="14593" max="14593" width="4.21875" style="2" customWidth="1"/>
    <col min="14594" max="14594" width="2.5546875" style="2" customWidth="1"/>
    <col min="14595" max="14596" width="8.77734375" style="2"/>
    <col min="14597" max="14597" width="5.77734375" style="2" customWidth="1"/>
    <col min="14598" max="14598" width="8.77734375" style="2" customWidth="1"/>
    <col min="14599" max="14599" width="3.21875" style="2" customWidth="1"/>
    <col min="14600" max="14600" width="10.21875" style="2" customWidth="1"/>
    <col min="14601" max="14601" width="3.77734375" style="2" customWidth="1"/>
    <col min="14602" max="14602" width="8.21875" style="2" customWidth="1"/>
    <col min="14603" max="14603" width="6.21875" style="2" customWidth="1"/>
    <col min="14604" max="14604" width="5.5546875" style="2" customWidth="1"/>
    <col min="14605" max="14605" width="10.77734375" style="2" customWidth="1"/>
    <col min="14606" max="14606" width="8.21875" style="2" customWidth="1"/>
    <col min="14607" max="14607" width="12.21875" style="2" customWidth="1"/>
    <col min="14608" max="14608" width="10.21875" style="2" customWidth="1"/>
    <col min="14609" max="14609" width="9.21875" style="2" customWidth="1"/>
    <col min="14610" max="14848" width="8.77734375" style="2"/>
    <col min="14849" max="14849" width="4.21875" style="2" customWidth="1"/>
    <col min="14850" max="14850" width="2.5546875" style="2" customWidth="1"/>
    <col min="14851" max="14852" width="8.77734375" style="2"/>
    <col min="14853" max="14853" width="5.77734375" style="2" customWidth="1"/>
    <col min="14854" max="14854" width="8.77734375" style="2" customWidth="1"/>
    <col min="14855" max="14855" width="3.21875" style="2" customWidth="1"/>
    <col min="14856" max="14856" width="10.21875" style="2" customWidth="1"/>
    <col min="14857" max="14857" width="3.77734375" style="2" customWidth="1"/>
    <col min="14858" max="14858" width="8.21875" style="2" customWidth="1"/>
    <col min="14859" max="14859" width="6.21875" style="2" customWidth="1"/>
    <col min="14860" max="14860" width="5.5546875" style="2" customWidth="1"/>
    <col min="14861" max="14861" width="10.77734375" style="2" customWidth="1"/>
    <col min="14862" max="14862" width="8.21875" style="2" customWidth="1"/>
    <col min="14863" max="14863" width="12.21875" style="2" customWidth="1"/>
    <col min="14864" max="14864" width="10.21875" style="2" customWidth="1"/>
    <col min="14865" max="14865" width="9.21875" style="2" customWidth="1"/>
    <col min="14866" max="15104" width="8.77734375" style="2"/>
    <col min="15105" max="15105" width="4.21875" style="2" customWidth="1"/>
    <col min="15106" max="15106" width="2.5546875" style="2" customWidth="1"/>
    <col min="15107" max="15108" width="8.77734375" style="2"/>
    <col min="15109" max="15109" width="5.77734375" style="2" customWidth="1"/>
    <col min="15110" max="15110" width="8.77734375" style="2" customWidth="1"/>
    <col min="15111" max="15111" width="3.21875" style="2" customWidth="1"/>
    <col min="15112" max="15112" width="10.21875" style="2" customWidth="1"/>
    <col min="15113" max="15113" width="3.77734375" style="2" customWidth="1"/>
    <col min="15114" max="15114" width="8.21875" style="2" customWidth="1"/>
    <col min="15115" max="15115" width="6.21875" style="2" customWidth="1"/>
    <col min="15116" max="15116" width="5.5546875" style="2" customWidth="1"/>
    <col min="15117" max="15117" width="10.77734375" style="2" customWidth="1"/>
    <col min="15118" max="15118" width="8.21875" style="2" customWidth="1"/>
    <col min="15119" max="15119" width="12.21875" style="2" customWidth="1"/>
    <col min="15120" max="15120" width="10.21875" style="2" customWidth="1"/>
    <col min="15121" max="15121" width="9.21875" style="2" customWidth="1"/>
    <col min="15122" max="15360" width="8.77734375" style="2"/>
    <col min="15361" max="15361" width="4.21875" style="2" customWidth="1"/>
    <col min="15362" max="15362" width="2.5546875" style="2" customWidth="1"/>
    <col min="15363" max="15364" width="8.77734375" style="2"/>
    <col min="15365" max="15365" width="5.77734375" style="2" customWidth="1"/>
    <col min="15366" max="15366" width="8.77734375" style="2" customWidth="1"/>
    <col min="15367" max="15367" width="3.21875" style="2" customWidth="1"/>
    <col min="15368" max="15368" width="10.21875" style="2" customWidth="1"/>
    <col min="15369" max="15369" width="3.77734375" style="2" customWidth="1"/>
    <col min="15370" max="15370" width="8.21875" style="2" customWidth="1"/>
    <col min="15371" max="15371" width="6.21875" style="2" customWidth="1"/>
    <col min="15372" max="15372" width="5.5546875" style="2" customWidth="1"/>
    <col min="15373" max="15373" width="10.77734375" style="2" customWidth="1"/>
    <col min="15374" max="15374" width="8.21875" style="2" customWidth="1"/>
    <col min="15375" max="15375" width="12.21875" style="2" customWidth="1"/>
    <col min="15376" max="15376" width="10.21875" style="2" customWidth="1"/>
    <col min="15377" max="15377" width="9.21875" style="2" customWidth="1"/>
    <col min="15378" max="15616" width="8.77734375" style="2"/>
    <col min="15617" max="15617" width="4.21875" style="2" customWidth="1"/>
    <col min="15618" max="15618" width="2.5546875" style="2" customWidth="1"/>
    <col min="15619" max="15620" width="8.77734375" style="2"/>
    <col min="15621" max="15621" width="5.77734375" style="2" customWidth="1"/>
    <col min="15622" max="15622" width="8.77734375" style="2" customWidth="1"/>
    <col min="15623" max="15623" width="3.21875" style="2" customWidth="1"/>
    <col min="15624" max="15624" width="10.21875" style="2" customWidth="1"/>
    <col min="15625" max="15625" width="3.77734375" style="2" customWidth="1"/>
    <col min="15626" max="15626" width="8.21875" style="2" customWidth="1"/>
    <col min="15627" max="15627" width="6.21875" style="2" customWidth="1"/>
    <col min="15628" max="15628" width="5.5546875" style="2" customWidth="1"/>
    <col min="15629" max="15629" width="10.77734375" style="2" customWidth="1"/>
    <col min="15630" max="15630" width="8.21875" style="2" customWidth="1"/>
    <col min="15631" max="15631" width="12.21875" style="2" customWidth="1"/>
    <col min="15632" max="15632" width="10.21875" style="2" customWidth="1"/>
    <col min="15633" max="15633" width="9.21875" style="2" customWidth="1"/>
    <col min="15634" max="15872" width="8.77734375" style="2"/>
    <col min="15873" max="15873" width="4.21875" style="2" customWidth="1"/>
    <col min="15874" max="15874" width="2.5546875" style="2" customWidth="1"/>
    <col min="15875" max="15876" width="8.77734375" style="2"/>
    <col min="15877" max="15877" width="5.77734375" style="2" customWidth="1"/>
    <col min="15878" max="15878" width="8.77734375" style="2" customWidth="1"/>
    <col min="15879" max="15879" width="3.21875" style="2" customWidth="1"/>
    <col min="15880" max="15880" width="10.21875" style="2" customWidth="1"/>
    <col min="15881" max="15881" width="3.77734375" style="2" customWidth="1"/>
    <col min="15882" max="15882" width="8.21875" style="2" customWidth="1"/>
    <col min="15883" max="15883" width="6.21875" style="2" customWidth="1"/>
    <col min="15884" max="15884" width="5.5546875" style="2" customWidth="1"/>
    <col min="15885" max="15885" width="10.77734375" style="2" customWidth="1"/>
    <col min="15886" max="15886" width="8.21875" style="2" customWidth="1"/>
    <col min="15887" max="15887" width="12.21875" style="2" customWidth="1"/>
    <col min="15888" max="15888" width="10.21875" style="2" customWidth="1"/>
    <col min="15889" max="15889" width="9.21875" style="2" customWidth="1"/>
    <col min="15890" max="16128" width="8.77734375" style="2"/>
    <col min="16129" max="16129" width="4.21875" style="2" customWidth="1"/>
    <col min="16130" max="16130" width="2.5546875" style="2" customWidth="1"/>
    <col min="16131" max="16132" width="8.77734375" style="2"/>
    <col min="16133" max="16133" width="5.77734375" style="2" customWidth="1"/>
    <col min="16134" max="16134" width="8.77734375" style="2" customWidth="1"/>
    <col min="16135" max="16135" width="3.21875" style="2" customWidth="1"/>
    <col min="16136" max="16136" width="10.21875" style="2" customWidth="1"/>
    <col min="16137" max="16137" width="3.77734375" style="2" customWidth="1"/>
    <col min="16138" max="16138" width="8.21875" style="2" customWidth="1"/>
    <col min="16139" max="16139" width="6.21875" style="2" customWidth="1"/>
    <col min="16140" max="16140" width="5.5546875" style="2" customWidth="1"/>
    <col min="16141" max="16141" width="10.77734375" style="2" customWidth="1"/>
    <col min="16142" max="16142" width="8.21875" style="2" customWidth="1"/>
    <col min="16143" max="16143" width="12.21875" style="2" customWidth="1"/>
    <col min="16144" max="16144" width="10.21875" style="2" customWidth="1"/>
    <col min="16145" max="16145" width="9.21875" style="2" customWidth="1"/>
    <col min="16146" max="16384" width="8.77734375" style="2"/>
  </cols>
  <sheetData>
    <row r="1" spans="1:17" ht="14.25" customHeight="1">
      <c r="P1" s="31"/>
    </row>
    <row r="2" spans="1:17" ht="15.6">
      <c r="A2" s="1220" t="s">
        <v>20</v>
      </c>
      <c r="B2" s="1220"/>
      <c r="C2" s="1220"/>
      <c r="D2" s="1220"/>
      <c r="E2" s="1220"/>
      <c r="F2" s="1220"/>
      <c r="G2" s="1220"/>
      <c r="H2" s="1220"/>
      <c r="I2" s="1220"/>
      <c r="J2" s="1220"/>
      <c r="K2" s="1220"/>
      <c r="L2" s="1220"/>
      <c r="M2" s="1220"/>
      <c r="N2" s="1220"/>
      <c r="O2" s="1220"/>
    </row>
    <row r="3" spans="1:17" ht="15.6">
      <c r="A3" s="1220" t="s">
        <v>21</v>
      </c>
      <c r="B3" s="1220"/>
      <c r="C3" s="1220"/>
      <c r="D3" s="1220"/>
      <c r="E3" s="1220"/>
      <c r="F3" s="1220"/>
      <c r="G3" s="1220"/>
      <c r="H3" s="1220"/>
      <c r="I3" s="1220"/>
      <c r="J3" s="1220"/>
      <c r="K3" s="1220"/>
      <c r="L3" s="1220"/>
      <c r="M3" s="1220"/>
      <c r="N3" s="1220"/>
      <c r="O3" s="1220"/>
    </row>
    <row r="4" spans="1:17" ht="7.5" customHeight="1"/>
    <row r="5" spans="1:17" ht="31.5" customHeight="1">
      <c r="A5" s="33" t="s">
        <v>22</v>
      </c>
      <c r="F5" s="34" t="s">
        <v>23</v>
      </c>
      <c r="H5" s="35" t="s">
        <v>24</v>
      </c>
      <c r="I5" s="36"/>
      <c r="J5" s="1221" t="s">
        <v>25</v>
      </c>
      <c r="K5" s="1217"/>
      <c r="M5" s="3" t="s">
        <v>26</v>
      </c>
      <c r="O5" s="37" t="s">
        <v>27</v>
      </c>
    </row>
    <row r="6" spans="1:17" ht="6.75" customHeight="1"/>
    <row r="7" spans="1:17" ht="15">
      <c r="B7" s="5" t="s">
        <v>6</v>
      </c>
      <c r="F7" s="38" t="str">
        <f>IF('Input (1)'!$E$4=0,"0",'Input (1)'!$E$4)</f>
        <v>0</v>
      </c>
      <c r="G7" s="39"/>
      <c r="J7" s="1222" t="str">
        <f>IF('Input (1)'!$E$4=0,"0",'Input (1)'!$E$4)</f>
        <v>0</v>
      </c>
      <c r="K7" s="1222"/>
      <c r="L7" s="40" t="s">
        <v>28</v>
      </c>
      <c r="M7" s="41">
        <f>IF('Input (1)'!E4=0,0,LOOKUP(J7,'criteria (1)'!$A$3:$A$10,'criteria (1)'!$B$3:$B$10))</f>
        <v>0</v>
      </c>
      <c r="N7" s="42" t="s">
        <v>29</v>
      </c>
      <c r="O7" s="38">
        <f>IF(Q7=0,0,IF(Q7&lt;LOOKUP(J7,'criteria (1)'!$A$3:$A$10,'criteria (1)'!$C$3:$C$10),LOOKUP(J7,'criteria (1)'!$A$3:$A$10,'criteria (1)'!$C$3:$C$10),IF(LOOKUP(J7,'criteria (1)'!$A$3:$A$10,'criteria (1)'!$C$3:$C$10)=0,0,Q7)))</f>
        <v>0</v>
      </c>
      <c r="P7" s="28" t="str">
        <f>IF('Input (1)'!E4=0," ",IF(O7=0,"ADD to 1-6",IF(O7=Q7," ","Minimum")))</f>
        <v xml:space="preserve"> </v>
      </c>
      <c r="Q7" s="32">
        <f>ROUND(IF('Input (1)'!E4=0,0,IF(M7=0,0,(J7/M7))),2)</f>
        <v>0</v>
      </c>
    </row>
    <row r="8" spans="1:17" ht="6.75" customHeight="1">
      <c r="J8" s="43"/>
      <c r="K8" s="43"/>
      <c r="O8" s="43"/>
    </row>
    <row r="9" spans="1:17">
      <c r="B9" s="5" t="s">
        <v>7</v>
      </c>
      <c r="J9" s="43"/>
      <c r="K9" s="43"/>
      <c r="O9" s="43"/>
    </row>
    <row r="10" spans="1:17">
      <c r="B10" s="28" t="s">
        <v>30</v>
      </c>
      <c r="J10" s="43"/>
      <c r="K10" s="43"/>
      <c r="O10" s="43"/>
    </row>
    <row r="11" spans="1:17" ht="16.5" customHeight="1">
      <c r="C11" s="12" t="s">
        <v>8</v>
      </c>
      <c r="F11" s="41" t="str">
        <f>IF(J11=0," ",IF($J$16&gt;300," ",'Input (1)'!E7))</f>
        <v xml:space="preserve"> </v>
      </c>
      <c r="G11" s="44" t="s">
        <v>31</v>
      </c>
      <c r="H11" s="38" t="str">
        <f>IF(J11=0," ",'C (1)'!H25)</f>
        <v xml:space="preserve"> </v>
      </c>
      <c r="I11" s="42" t="s">
        <v>29</v>
      </c>
      <c r="J11" s="1222">
        <f>IF('Input (1)'!E7=0,0,IF(SUM('Input (1)'!E7-'C (1)'!H25)+SUM('Input (1)'!E8-'C (1)'!H26)&gt;299.99,SUM('Input (1)'!E7-'C (1)'!H25),0))</f>
        <v>0</v>
      </c>
      <c r="K11" s="1222"/>
      <c r="L11" s="40" t="s">
        <v>28</v>
      </c>
      <c r="M11" s="41">
        <f>IF(SUM('Input (1)'!$E$7-'C (1)'!$H$25)+SUM('Input (1)'!$E$8-'C (1)'!$H$26)&gt;299.99,20,0)</f>
        <v>0</v>
      </c>
      <c r="N11" s="42" t="s">
        <v>29</v>
      </c>
      <c r="O11" s="38">
        <f>ROUND(IF(SUM('Input (1)'!$E$7-'C (1)'!$H$25)+SUM('Input (1)'!$E$8-'C (1)'!$H$26)&lt;299.99,0,IF(Q11+Q13&lt;15,0,(J11/M11))),2)</f>
        <v>0</v>
      </c>
      <c r="P11" s="2" t="str">
        <f>IF(O11=0," ",IF(O11=Q11," ","Minimum"))</f>
        <v xml:space="preserve"> </v>
      </c>
      <c r="Q11" s="32">
        <f>ROUND(IF(SUM('Input (1)'!$E$7-'C (1)'!$H$25)+SUM('Input (1)'!$E$8-'C (1)'!$H$26)&lt;299.99,0,(J11/M11)),2)</f>
        <v>0</v>
      </c>
    </row>
    <row r="12" spans="1:17" ht="9" customHeight="1">
      <c r="B12" s="12"/>
      <c r="J12" s="43"/>
      <c r="K12" s="43"/>
      <c r="O12" s="43"/>
    </row>
    <row r="13" spans="1:17" ht="15">
      <c r="C13" s="12" t="s">
        <v>9</v>
      </c>
      <c r="F13" s="41" t="str">
        <f>IF(J13=0," ",IF($J$16&gt;300," ",'Input (1)'!E8))</f>
        <v xml:space="preserve"> </v>
      </c>
      <c r="G13" s="44" t="s">
        <v>31</v>
      </c>
      <c r="H13" s="38" t="str">
        <f>IF(J13=0," ",'C (1)'!H26)</f>
        <v xml:space="preserve"> </v>
      </c>
      <c r="I13" s="42" t="s">
        <v>29</v>
      </c>
      <c r="J13" s="1222">
        <f>IF('Input (1)'!E8=0,0,IF(SUM('Input (1)'!E7-'C (1)'!H25)+SUM('Input (1)'!E8-'C (1)'!H26)&gt;299.99,SUM('Input (1)'!E8-'C (1)'!H26),0))</f>
        <v>0</v>
      </c>
      <c r="K13" s="1222"/>
      <c r="L13" s="40" t="s">
        <v>28</v>
      </c>
      <c r="M13" s="41">
        <f>IF(SUM('Input (1)'!$E$7-'C (1)'!$H$25)+SUM('Input (1)'!$E$8-'C (1)'!$H$26)&gt;299.99,23,0)</f>
        <v>0</v>
      </c>
      <c r="N13" s="42" t="s">
        <v>29</v>
      </c>
      <c r="O13" s="38">
        <f>ROUND(IF(SUM('Input (1)'!$E$7-'C (1)'!$H$25)+SUM('Input (1)'!$E$8-'C (1)'!$H$26)&lt;299.99,0,IF(Q11+Q13&lt;15,0,($J$13/$M$13))),2)</f>
        <v>0</v>
      </c>
      <c r="P13" s="2" t="str">
        <f>IF(O13=0," ",IF(O13=Q13," ","Minimum"))</f>
        <v xml:space="preserve"> </v>
      </c>
      <c r="Q13" s="32">
        <f>ROUND(IF(SUM('Input (1)'!$E$7-'C (1)'!$H$25)+SUM('Input (1)'!$E$8-'C (1)'!$H$26)&lt;299.99,0,($J$13/$M$13)),2)</f>
        <v>0</v>
      </c>
    </row>
    <row r="14" spans="1:17" ht="17.25" customHeight="1">
      <c r="B14" s="5" t="s">
        <v>7</v>
      </c>
      <c r="F14" s="36"/>
      <c r="G14" s="44"/>
      <c r="H14" s="39"/>
      <c r="I14" s="42"/>
      <c r="J14" s="39"/>
      <c r="K14" s="39"/>
      <c r="M14" s="36"/>
      <c r="N14" s="42"/>
      <c r="O14" s="39"/>
    </row>
    <row r="15" spans="1:17">
      <c r="B15" s="28" t="s">
        <v>32</v>
      </c>
      <c r="O15" s="39" t="str">
        <f>IF(P15="Minimum",15," ")</f>
        <v xml:space="preserve"> </v>
      </c>
      <c r="P15" s="2" t="str">
        <f>IF(Q11+Q13=0," ",IF(Q11+Q13&lt;15,"Minimum"," "))</f>
        <v xml:space="preserve"> </v>
      </c>
    </row>
    <row r="16" spans="1:17" ht="15">
      <c r="C16" s="12" t="s">
        <v>33</v>
      </c>
      <c r="F16" s="41">
        <f>IF(J16=0," ",IF(J16&lt;300,SUM('Input (1)'!E7+'Input (1)'!E8)," "))</f>
        <v>73.149999999999991</v>
      </c>
      <c r="G16" s="44" t="s">
        <v>31</v>
      </c>
      <c r="H16" s="38">
        <f>IF(J16=0," ",'C (1)'!H22)</f>
        <v>4.62</v>
      </c>
      <c r="I16" s="42" t="s">
        <v>29</v>
      </c>
      <c r="J16" s="1222">
        <f>IF('Input (1)'!E9=0,0,IF(SUM('Input (1)'!E7-'C (1)'!H25)+SUM('Input (1)'!E8-'C (1)'!H26)&lt;300,IF(P7="ADD to 1-6",SUM('Input (1)'!E7-'C (1)'!H25)+SUM('Input (1)'!E8-'C (1)'!H26)+'Input (1)'!E4,SUM('Input (1)'!E7-'C (1)'!H25)+SUM('Input (1)'!E8-'C (1)'!H26)),0))</f>
        <v>68.529999999999987</v>
      </c>
      <c r="K16" s="1222"/>
      <c r="L16" s="40" t="s">
        <v>28</v>
      </c>
      <c r="M16" s="41">
        <f>IF(J16=0,0,LOOKUP(J16,'criteria (1)'!$M$3:$M$11,'criteria (1)'!$N$3:$N$11))</f>
        <v>15</v>
      </c>
      <c r="N16" s="42" t="s">
        <v>29</v>
      </c>
      <c r="O16" s="38">
        <f>IF(Q16=0,0,IF(Q16&lt;LOOKUP(J16,'criteria (1)'!$M$3:$M$10,'criteria (1)'!$O$3:$O$10),LOOKUP(J16,'criteria (1)'!$M$3:$M$10,'criteria (1)'!$O$3:$O$10),Q16))</f>
        <v>4.57</v>
      </c>
      <c r="P16" s="2" t="str">
        <f>IF(O16=0," ",IF(O16=Q16," ","Minimum"))</f>
        <v xml:space="preserve"> </v>
      </c>
      <c r="Q16" s="32">
        <f>ROUND(IF('Input (1)'!E9=0,0,IF(SUM('Input (1)'!$E$7-'C (1)'!$H$25)+SUM('Input (1)'!$E$8-'C (1)'!$H$26)&gt;299.99,0,(J16/M16))),2)</f>
        <v>4.57</v>
      </c>
    </row>
    <row r="17" spans="1:17" ht="6" customHeight="1">
      <c r="J17" s="43"/>
      <c r="K17" s="43"/>
      <c r="O17" s="43"/>
    </row>
    <row r="18" spans="1:17" ht="15">
      <c r="B18" s="5" t="s">
        <v>10</v>
      </c>
      <c r="F18" s="41">
        <f>IF(J18=0," ",'Input (1)'!E10)</f>
        <v>74.099999999999994</v>
      </c>
      <c r="G18" s="44" t="s">
        <v>31</v>
      </c>
      <c r="H18" s="38">
        <f>IF('C (1)'!$H$43=0," ",'C (1)'!$H$43)</f>
        <v>4.29</v>
      </c>
      <c r="I18" s="42" t="s">
        <v>29</v>
      </c>
      <c r="J18" s="1222">
        <f>IF('Input (1)'!E10=0,0,SUM('Input (1)'!E10-'C (1)'!H43))</f>
        <v>69.809999999999988</v>
      </c>
      <c r="K18" s="1222"/>
      <c r="L18" s="40" t="s">
        <v>28</v>
      </c>
      <c r="M18" s="41">
        <f>IF('Input (1)'!C10=0,0,IF(J18&gt;99.99,LOOKUP(J18,'criteria (1)'!Q3:Q10,'criteria (1)'!R3:R10),12))</f>
        <v>12</v>
      </c>
      <c r="N18" s="42" t="s">
        <v>29</v>
      </c>
      <c r="O18" s="38">
        <f>ROUND(IF(J18=0,0,IF(J18&lt;99.99,IF(M18=0,8,(J18/M18)),IF(Q18&lt;LOOKUP(J18,'criteria (1)'!$Q$3:$Q$10,'criteria (1)'!$S$3:$S$10),LOOKUP(J18,'criteria (1)'!$Q$3:$Q$10,'criteria (1)'!$S$3:$S$10),Q18))),2)</f>
        <v>5.82</v>
      </c>
      <c r="P18" s="2" t="str">
        <f>IF(O18=0," ",IF(O18=Q18," ","Minimum"))</f>
        <v xml:space="preserve"> </v>
      </c>
      <c r="Q18" s="32">
        <f>ROUND(IF(M18=0,0,(J18/M18)),2)</f>
        <v>5.82</v>
      </c>
    </row>
    <row r="19" spans="1:17" ht="9" customHeight="1">
      <c r="B19" s="5"/>
      <c r="F19" s="36"/>
      <c r="G19" s="44"/>
      <c r="H19" s="39"/>
      <c r="I19" s="42"/>
      <c r="J19" s="39"/>
      <c r="K19" s="39"/>
      <c r="M19" s="36"/>
      <c r="N19" s="42"/>
      <c r="O19" s="36"/>
    </row>
    <row r="20" spans="1:17" ht="15">
      <c r="A20" s="45" t="s">
        <v>34</v>
      </c>
      <c r="J20" s="43"/>
      <c r="K20" s="43"/>
    </row>
    <row r="21" spans="1:17" ht="3.75" customHeight="1">
      <c r="J21" s="43"/>
      <c r="K21" s="43"/>
    </row>
    <row r="22" spans="1:17">
      <c r="B22" s="2" t="s">
        <v>35</v>
      </c>
      <c r="J22" s="1222" t="str">
        <f>IF('C (1)'!H55=0," ",'C (1)'!H55)</f>
        <v xml:space="preserve"> </v>
      </c>
      <c r="K22" s="1222"/>
    </row>
    <row r="23" spans="1:17" ht="9" customHeight="1">
      <c r="J23" s="43"/>
      <c r="K23" s="43"/>
    </row>
    <row r="24" spans="1:17">
      <c r="B24" s="2" t="s">
        <v>36</v>
      </c>
      <c r="J24" s="1222">
        <f>IF('C (1)'!H22=0," ",'C (1)'!H22)</f>
        <v>4.62</v>
      </c>
      <c r="K24" s="1222"/>
    </row>
    <row r="25" spans="1:17" ht="9" customHeight="1">
      <c r="J25" s="43"/>
      <c r="K25" s="43"/>
    </row>
    <row r="26" spans="1:17">
      <c r="B26" s="2" t="s">
        <v>37</v>
      </c>
      <c r="J26" s="1222">
        <f>IF('C (1)'!$H$43=0," ",'C (1)'!$H$43)</f>
        <v>4.29</v>
      </c>
      <c r="K26" s="1222"/>
    </row>
    <row r="27" spans="1:17" ht="8.25" customHeight="1">
      <c r="J27" s="43"/>
      <c r="K27" s="43"/>
    </row>
    <row r="28" spans="1:17" ht="6" customHeight="1">
      <c r="J28" s="39"/>
      <c r="K28" s="39"/>
    </row>
    <row r="29" spans="1:17" ht="15.6" thickBot="1">
      <c r="B29" s="46" t="s">
        <v>38</v>
      </c>
      <c r="J29" s="1219">
        <f>SUM(J22:K27)</f>
        <v>8.91</v>
      </c>
      <c r="K29" s="1219"/>
      <c r="L29" s="40" t="s">
        <v>28</v>
      </c>
      <c r="M29" s="41">
        <f>IF(SUM('Input (1)'!C4:C10)=0,0,IF(J29&gt;=14,LOOKUP(J29,'criteria (1)'!$U$3:$U$10,'criteria (1)'!$V$3:$V$10),0))</f>
        <v>0</v>
      </c>
      <c r="N29" s="42" t="s">
        <v>29</v>
      </c>
      <c r="O29" s="38">
        <f>IF(J29=0,0,IF(Q29&lt;LOOKUP(J29,'criteria (1)'!$U$3:$U$10,'criteria (1)'!$W$3:$W$10),LOOKUP(J29,'criteria (1)'!$U$3:$U$10,'criteria (1)'!$W$3:$W$10),Q29))</f>
        <v>0.75</v>
      </c>
      <c r="P29" s="2" t="str">
        <f>IF(O29=0," ",IF(O29=Q29," ","Minimum"))</f>
        <v>Minimum</v>
      </c>
      <c r="Q29" s="32">
        <f>ROUND(IF(SUM('Input (1)'!C4:C10)=0,0,IF(M29=0,0,(J29/M29))),2)</f>
        <v>0</v>
      </c>
    </row>
    <row r="30" spans="1:17" ht="21" customHeight="1" thickTop="1">
      <c r="B30" s="47"/>
      <c r="C30" s="47"/>
      <c r="D30" s="47"/>
      <c r="E30" s="47"/>
      <c r="F30" s="47"/>
      <c r="G30" s="47"/>
      <c r="H30" s="47"/>
      <c r="J30" s="12"/>
      <c r="N30" s="42"/>
      <c r="O30" s="36"/>
      <c r="P30" s="46"/>
    </row>
    <row r="31" spans="1:17" ht="19.5" customHeight="1">
      <c r="A31" s="48" t="s">
        <v>39</v>
      </c>
    </row>
    <row r="32" spans="1:17" ht="15">
      <c r="B32" s="1223" t="str">
        <f>IF('Input (1)'!E14=0," ","Alternative Secondary High School")</f>
        <v xml:space="preserve"> </v>
      </c>
      <c r="C32" s="1223"/>
      <c r="D32" s="1223"/>
      <c r="E32" s="1223"/>
      <c r="F32" s="1223"/>
      <c r="G32" s="1223"/>
      <c r="J32" s="1222">
        <f>'Input (1)'!E14</f>
        <v>0</v>
      </c>
      <c r="K32" s="1222"/>
      <c r="L32" s="40" t="s">
        <v>28</v>
      </c>
      <c r="M32" s="41">
        <f>IF(J32=0,0,IF(Q32&lt;1,M18,12))</f>
        <v>0</v>
      </c>
      <c r="N32" s="42" t="s">
        <v>29</v>
      </c>
      <c r="O32" s="38">
        <f>ROUND(IF(J32=0,0,J32/M32),2)</f>
        <v>0</v>
      </c>
      <c r="P32" s="45"/>
      <c r="Q32" s="32">
        <f>ROUND(IF(J32=0,0,J32/12),2)</f>
        <v>0</v>
      </c>
    </row>
    <row r="33" spans="1:17" ht="11.25" customHeight="1">
      <c r="J33" s="43"/>
      <c r="K33" s="43"/>
      <c r="O33" s="43"/>
    </row>
    <row r="34" spans="1:17" ht="11.25" customHeight="1">
      <c r="B34" s="1223" t="str">
        <f>IF('Input (1)'!E15=0," ","Summer Alternative Secondary High School")</f>
        <v xml:space="preserve"> </v>
      </c>
      <c r="C34" s="1223"/>
      <c r="D34" s="1223"/>
      <c r="E34" s="1223"/>
      <c r="F34" s="1223"/>
      <c r="G34" s="1223"/>
      <c r="J34" s="1222">
        <f>'Input (1)'!E15</f>
        <v>0</v>
      </c>
      <c r="K34" s="1222"/>
      <c r="L34" s="40" t="s">
        <v>28</v>
      </c>
      <c r="M34" s="41">
        <f>IF(J34=0,0,40)</f>
        <v>0</v>
      </c>
      <c r="N34" s="42" t="s">
        <v>29</v>
      </c>
      <c r="O34" s="38">
        <f>ROUND(IF(J34=0,0,J34/M34),2)</f>
        <v>0</v>
      </c>
      <c r="P34" s="45"/>
      <c r="Q34" s="32">
        <f>ROUND(IF(J34=0,0,J34/12),2)</f>
        <v>0</v>
      </c>
    </row>
    <row r="35" spans="1:17" ht="13.5" customHeight="1">
      <c r="J35" s="36"/>
      <c r="K35" s="36"/>
      <c r="L35" s="40"/>
      <c r="M35" s="36"/>
      <c r="N35" s="42"/>
      <c r="O35" s="36"/>
      <c r="P35" s="46"/>
    </row>
    <row r="36" spans="1:17" ht="18.75" customHeight="1" thickBot="1">
      <c r="A36" s="45"/>
      <c r="B36" s="12" t="s">
        <v>40</v>
      </c>
      <c r="C36" s="46"/>
      <c r="D36" s="46"/>
      <c r="E36" s="46"/>
      <c r="F36" s="46"/>
      <c r="G36" s="46"/>
      <c r="H36" s="46"/>
      <c r="I36" s="46"/>
      <c r="J36" s="46"/>
      <c r="K36" s="46"/>
      <c r="M36" s="36" t="s">
        <v>29</v>
      </c>
      <c r="N36" s="1224">
        <f>ROUND(IF(SUM(O7:O34)=0,0,SUM(O7:O34)),2)</f>
        <v>11.14</v>
      </c>
      <c r="O36" s="1224"/>
    </row>
    <row r="37" spans="1:17" ht="13.8" thickTop="1"/>
  </sheetData>
  <sheetProtection password="CC16" sheet="1" objects="1" scenarios="1"/>
  <mergeCells count="17">
    <mergeCell ref="B32:G32"/>
    <mergeCell ref="J32:K32"/>
    <mergeCell ref="B34:G34"/>
    <mergeCell ref="J34:K34"/>
    <mergeCell ref="N36:O36"/>
    <mergeCell ref="J29:K29"/>
    <mergeCell ref="A2:O2"/>
    <mergeCell ref="A3:O3"/>
    <mergeCell ref="J5:K5"/>
    <mergeCell ref="J7:K7"/>
    <mergeCell ref="J11:K11"/>
    <mergeCell ref="J13:K13"/>
    <mergeCell ref="J16:K16"/>
    <mergeCell ref="J18:K18"/>
    <mergeCell ref="J22:K22"/>
    <mergeCell ref="J24:K24"/>
    <mergeCell ref="J26:K26"/>
  </mergeCells>
  <pageMargins left="0.5" right="0.5" top="0.5" bottom="0.5" header="0.25" footer="0.25"/>
  <pageSetup scale="81" orientation="portrait" r:id="rId1"/>
  <headerFooter alignWithMargins="0">
    <oddFooter>&amp;L&amp;F</oddFooter>
  </headerFooter>
  <colBreaks count="1" manualBreakCount="1">
    <brk id="16" max="1048575"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61"/>
  <dimension ref="A1:AB12"/>
  <sheetViews>
    <sheetView workbookViewId="0">
      <selection activeCell="C4" sqref="C4"/>
    </sheetView>
  </sheetViews>
  <sheetFormatPr defaultRowHeight="13.2"/>
  <cols>
    <col min="1" max="1" width="4.5546875" style="2" customWidth="1"/>
    <col min="2" max="3" width="6.77734375" style="2" customWidth="1"/>
    <col min="4" max="4" width="3.21875" style="2" customWidth="1"/>
    <col min="5" max="5" width="4.21875" style="2" customWidth="1"/>
    <col min="6" max="6" width="5.44140625" style="2" customWidth="1"/>
    <col min="7" max="7" width="7.77734375" style="2" customWidth="1"/>
    <col min="8" max="8" width="5.21875" style="2" customWidth="1"/>
    <col min="9" max="9" width="7" style="2" customWidth="1"/>
    <col min="10" max="10" width="5.21875" style="2" customWidth="1"/>
    <col min="11" max="11" width="7" style="2" customWidth="1"/>
    <col min="12" max="12" width="4.21875" style="2" customWidth="1"/>
    <col min="13" max="13" width="6.77734375" style="2" customWidth="1"/>
    <col min="14" max="14" width="5.44140625" style="2" customWidth="1"/>
    <col min="15" max="15" width="7" style="2" customWidth="1"/>
    <col min="16" max="16" width="5.21875" style="2" customWidth="1"/>
    <col min="17" max="17" width="4.77734375" style="2" customWidth="1"/>
    <col min="18" max="18" width="5.77734375" style="2" customWidth="1"/>
    <col min="19" max="19" width="7.44140625" style="2" customWidth="1"/>
    <col min="20" max="20" width="4" style="2" customWidth="1"/>
    <col min="21" max="21" width="6.44140625" style="2" customWidth="1"/>
    <col min="22" max="22" width="5.77734375" style="2" customWidth="1"/>
    <col min="23" max="23" width="6.77734375" style="2" customWidth="1"/>
    <col min="24" max="24" width="4.21875" style="2" customWidth="1"/>
    <col min="25" max="25" width="7.21875" style="2" customWidth="1"/>
    <col min="26" max="256" width="8.77734375" style="2"/>
    <col min="257" max="257" width="4.5546875" style="2" customWidth="1"/>
    <col min="258" max="259" width="6.77734375" style="2" customWidth="1"/>
    <col min="260" max="260" width="3.21875" style="2" customWidth="1"/>
    <col min="261" max="261" width="4.21875" style="2" customWidth="1"/>
    <col min="262" max="262" width="5.44140625" style="2" customWidth="1"/>
    <col min="263" max="263" width="7.77734375" style="2" customWidth="1"/>
    <col min="264" max="264" width="5.21875" style="2" customWidth="1"/>
    <col min="265" max="265" width="7" style="2" customWidth="1"/>
    <col min="266" max="266" width="5.21875" style="2" customWidth="1"/>
    <col min="267" max="267" width="7" style="2" customWidth="1"/>
    <col min="268" max="268" width="4.21875" style="2" customWidth="1"/>
    <col min="269" max="269" width="6.77734375" style="2" customWidth="1"/>
    <col min="270" max="270" width="5.44140625" style="2" customWidth="1"/>
    <col min="271" max="271" width="7" style="2" customWidth="1"/>
    <col min="272" max="272" width="5.21875" style="2" customWidth="1"/>
    <col min="273" max="273" width="4.77734375" style="2" customWidth="1"/>
    <col min="274" max="274" width="5.77734375" style="2" customWidth="1"/>
    <col min="275" max="275" width="7.44140625" style="2" customWidth="1"/>
    <col min="276" max="276" width="4" style="2" customWidth="1"/>
    <col min="277" max="277" width="6.44140625" style="2" customWidth="1"/>
    <col min="278" max="278" width="5.77734375" style="2" customWidth="1"/>
    <col min="279" max="279" width="6.77734375" style="2" customWidth="1"/>
    <col min="280" max="280" width="4.21875" style="2" customWidth="1"/>
    <col min="281" max="281" width="7.21875" style="2" customWidth="1"/>
    <col min="282" max="512" width="8.77734375" style="2"/>
    <col min="513" max="513" width="4.5546875" style="2" customWidth="1"/>
    <col min="514" max="515" width="6.77734375" style="2" customWidth="1"/>
    <col min="516" max="516" width="3.21875" style="2" customWidth="1"/>
    <col min="517" max="517" width="4.21875" style="2" customWidth="1"/>
    <col min="518" max="518" width="5.44140625" style="2" customWidth="1"/>
    <col min="519" max="519" width="7.77734375" style="2" customWidth="1"/>
    <col min="520" max="520" width="5.21875" style="2" customWidth="1"/>
    <col min="521" max="521" width="7" style="2" customWidth="1"/>
    <col min="522" max="522" width="5.21875" style="2" customWidth="1"/>
    <col min="523" max="523" width="7" style="2" customWidth="1"/>
    <col min="524" max="524" width="4.21875" style="2" customWidth="1"/>
    <col min="525" max="525" width="6.77734375" style="2" customWidth="1"/>
    <col min="526" max="526" width="5.44140625" style="2" customWidth="1"/>
    <col min="527" max="527" width="7" style="2" customWidth="1"/>
    <col min="528" max="528" width="5.21875" style="2" customWidth="1"/>
    <col min="529" max="529" width="4.77734375" style="2" customWidth="1"/>
    <col min="530" max="530" width="5.77734375" style="2" customWidth="1"/>
    <col min="531" max="531" width="7.44140625" style="2" customWidth="1"/>
    <col min="532" max="532" width="4" style="2" customWidth="1"/>
    <col min="533" max="533" width="6.44140625" style="2" customWidth="1"/>
    <col min="534" max="534" width="5.77734375" style="2" customWidth="1"/>
    <col min="535" max="535" width="6.77734375" style="2" customWidth="1"/>
    <col min="536" max="536" width="4.21875" style="2" customWidth="1"/>
    <col min="537" max="537" width="7.21875" style="2" customWidth="1"/>
    <col min="538" max="768" width="8.77734375" style="2"/>
    <col min="769" max="769" width="4.5546875" style="2" customWidth="1"/>
    <col min="770" max="771" width="6.77734375" style="2" customWidth="1"/>
    <col min="772" max="772" width="3.21875" style="2" customWidth="1"/>
    <col min="773" max="773" width="4.21875" style="2" customWidth="1"/>
    <col min="774" max="774" width="5.44140625" style="2" customWidth="1"/>
    <col min="775" max="775" width="7.77734375" style="2" customWidth="1"/>
    <col min="776" max="776" width="5.21875" style="2" customWidth="1"/>
    <col min="777" max="777" width="7" style="2" customWidth="1"/>
    <col min="778" max="778" width="5.21875" style="2" customWidth="1"/>
    <col min="779" max="779" width="7" style="2" customWidth="1"/>
    <col min="780" max="780" width="4.21875" style="2" customWidth="1"/>
    <col min="781" max="781" width="6.77734375" style="2" customWidth="1"/>
    <col min="782" max="782" width="5.44140625" style="2" customWidth="1"/>
    <col min="783" max="783" width="7" style="2" customWidth="1"/>
    <col min="784" max="784" width="5.21875" style="2" customWidth="1"/>
    <col min="785" max="785" width="4.77734375" style="2" customWidth="1"/>
    <col min="786" max="786" width="5.77734375" style="2" customWidth="1"/>
    <col min="787" max="787" width="7.44140625" style="2" customWidth="1"/>
    <col min="788" max="788" width="4" style="2" customWidth="1"/>
    <col min="789" max="789" width="6.44140625" style="2" customWidth="1"/>
    <col min="790" max="790" width="5.77734375" style="2" customWidth="1"/>
    <col min="791" max="791" width="6.77734375" style="2" customWidth="1"/>
    <col min="792" max="792" width="4.21875" style="2" customWidth="1"/>
    <col min="793" max="793" width="7.21875" style="2" customWidth="1"/>
    <col min="794" max="1024" width="8.77734375" style="2"/>
    <col min="1025" max="1025" width="4.5546875" style="2" customWidth="1"/>
    <col min="1026" max="1027" width="6.77734375" style="2" customWidth="1"/>
    <col min="1028" max="1028" width="3.21875" style="2" customWidth="1"/>
    <col min="1029" max="1029" width="4.21875" style="2" customWidth="1"/>
    <col min="1030" max="1030" width="5.44140625" style="2" customWidth="1"/>
    <col min="1031" max="1031" width="7.77734375" style="2" customWidth="1"/>
    <col min="1032" max="1032" width="5.21875" style="2" customWidth="1"/>
    <col min="1033" max="1033" width="7" style="2" customWidth="1"/>
    <col min="1034" max="1034" width="5.21875" style="2" customWidth="1"/>
    <col min="1035" max="1035" width="7" style="2" customWidth="1"/>
    <col min="1036" max="1036" width="4.21875" style="2" customWidth="1"/>
    <col min="1037" max="1037" width="6.77734375" style="2" customWidth="1"/>
    <col min="1038" max="1038" width="5.44140625" style="2" customWidth="1"/>
    <col min="1039" max="1039" width="7" style="2" customWidth="1"/>
    <col min="1040" max="1040" width="5.21875" style="2" customWidth="1"/>
    <col min="1041" max="1041" width="4.77734375" style="2" customWidth="1"/>
    <col min="1042" max="1042" width="5.77734375" style="2" customWidth="1"/>
    <col min="1043" max="1043" width="7.44140625" style="2" customWidth="1"/>
    <col min="1044" max="1044" width="4" style="2" customWidth="1"/>
    <col min="1045" max="1045" width="6.44140625" style="2" customWidth="1"/>
    <col min="1046" max="1046" width="5.77734375" style="2" customWidth="1"/>
    <col min="1047" max="1047" width="6.77734375" style="2" customWidth="1"/>
    <col min="1048" max="1048" width="4.21875" style="2" customWidth="1"/>
    <col min="1049" max="1049" width="7.21875" style="2" customWidth="1"/>
    <col min="1050" max="1280" width="8.77734375" style="2"/>
    <col min="1281" max="1281" width="4.5546875" style="2" customWidth="1"/>
    <col min="1282" max="1283" width="6.77734375" style="2" customWidth="1"/>
    <col min="1284" max="1284" width="3.21875" style="2" customWidth="1"/>
    <col min="1285" max="1285" width="4.21875" style="2" customWidth="1"/>
    <col min="1286" max="1286" width="5.44140625" style="2" customWidth="1"/>
    <col min="1287" max="1287" width="7.77734375" style="2" customWidth="1"/>
    <col min="1288" max="1288" width="5.21875" style="2" customWidth="1"/>
    <col min="1289" max="1289" width="7" style="2" customWidth="1"/>
    <col min="1290" max="1290" width="5.21875" style="2" customWidth="1"/>
    <col min="1291" max="1291" width="7" style="2" customWidth="1"/>
    <col min="1292" max="1292" width="4.21875" style="2" customWidth="1"/>
    <col min="1293" max="1293" width="6.77734375" style="2" customWidth="1"/>
    <col min="1294" max="1294" width="5.44140625" style="2" customWidth="1"/>
    <col min="1295" max="1295" width="7" style="2" customWidth="1"/>
    <col min="1296" max="1296" width="5.21875" style="2" customWidth="1"/>
    <col min="1297" max="1297" width="4.77734375" style="2" customWidth="1"/>
    <col min="1298" max="1298" width="5.77734375" style="2" customWidth="1"/>
    <col min="1299" max="1299" width="7.44140625" style="2" customWidth="1"/>
    <col min="1300" max="1300" width="4" style="2" customWidth="1"/>
    <col min="1301" max="1301" width="6.44140625" style="2" customWidth="1"/>
    <col min="1302" max="1302" width="5.77734375" style="2" customWidth="1"/>
    <col min="1303" max="1303" width="6.77734375" style="2" customWidth="1"/>
    <col min="1304" max="1304" width="4.21875" style="2" customWidth="1"/>
    <col min="1305" max="1305" width="7.21875" style="2" customWidth="1"/>
    <col min="1306" max="1536" width="8.77734375" style="2"/>
    <col min="1537" max="1537" width="4.5546875" style="2" customWidth="1"/>
    <col min="1538" max="1539" width="6.77734375" style="2" customWidth="1"/>
    <col min="1540" max="1540" width="3.21875" style="2" customWidth="1"/>
    <col min="1541" max="1541" width="4.21875" style="2" customWidth="1"/>
    <col min="1542" max="1542" width="5.44140625" style="2" customWidth="1"/>
    <col min="1543" max="1543" width="7.77734375" style="2" customWidth="1"/>
    <col min="1544" max="1544" width="5.21875" style="2" customWidth="1"/>
    <col min="1545" max="1545" width="7" style="2" customWidth="1"/>
    <col min="1546" max="1546" width="5.21875" style="2" customWidth="1"/>
    <col min="1547" max="1547" width="7" style="2" customWidth="1"/>
    <col min="1548" max="1548" width="4.21875" style="2" customWidth="1"/>
    <col min="1549" max="1549" width="6.77734375" style="2" customWidth="1"/>
    <col min="1550" max="1550" width="5.44140625" style="2" customWidth="1"/>
    <col min="1551" max="1551" width="7" style="2" customWidth="1"/>
    <col min="1552" max="1552" width="5.21875" style="2" customWidth="1"/>
    <col min="1553" max="1553" width="4.77734375" style="2" customWidth="1"/>
    <col min="1554" max="1554" width="5.77734375" style="2" customWidth="1"/>
    <col min="1555" max="1555" width="7.44140625" style="2" customWidth="1"/>
    <col min="1556" max="1556" width="4" style="2" customWidth="1"/>
    <col min="1557" max="1557" width="6.44140625" style="2" customWidth="1"/>
    <col min="1558" max="1558" width="5.77734375" style="2" customWidth="1"/>
    <col min="1559" max="1559" width="6.77734375" style="2" customWidth="1"/>
    <col min="1560" max="1560" width="4.21875" style="2" customWidth="1"/>
    <col min="1561" max="1561" width="7.21875" style="2" customWidth="1"/>
    <col min="1562" max="1792" width="8.77734375" style="2"/>
    <col min="1793" max="1793" width="4.5546875" style="2" customWidth="1"/>
    <col min="1794" max="1795" width="6.77734375" style="2" customWidth="1"/>
    <col min="1796" max="1796" width="3.21875" style="2" customWidth="1"/>
    <col min="1797" max="1797" width="4.21875" style="2" customWidth="1"/>
    <col min="1798" max="1798" width="5.44140625" style="2" customWidth="1"/>
    <col min="1799" max="1799" width="7.77734375" style="2" customWidth="1"/>
    <col min="1800" max="1800" width="5.21875" style="2" customWidth="1"/>
    <col min="1801" max="1801" width="7" style="2" customWidth="1"/>
    <col min="1802" max="1802" width="5.21875" style="2" customWidth="1"/>
    <col min="1803" max="1803" width="7" style="2" customWidth="1"/>
    <col min="1804" max="1804" width="4.21875" style="2" customWidth="1"/>
    <col min="1805" max="1805" width="6.77734375" style="2" customWidth="1"/>
    <col min="1806" max="1806" width="5.44140625" style="2" customWidth="1"/>
    <col min="1807" max="1807" width="7" style="2" customWidth="1"/>
    <col min="1808" max="1808" width="5.21875" style="2" customWidth="1"/>
    <col min="1809" max="1809" width="4.77734375" style="2" customWidth="1"/>
    <col min="1810" max="1810" width="5.77734375" style="2" customWidth="1"/>
    <col min="1811" max="1811" width="7.44140625" style="2" customWidth="1"/>
    <col min="1812" max="1812" width="4" style="2" customWidth="1"/>
    <col min="1813" max="1813" width="6.44140625" style="2" customWidth="1"/>
    <col min="1814" max="1814" width="5.77734375" style="2" customWidth="1"/>
    <col min="1815" max="1815" width="6.77734375" style="2" customWidth="1"/>
    <col min="1816" max="1816" width="4.21875" style="2" customWidth="1"/>
    <col min="1817" max="1817" width="7.21875" style="2" customWidth="1"/>
    <col min="1818" max="2048" width="8.77734375" style="2"/>
    <col min="2049" max="2049" width="4.5546875" style="2" customWidth="1"/>
    <col min="2050" max="2051" width="6.77734375" style="2" customWidth="1"/>
    <col min="2052" max="2052" width="3.21875" style="2" customWidth="1"/>
    <col min="2053" max="2053" width="4.21875" style="2" customWidth="1"/>
    <col min="2054" max="2054" width="5.44140625" style="2" customWidth="1"/>
    <col min="2055" max="2055" width="7.77734375" style="2" customWidth="1"/>
    <col min="2056" max="2056" width="5.21875" style="2" customWidth="1"/>
    <col min="2057" max="2057" width="7" style="2" customWidth="1"/>
    <col min="2058" max="2058" width="5.21875" style="2" customWidth="1"/>
    <col min="2059" max="2059" width="7" style="2" customWidth="1"/>
    <col min="2060" max="2060" width="4.21875" style="2" customWidth="1"/>
    <col min="2061" max="2061" width="6.77734375" style="2" customWidth="1"/>
    <col min="2062" max="2062" width="5.44140625" style="2" customWidth="1"/>
    <col min="2063" max="2063" width="7" style="2" customWidth="1"/>
    <col min="2064" max="2064" width="5.21875" style="2" customWidth="1"/>
    <col min="2065" max="2065" width="4.77734375" style="2" customWidth="1"/>
    <col min="2066" max="2066" width="5.77734375" style="2" customWidth="1"/>
    <col min="2067" max="2067" width="7.44140625" style="2" customWidth="1"/>
    <col min="2068" max="2068" width="4" style="2" customWidth="1"/>
    <col min="2069" max="2069" width="6.44140625" style="2" customWidth="1"/>
    <col min="2070" max="2070" width="5.77734375" style="2" customWidth="1"/>
    <col min="2071" max="2071" width="6.77734375" style="2" customWidth="1"/>
    <col min="2072" max="2072" width="4.21875" style="2" customWidth="1"/>
    <col min="2073" max="2073" width="7.21875" style="2" customWidth="1"/>
    <col min="2074" max="2304" width="8.77734375" style="2"/>
    <col min="2305" max="2305" width="4.5546875" style="2" customWidth="1"/>
    <col min="2306" max="2307" width="6.77734375" style="2" customWidth="1"/>
    <col min="2308" max="2308" width="3.21875" style="2" customWidth="1"/>
    <col min="2309" max="2309" width="4.21875" style="2" customWidth="1"/>
    <col min="2310" max="2310" width="5.44140625" style="2" customWidth="1"/>
    <col min="2311" max="2311" width="7.77734375" style="2" customWidth="1"/>
    <col min="2312" max="2312" width="5.21875" style="2" customWidth="1"/>
    <col min="2313" max="2313" width="7" style="2" customWidth="1"/>
    <col min="2314" max="2314" width="5.21875" style="2" customWidth="1"/>
    <col min="2315" max="2315" width="7" style="2" customWidth="1"/>
    <col min="2316" max="2316" width="4.21875" style="2" customWidth="1"/>
    <col min="2317" max="2317" width="6.77734375" style="2" customWidth="1"/>
    <col min="2318" max="2318" width="5.44140625" style="2" customWidth="1"/>
    <col min="2319" max="2319" width="7" style="2" customWidth="1"/>
    <col min="2320" max="2320" width="5.21875" style="2" customWidth="1"/>
    <col min="2321" max="2321" width="4.77734375" style="2" customWidth="1"/>
    <col min="2322" max="2322" width="5.77734375" style="2" customWidth="1"/>
    <col min="2323" max="2323" width="7.44140625" style="2" customWidth="1"/>
    <col min="2324" max="2324" width="4" style="2" customWidth="1"/>
    <col min="2325" max="2325" width="6.44140625" style="2" customWidth="1"/>
    <col min="2326" max="2326" width="5.77734375" style="2" customWidth="1"/>
    <col min="2327" max="2327" width="6.77734375" style="2" customWidth="1"/>
    <col min="2328" max="2328" width="4.21875" style="2" customWidth="1"/>
    <col min="2329" max="2329" width="7.21875" style="2" customWidth="1"/>
    <col min="2330" max="2560" width="8.77734375" style="2"/>
    <col min="2561" max="2561" width="4.5546875" style="2" customWidth="1"/>
    <col min="2562" max="2563" width="6.77734375" style="2" customWidth="1"/>
    <col min="2564" max="2564" width="3.21875" style="2" customWidth="1"/>
    <col min="2565" max="2565" width="4.21875" style="2" customWidth="1"/>
    <col min="2566" max="2566" width="5.44140625" style="2" customWidth="1"/>
    <col min="2567" max="2567" width="7.77734375" style="2" customWidth="1"/>
    <col min="2568" max="2568" width="5.21875" style="2" customWidth="1"/>
    <col min="2569" max="2569" width="7" style="2" customWidth="1"/>
    <col min="2570" max="2570" width="5.21875" style="2" customWidth="1"/>
    <col min="2571" max="2571" width="7" style="2" customWidth="1"/>
    <col min="2572" max="2572" width="4.21875" style="2" customWidth="1"/>
    <col min="2573" max="2573" width="6.77734375" style="2" customWidth="1"/>
    <col min="2574" max="2574" width="5.44140625" style="2" customWidth="1"/>
    <col min="2575" max="2575" width="7" style="2" customWidth="1"/>
    <col min="2576" max="2576" width="5.21875" style="2" customWidth="1"/>
    <col min="2577" max="2577" width="4.77734375" style="2" customWidth="1"/>
    <col min="2578" max="2578" width="5.77734375" style="2" customWidth="1"/>
    <col min="2579" max="2579" width="7.44140625" style="2" customWidth="1"/>
    <col min="2580" max="2580" width="4" style="2" customWidth="1"/>
    <col min="2581" max="2581" width="6.44140625" style="2" customWidth="1"/>
    <col min="2582" max="2582" width="5.77734375" style="2" customWidth="1"/>
    <col min="2583" max="2583" width="6.77734375" style="2" customWidth="1"/>
    <col min="2584" max="2584" width="4.21875" style="2" customWidth="1"/>
    <col min="2585" max="2585" width="7.21875" style="2" customWidth="1"/>
    <col min="2586" max="2816" width="8.77734375" style="2"/>
    <col min="2817" max="2817" width="4.5546875" style="2" customWidth="1"/>
    <col min="2818" max="2819" width="6.77734375" style="2" customWidth="1"/>
    <col min="2820" max="2820" width="3.21875" style="2" customWidth="1"/>
    <col min="2821" max="2821" width="4.21875" style="2" customWidth="1"/>
    <col min="2822" max="2822" width="5.44140625" style="2" customWidth="1"/>
    <col min="2823" max="2823" width="7.77734375" style="2" customWidth="1"/>
    <col min="2824" max="2824" width="5.21875" style="2" customWidth="1"/>
    <col min="2825" max="2825" width="7" style="2" customWidth="1"/>
    <col min="2826" max="2826" width="5.21875" style="2" customWidth="1"/>
    <col min="2827" max="2827" width="7" style="2" customWidth="1"/>
    <col min="2828" max="2828" width="4.21875" style="2" customWidth="1"/>
    <col min="2829" max="2829" width="6.77734375" style="2" customWidth="1"/>
    <col min="2830" max="2830" width="5.44140625" style="2" customWidth="1"/>
    <col min="2831" max="2831" width="7" style="2" customWidth="1"/>
    <col min="2832" max="2832" width="5.21875" style="2" customWidth="1"/>
    <col min="2833" max="2833" width="4.77734375" style="2" customWidth="1"/>
    <col min="2834" max="2834" width="5.77734375" style="2" customWidth="1"/>
    <col min="2835" max="2835" width="7.44140625" style="2" customWidth="1"/>
    <col min="2836" max="2836" width="4" style="2" customWidth="1"/>
    <col min="2837" max="2837" width="6.44140625" style="2" customWidth="1"/>
    <col min="2838" max="2838" width="5.77734375" style="2" customWidth="1"/>
    <col min="2839" max="2839" width="6.77734375" style="2" customWidth="1"/>
    <col min="2840" max="2840" width="4.21875" style="2" customWidth="1"/>
    <col min="2841" max="2841" width="7.21875" style="2" customWidth="1"/>
    <col min="2842" max="3072" width="8.77734375" style="2"/>
    <col min="3073" max="3073" width="4.5546875" style="2" customWidth="1"/>
    <col min="3074" max="3075" width="6.77734375" style="2" customWidth="1"/>
    <col min="3076" max="3076" width="3.21875" style="2" customWidth="1"/>
    <col min="3077" max="3077" width="4.21875" style="2" customWidth="1"/>
    <col min="3078" max="3078" width="5.44140625" style="2" customWidth="1"/>
    <col min="3079" max="3079" width="7.77734375" style="2" customWidth="1"/>
    <col min="3080" max="3080" width="5.21875" style="2" customWidth="1"/>
    <col min="3081" max="3081" width="7" style="2" customWidth="1"/>
    <col min="3082" max="3082" width="5.21875" style="2" customWidth="1"/>
    <col min="3083" max="3083" width="7" style="2" customWidth="1"/>
    <col min="3084" max="3084" width="4.21875" style="2" customWidth="1"/>
    <col min="3085" max="3085" width="6.77734375" style="2" customWidth="1"/>
    <col min="3086" max="3086" width="5.44140625" style="2" customWidth="1"/>
    <col min="3087" max="3087" width="7" style="2" customWidth="1"/>
    <col min="3088" max="3088" width="5.21875" style="2" customWidth="1"/>
    <col min="3089" max="3089" width="4.77734375" style="2" customWidth="1"/>
    <col min="3090" max="3090" width="5.77734375" style="2" customWidth="1"/>
    <col min="3091" max="3091" width="7.44140625" style="2" customWidth="1"/>
    <col min="3092" max="3092" width="4" style="2" customWidth="1"/>
    <col min="3093" max="3093" width="6.44140625" style="2" customWidth="1"/>
    <col min="3094" max="3094" width="5.77734375" style="2" customWidth="1"/>
    <col min="3095" max="3095" width="6.77734375" style="2" customWidth="1"/>
    <col min="3096" max="3096" width="4.21875" style="2" customWidth="1"/>
    <col min="3097" max="3097" width="7.21875" style="2" customWidth="1"/>
    <col min="3098" max="3328" width="8.77734375" style="2"/>
    <col min="3329" max="3329" width="4.5546875" style="2" customWidth="1"/>
    <col min="3330" max="3331" width="6.77734375" style="2" customWidth="1"/>
    <col min="3332" max="3332" width="3.21875" style="2" customWidth="1"/>
    <col min="3333" max="3333" width="4.21875" style="2" customWidth="1"/>
    <col min="3334" max="3334" width="5.44140625" style="2" customWidth="1"/>
    <col min="3335" max="3335" width="7.77734375" style="2" customWidth="1"/>
    <col min="3336" max="3336" width="5.21875" style="2" customWidth="1"/>
    <col min="3337" max="3337" width="7" style="2" customWidth="1"/>
    <col min="3338" max="3338" width="5.21875" style="2" customWidth="1"/>
    <col min="3339" max="3339" width="7" style="2" customWidth="1"/>
    <col min="3340" max="3340" width="4.21875" style="2" customWidth="1"/>
    <col min="3341" max="3341" width="6.77734375" style="2" customWidth="1"/>
    <col min="3342" max="3342" width="5.44140625" style="2" customWidth="1"/>
    <col min="3343" max="3343" width="7" style="2" customWidth="1"/>
    <col min="3344" max="3344" width="5.21875" style="2" customWidth="1"/>
    <col min="3345" max="3345" width="4.77734375" style="2" customWidth="1"/>
    <col min="3346" max="3346" width="5.77734375" style="2" customWidth="1"/>
    <col min="3347" max="3347" width="7.44140625" style="2" customWidth="1"/>
    <col min="3348" max="3348" width="4" style="2" customWidth="1"/>
    <col min="3349" max="3349" width="6.44140625" style="2" customWidth="1"/>
    <col min="3350" max="3350" width="5.77734375" style="2" customWidth="1"/>
    <col min="3351" max="3351" width="6.77734375" style="2" customWidth="1"/>
    <col min="3352" max="3352" width="4.21875" style="2" customWidth="1"/>
    <col min="3353" max="3353" width="7.21875" style="2" customWidth="1"/>
    <col min="3354" max="3584" width="8.77734375" style="2"/>
    <col min="3585" max="3585" width="4.5546875" style="2" customWidth="1"/>
    <col min="3586" max="3587" width="6.77734375" style="2" customWidth="1"/>
    <col min="3588" max="3588" width="3.21875" style="2" customWidth="1"/>
    <col min="3589" max="3589" width="4.21875" style="2" customWidth="1"/>
    <col min="3590" max="3590" width="5.44140625" style="2" customWidth="1"/>
    <col min="3591" max="3591" width="7.77734375" style="2" customWidth="1"/>
    <col min="3592" max="3592" width="5.21875" style="2" customWidth="1"/>
    <col min="3593" max="3593" width="7" style="2" customWidth="1"/>
    <col min="3594" max="3594" width="5.21875" style="2" customWidth="1"/>
    <col min="3595" max="3595" width="7" style="2" customWidth="1"/>
    <col min="3596" max="3596" width="4.21875" style="2" customWidth="1"/>
    <col min="3597" max="3597" width="6.77734375" style="2" customWidth="1"/>
    <col min="3598" max="3598" width="5.44140625" style="2" customWidth="1"/>
    <col min="3599" max="3599" width="7" style="2" customWidth="1"/>
    <col min="3600" max="3600" width="5.21875" style="2" customWidth="1"/>
    <col min="3601" max="3601" width="4.77734375" style="2" customWidth="1"/>
    <col min="3602" max="3602" width="5.77734375" style="2" customWidth="1"/>
    <col min="3603" max="3603" width="7.44140625" style="2" customWidth="1"/>
    <col min="3604" max="3604" width="4" style="2" customWidth="1"/>
    <col min="3605" max="3605" width="6.44140625" style="2" customWidth="1"/>
    <col min="3606" max="3606" width="5.77734375" style="2" customWidth="1"/>
    <col min="3607" max="3607" width="6.77734375" style="2" customWidth="1"/>
    <col min="3608" max="3608" width="4.21875" style="2" customWidth="1"/>
    <col min="3609" max="3609" width="7.21875" style="2" customWidth="1"/>
    <col min="3610" max="3840" width="8.77734375" style="2"/>
    <col min="3841" max="3841" width="4.5546875" style="2" customWidth="1"/>
    <col min="3842" max="3843" width="6.77734375" style="2" customWidth="1"/>
    <col min="3844" max="3844" width="3.21875" style="2" customWidth="1"/>
    <col min="3845" max="3845" width="4.21875" style="2" customWidth="1"/>
    <col min="3846" max="3846" width="5.44140625" style="2" customWidth="1"/>
    <col min="3847" max="3847" width="7.77734375" style="2" customWidth="1"/>
    <col min="3848" max="3848" width="5.21875" style="2" customWidth="1"/>
    <col min="3849" max="3849" width="7" style="2" customWidth="1"/>
    <col min="3850" max="3850" width="5.21875" style="2" customWidth="1"/>
    <col min="3851" max="3851" width="7" style="2" customWidth="1"/>
    <col min="3852" max="3852" width="4.21875" style="2" customWidth="1"/>
    <col min="3853" max="3853" width="6.77734375" style="2" customWidth="1"/>
    <col min="3854" max="3854" width="5.44140625" style="2" customWidth="1"/>
    <col min="3855" max="3855" width="7" style="2" customWidth="1"/>
    <col min="3856" max="3856" width="5.21875" style="2" customWidth="1"/>
    <col min="3857" max="3857" width="4.77734375" style="2" customWidth="1"/>
    <col min="3858" max="3858" width="5.77734375" style="2" customWidth="1"/>
    <col min="3859" max="3859" width="7.44140625" style="2" customWidth="1"/>
    <col min="3860" max="3860" width="4" style="2" customWidth="1"/>
    <col min="3861" max="3861" width="6.44140625" style="2" customWidth="1"/>
    <col min="3862" max="3862" width="5.77734375" style="2" customWidth="1"/>
    <col min="3863" max="3863" width="6.77734375" style="2" customWidth="1"/>
    <col min="3864" max="3864" width="4.21875" style="2" customWidth="1"/>
    <col min="3865" max="3865" width="7.21875" style="2" customWidth="1"/>
    <col min="3866" max="4096" width="8.77734375" style="2"/>
    <col min="4097" max="4097" width="4.5546875" style="2" customWidth="1"/>
    <col min="4098" max="4099" width="6.77734375" style="2" customWidth="1"/>
    <col min="4100" max="4100" width="3.21875" style="2" customWidth="1"/>
    <col min="4101" max="4101" width="4.21875" style="2" customWidth="1"/>
    <col min="4102" max="4102" width="5.44140625" style="2" customWidth="1"/>
    <col min="4103" max="4103" width="7.77734375" style="2" customWidth="1"/>
    <col min="4104" max="4104" width="5.21875" style="2" customWidth="1"/>
    <col min="4105" max="4105" width="7" style="2" customWidth="1"/>
    <col min="4106" max="4106" width="5.21875" style="2" customWidth="1"/>
    <col min="4107" max="4107" width="7" style="2" customWidth="1"/>
    <col min="4108" max="4108" width="4.21875" style="2" customWidth="1"/>
    <col min="4109" max="4109" width="6.77734375" style="2" customWidth="1"/>
    <col min="4110" max="4110" width="5.44140625" style="2" customWidth="1"/>
    <col min="4111" max="4111" width="7" style="2" customWidth="1"/>
    <col min="4112" max="4112" width="5.21875" style="2" customWidth="1"/>
    <col min="4113" max="4113" width="4.77734375" style="2" customWidth="1"/>
    <col min="4114" max="4114" width="5.77734375" style="2" customWidth="1"/>
    <col min="4115" max="4115" width="7.44140625" style="2" customWidth="1"/>
    <col min="4116" max="4116" width="4" style="2" customWidth="1"/>
    <col min="4117" max="4117" width="6.44140625" style="2" customWidth="1"/>
    <col min="4118" max="4118" width="5.77734375" style="2" customWidth="1"/>
    <col min="4119" max="4119" width="6.77734375" style="2" customWidth="1"/>
    <col min="4120" max="4120" width="4.21875" style="2" customWidth="1"/>
    <col min="4121" max="4121" width="7.21875" style="2" customWidth="1"/>
    <col min="4122" max="4352" width="8.77734375" style="2"/>
    <col min="4353" max="4353" width="4.5546875" style="2" customWidth="1"/>
    <col min="4354" max="4355" width="6.77734375" style="2" customWidth="1"/>
    <col min="4356" max="4356" width="3.21875" style="2" customWidth="1"/>
    <col min="4357" max="4357" width="4.21875" style="2" customWidth="1"/>
    <col min="4358" max="4358" width="5.44140625" style="2" customWidth="1"/>
    <col min="4359" max="4359" width="7.77734375" style="2" customWidth="1"/>
    <col min="4360" max="4360" width="5.21875" style="2" customWidth="1"/>
    <col min="4361" max="4361" width="7" style="2" customWidth="1"/>
    <col min="4362" max="4362" width="5.21875" style="2" customWidth="1"/>
    <col min="4363" max="4363" width="7" style="2" customWidth="1"/>
    <col min="4364" max="4364" width="4.21875" style="2" customWidth="1"/>
    <col min="4365" max="4365" width="6.77734375" style="2" customWidth="1"/>
    <col min="4366" max="4366" width="5.44140625" style="2" customWidth="1"/>
    <col min="4367" max="4367" width="7" style="2" customWidth="1"/>
    <col min="4368" max="4368" width="5.21875" style="2" customWidth="1"/>
    <col min="4369" max="4369" width="4.77734375" style="2" customWidth="1"/>
    <col min="4370" max="4370" width="5.77734375" style="2" customWidth="1"/>
    <col min="4371" max="4371" width="7.44140625" style="2" customWidth="1"/>
    <col min="4372" max="4372" width="4" style="2" customWidth="1"/>
    <col min="4373" max="4373" width="6.44140625" style="2" customWidth="1"/>
    <col min="4374" max="4374" width="5.77734375" style="2" customWidth="1"/>
    <col min="4375" max="4375" width="6.77734375" style="2" customWidth="1"/>
    <col min="4376" max="4376" width="4.21875" style="2" customWidth="1"/>
    <col min="4377" max="4377" width="7.21875" style="2" customWidth="1"/>
    <col min="4378" max="4608" width="8.77734375" style="2"/>
    <col min="4609" max="4609" width="4.5546875" style="2" customWidth="1"/>
    <col min="4610" max="4611" width="6.77734375" style="2" customWidth="1"/>
    <col min="4612" max="4612" width="3.21875" style="2" customWidth="1"/>
    <col min="4613" max="4613" width="4.21875" style="2" customWidth="1"/>
    <col min="4614" max="4614" width="5.44140625" style="2" customWidth="1"/>
    <col min="4615" max="4615" width="7.77734375" style="2" customWidth="1"/>
    <col min="4616" max="4616" width="5.21875" style="2" customWidth="1"/>
    <col min="4617" max="4617" width="7" style="2" customWidth="1"/>
    <col min="4618" max="4618" width="5.21875" style="2" customWidth="1"/>
    <col min="4619" max="4619" width="7" style="2" customWidth="1"/>
    <col min="4620" max="4620" width="4.21875" style="2" customWidth="1"/>
    <col min="4621" max="4621" width="6.77734375" style="2" customWidth="1"/>
    <col min="4622" max="4622" width="5.44140625" style="2" customWidth="1"/>
    <col min="4623" max="4623" width="7" style="2" customWidth="1"/>
    <col min="4624" max="4624" width="5.21875" style="2" customWidth="1"/>
    <col min="4625" max="4625" width="4.77734375" style="2" customWidth="1"/>
    <col min="4626" max="4626" width="5.77734375" style="2" customWidth="1"/>
    <col min="4627" max="4627" width="7.44140625" style="2" customWidth="1"/>
    <col min="4628" max="4628" width="4" style="2" customWidth="1"/>
    <col min="4629" max="4629" width="6.44140625" style="2" customWidth="1"/>
    <col min="4630" max="4630" width="5.77734375" style="2" customWidth="1"/>
    <col min="4631" max="4631" width="6.77734375" style="2" customWidth="1"/>
    <col min="4632" max="4632" width="4.21875" style="2" customWidth="1"/>
    <col min="4633" max="4633" width="7.21875" style="2" customWidth="1"/>
    <col min="4634" max="4864" width="8.77734375" style="2"/>
    <col min="4865" max="4865" width="4.5546875" style="2" customWidth="1"/>
    <col min="4866" max="4867" width="6.77734375" style="2" customWidth="1"/>
    <col min="4868" max="4868" width="3.21875" style="2" customWidth="1"/>
    <col min="4869" max="4869" width="4.21875" style="2" customWidth="1"/>
    <col min="4870" max="4870" width="5.44140625" style="2" customWidth="1"/>
    <col min="4871" max="4871" width="7.77734375" style="2" customWidth="1"/>
    <col min="4872" max="4872" width="5.21875" style="2" customWidth="1"/>
    <col min="4873" max="4873" width="7" style="2" customWidth="1"/>
    <col min="4874" max="4874" width="5.21875" style="2" customWidth="1"/>
    <col min="4875" max="4875" width="7" style="2" customWidth="1"/>
    <col min="4876" max="4876" width="4.21875" style="2" customWidth="1"/>
    <col min="4877" max="4877" width="6.77734375" style="2" customWidth="1"/>
    <col min="4878" max="4878" width="5.44140625" style="2" customWidth="1"/>
    <col min="4879" max="4879" width="7" style="2" customWidth="1"/>
    <col min="4880" max="4880" width="5.21875" style="2" customWidth="1"/>
    <col min="4881" max="4881" width="4.77734375" style="2" customWidth="1"/>
    <col min="4882" max="4882" width="5.77734375" style="2" customWidth="1"/>
    <col min="4883" max="4883" width="7.44140625" style="2" customWidth="1"/>
    <col min="4884" max="4884" width="4" style="2" customWidth="1"/>
    <col min="4885" max="4885" width="6.44140625" style="2" customWidth="1"/>
    <col min="4886" max="4886" width="5.77734375" style="2" customWidth="1"/>
    <col min="4887" max="4887" width="6.77734375" style="2" customWidth="1"/>
    <col min="4888" max="4888" width="4.21875" style="2" customWidth="1"/>
    <col min="4889" max="4889" width="7.21875" style="2" customWidth="1"/>
    <col min="4890" max="5120" width="8.77734375" style="2"/>
    <col min="5121" max="5121" width="4.5546875" style="2" customWidth="1"/>
    <col min="5122" max="5123" width="6.77734375" style="2" customWidth="1"/>
    <col min="5124" max="5124" width="3.21875" style="2" customWidth="1"/>
    <col min="5125" max="5125" width="4.21875" style="2" customWidth="1"/>
    <col min="5126" max="5126" width="5.44140625" style="2" customWidth="1"/>
    <col min="5127" max="5127" width="7.77734375" style="2" customWidth="1"/>
    <col min="5128" max="5128" width="5.21875" style="2" customWidth="1"/>
    <col min="5129" max="5129" width="7" style="2" customWidth="1"/>
    <col min="5130" max="5130" width="5.21875" style="2" customWidth="1"/>
    <col min="5131" max="5131" width="7" style="2" customWidth="1"/>
    <col min="5132" max="5132" width="4.21875" style="2" customWidth="1"/>
    <col min="5133" max="5133" width="6.77734375" style="2" customWidth="1"/>
    <col min="5134" max="5134" width="5.44140625" style="2" customWidth="1"/>
    <col min="5135" max="5135" width="7" style="2" customWidth="1"/>
    <col min="5136" max="5136" width="5.21875" style="2" customWidth="1"/>
    <col min="5137" max="5137" width="4.77734375" style="2" customWidth="1"/>
    <col min="5138" max="5138" width="5.77734375" style="2" customWidth="1"/>
    <col min="5139" max="5139" width="7.44140625" style="2" customWidth="1"/>
    <col min="5140" max="5140" width="4" style="2" customWidth="1"/>
    <col min="5141" max="5141" width="6.44140625" style="2" customWidth="1"/>
    <col min="5142" max="5142" width="5.77734375" style="2" customWidth="1"/>
    <col min="5143" max="5143" width="6.77734375" style="2" customWidth="1"/>
    <col min="5144" max="5144" width="4.21875" style="2" customWidth="1"/>
    <col min="5145" max="5145" width="7.21875" style="2" customWidth="1"/>
    <col min="5146" max="5376" width="8.77734375" style="2"/>
    <col min="5377" max="5377" width="4.5546875" style="2" customWidth="1"/>
    <col min="5378" max="5379" width="6.77734375" style="2" customWidth="1"/>
    <col min="5380" max="5380" width="3.21875" style="2" customWidth="1"/>
    <col min="5381" max="5381" width="4.21875" style="2" customWidth="1"/>
    <col min="5382" max="5382" width="5.44140625" style="2" customWidth="1"/>
    <col min="5383" max="5383" width="7.77734375" style="2" customWidth="1"/>
    <col min="5384" max="5384" width="5.21875" style="2" customWidth="1"/>
    <col min="5385" max="5385" width="7" style="2" customWidth="1"/>
    <col min="5386" max="5386" width="5.21875" style="2" customWidth="1"/>
    <col min="5387" max="5387" width="7" style="2" customWidth="1"/>
    <col min="5388" max="5388" width="4.21875" style="2" customWidth="1"/>
    <col min="5389" max="5389" width="6.77734375" style="2" customWidth="1"/>
    <col min="5390" max="5390" width="5.44140625" style="2" customWidth="1"/>
    <col min="5391" max="5391" width="7" style="2" customWidth="1"/>
    <col min="5392" max="5392" width="5.21875" style="2" customWidth="1"/>
    <col min="5393" max="5393" width="4.77734375" style="2" customWidth="1"/>
    <col min="5394" max="5394" width="5.77734375" style="2" customWidth="1"/>
    <col min="5395" max="5395" width="7.44140625" style="2" customWidth="1"/>
    <col min="5396" max="5396" width="4" style="2" customWidth="1"/>
    <col min="5397" max="5397" width="6.44140625" style="2" customWidth="1"/>
    <col min="5398" max="5398" width="5.77734375" style="2" customWidth="1"/>
    <col min="5399" max="5399" width="6.77734375" style="2" customWidth="1"/>
    <col min="5400" max="5400" width="4.21875" style="2" customWidth="1"/>
    <col min="5401" max="5401" width="7.21875" style="2" customWidth="1"/>
    <col min="5402" max="5632" width="8.77734375" style="2"/>
    <col min="5633" max="5633" width="4.5546875" style="2" customWidth="1"/>
    <col min="5634" max="5635" width="6.77734375" style="2" customWidth="1"/>
    <col min="5636" max="5636" width="3.21875" style="2" customWidth="1"/>
    <col min="5637" max="5637" width="4.21875" style="2" customWidth="1"/>
    <col min="5638" max="5638" width="5.44140625" style="2" customWidth="1"/>
    <col min="5639" max="5639" width="7.77734375" style="2" customWidth="1"/>
    <col min="5640" max="5640" width="5.21875" style="2" customWidth="1"/>
    <col min="5641" max="5641" width="7" style="2" customWidth="1"/>
    <col min="5642" max="5642" width="5.21875" style="2" customWidth="1"/>
    <col min="5643" max="5643" width="7" style="2" customWidth="1"/>
    <col min="5644" max="5644" width="4.21875" style="2" customWidth="1"/>
    <col min="5645" max="5645" width="6.77734375" style="2" customWidth="1"/>
    <col min="5646" max="5646" width="5.44140625" style="2" customWidth="1"/>
    <col min="5647" max="5647" width="7" style="2" customWidth="1"/>
    <col min="5648" max="5648" width="5.21875" style="2" customWidth="1"/>
    <col min="5649" max="5649" width="4.77734375" style="2" customWidth="1"/>
    <col min="5650" max="5650" width="5.77734375" style="2" customWidth="1"/>
    <col min="5651" max="5651" width="7.44140625" style="2" customWidth="1"/>
    <col min="5652" max="5652" width="4" style="2" customWidth="1"/>
    <col min="5653" max="5653" width="6.44140625" style="2" customWidth="1"/>
    <col min="5654" max="5654" width="5.77734375" style="2" customWidth="1"/>
    <col min="5655" max="5655" width="6.77734375" style="2" customWidth="1"/>
    <col min="5656" max="5656" width="4.21875" style="2" customWidth="1"/>
    <col min="5657" max="5657" width="7.21875" style="2" customWidth="1"/>
    <col min="5658" max="5888" width="8.77734375" style="2"/>
    <col min="5889" max="5889" width="4.5546875" style="2" customWidth="1"/>
    <col min="5890" max="5891" width="6.77734375" style="2" customWidth="1"/>
    <col min="5892" max="5892" width="3.21875" style="2" customWidth="1"/>
    <col min="5893" max="5893" width="4.21875" style="2" customWidth="1"/>
    <col min="5894" max="5894" width="5.44140625" style="2" customWidth="1"/>
    <col min="5895" max="5895" width="7.77734375" style="2" customWidth="1"/>
    <col min="5896" max="5896" width="5.21875" style="2" customWidth="1"/>
    <col min="5897" max="5897" width="7" style="2" customWidth="1"/>
    <col min="5898" max="5898" width="5.21875" style="2" customWidth="1"/>
    <col min="5899" max="5899" width="7" style="2" customWidth="1"/>
    <col min="5900" max="5900" width="4.21875" style="2" customWidth="1"/>
    <col min="5901" max="5901" width="6.77734375" style="2" customWidth="1"/>
    <col min="5902" max="5902" width="5.44140625" style="2" customWidth="1"/>
    <col min="5903" max="5903" width="7" style="2" customWidth="1"/>
    <col min="5904" max="5904" width="5.21875" style="2" customWidth="1"/>
    <col min="5905" max="5905" width="4.77734375" style="2" customWidth="1"/>
    <col min="5906" max="5906" width="5.77734375" style="2" customWidth="1"/>
    <col min="5907" max="5907" width="7.44140625" style="2" customWidth="1"/>
    <col min="5908" max="5908" width="4" style="2" customWidth="1"/>
    <col min="5909" max="5909" width="6.44140625" style="2" customWidth="1"/>
    <col min="5910" max="5910" width="5.77734375" style="2" customWidth="1"/>
    <col min="5911" max="5911" width="6.77734375" style="2" customWidth="1"/>
    <col min="5912" max="5912" width="4.21875" style="2" customWidth="1"/>
    <col min="5913" max="5913" width="7.21875" style="2" customWidth="1"/>
    <col min="5914" max="6144" width="8.77734375" style="2"/>
    <col min="6145" max="6145" width="4.5546875" style="2" customWidth="1"/>
    <col min="6146" max="6147" width="6.77734375" style="2" customWidth="1"/>
    <col min="6148" max="6148" width="3.21875" style="2" customWidth="1"/>
    <col min="6149" max="6149" width="4.21875" style="2" customWidth="1"/>
    <col min="6150" max="6150" width="5.44140625" style="2" customWidth="1"/>
    <col min="6151" max="6151" width="7.77734375" style="2" customWidth="1"/>
    <col min="6152" max="6152" width="5.21875" style="2" customWidth="1"/>
    <col min="6153" max="6153" width="7" style="2" customWidth="1"/>
    <col min="6154" max="6154" width="5.21875" style="2" customWidth="1"/>
    <col min="6155" max="6155" width="7" style="2" customWidth="1"/>
    <col min="6156" max="6156" width="4.21875" style="2" customWidth="1"/>
    <col min="6157" max="6157" width="6.77734375" style="2" customWidth="1"/>
    <col min="6158" max="6158" width="5.44140625" style="2" customWidth="1"/>
    <col min="6159" max="6159" width="7" style="2" customWidth="1"/>
    <col min="6160" max="6160" width="5.21875" style="2" customWidth="1"/>
    <col min="6161" max="6161" width="4.77734375" style="2" customWidth="1"/>
    <col min="6162" max="6162" width="5.77734375" style="2" customWidth="1"/>
    <col min="6163" max="6163" width="7.44140625" style="2" customWidth="1"/>
    <col min="6164" max="6164" width="4" style="2" customWidth="1"/>
    <col min="6165" max="6165" width="6.44140625" style="2" customWidth="1"/>
    <col min="6166" max="6166" width="5.77734375" style="2" customWidth="1"/>
    <col min="6167" max="6167" width="6.77734375" style="2" customWidth="1"/>
    <col min="6168" max="6168" width="4.21875" style="2" customWidth="1"/>
    <col min="6169" max="6169" width="7.21875" style="2" customWidth="1"/>
    <col min="6170" max="6400" width="8.77734375" style="2"/>
    <col min="6401" max="6401" width="4.5546875" style="2" customWidth="1"/>
    <col min="6402" max="6403" width="6.77734375" style="2" customWidth="1"/>
    <col min="6404" max="6404" width="3.21875" style="2" customWidth="1"/>
    <col min="6405" max="6405" width="4.21875" style="2" customWidth="1"/>
    <col min="6406" max="6406" width="5.44140625" style="2" customWidth="1"/>
    <col min="6407" max="6407" width="7.77734375" style="2" customWidth="1"/>
    <col min="6408" max="6408" width="5.21875" style="2" customWidth="1"/>
    <col min="6409" max="6409" width="7" style="2" customWidth="1"/>
    <col min="6410" max="6410" width="5.21875" style="2" customWidth="1"/>
    <col min="6411" max="6411" width="7" style="2" customWidth="1"/>
    <col min="6412" max="6412" width="4.21875" style="2" customWidth="1"/>
    <col min="6413" max="6413" width="6.77734375" style="2" customWidth="1"/>
    <col min="6414" max="6414" width="5.44140625" style="2" customWidth="1"/>
    <col min="6415" max="6415" width="7" style="2" customWidth="1"/>
    <col min="6416" max="6416" width="5.21875" style="2" customWidth="1"/>
    <col min="6417" max="6417" width="4.77734375" style="2" customWidth="1"/>
    <col min="6418" max="6418" width="5.77734375" style="2" customWidth="1"/>
    <col min="6419" max="6419" width="7.44140625" style="2" customWidth="1"/>
    <col min="6420" max="6420" width="4" style="2" customWidth="1"/>
    <col min="6421" max="6421" width="6.44140625" style="2" customWidth="1"/>
    <col min="6422" max="6422" width="5.77734375" style="2" customWidth="1"/>
    <col min="6423" max="6423" width="6.77734375" style="2" customWidth="1"/>
    <col min="6424" max="6424" width="4.21875" style="2" customWidth="1"/>
    <col min="6425" max="6425" width="7.21875" style="2" customWidth="1"/>
    <col min="6426" max="6656" width="8.77734375" style="2"/>
    <col min="6657" max="6657" width="4.5546875" style="2" customWidth="1"/>
    <col min="6658" max="6659" width="6.77734375" style="2" customWidth="1"/>
    <col min="6660" max="6660" width="3.21875" style="2" customWidth="1"/>
    <col min="6661" max="6661" width="4.21875" style="2" customWidth="1"/>
    <col min="6662" max="6662" width="5.44140625" style="2" customWidth="1"/>
    <col min="6663" max="6663" width="7.77734375" style="2" customWidth="1"/>
    <col min="6664" max="6664" width="5.21875" style="2" customWidth="1"/>
    <col min="6665" max="6665" width="7" style="2" customWidth="1"/>
    <col min="6666" max="6666" width="5.21875" style="2" customWidth="1"/>
    <col min="6667" max="6667" width="7" style="2" customWidth="1"/>
    <col min="6668" max="6668" width="4.21875" style="2" customWidth="1"/>
    <col min="6669" max="6669" width="6.77734375" style="2" customWidth="1"/>
    <col min="6670" max="6670" width="5.44140625" style="2" customWidth="1"/>
    <col min="6671" max="6671" width="7" style="2" customWidth="1"/>
    <col min="6672" max="6672" width="5.21875" style="2" customWidth="1"/>
    <col min="6673" max="6673" width="4.77734375" style="2" customWidth="1"/>
    <col min="6674" max="6674" width="5.77734375" style="2" customWidth="1"/>
    <col min="6675" max="6675" width="7.44140625" style="2" customWidth="1"/>
    <col min="6676" max="6676" width="4" style="2" customWidth="1"/>
    <col min="6677" max="6677" width="6.44140625" style="2" customWidth="1"/>
    <col min="6678" max="6678" width="5.77734375" style="2" customWidth="1"/>
    <col min="6679" max="6679" width="6.77734375" style="2" customWidth="1"/>
    <col min="6680" max="6680" width="4.21875" style="2" customWidth="1"/>
    <col min="6681" max="6681" width="7.21875" style="2" customWidth="1"/>
    <col min="6682" max="6912" width="8.77734375" style="2"/>
    <col min="6913" max="6913" width="4.5546875" style="2" customWidth="1"/>
    <col min="6914" max="6915" width="6.77734375" style="2" customWidth="1"/>
    <col min="6916" max="6916" width="3.21875" style="2" customWidth="1"/>
    <col min="6917" max="6917" width="4.21875" style="2" customWidth="1"/>
    <col min="6918" max="6918" width="5.44140625" style="2" customWidth="1"/>
    <col min="6919" max="6919" width="7.77734375" style="2" customWidth="1"/>
    <col min="6920" max="6920" width="5.21875" style="2" customWidth="1"/>
    <col min="6921" max="6921" width="7" style="2" customWidth="1"/>
    <col min="6922" max="6922" width="5.21875" style="2" customWidth="1"/>
    <col min="6923" max="6923" width="7" style="2" customWidth="1"/>
    <col min="6924" max="6924" width="4.21875" style="2" customWidth="1"/>
    <col min="6925" max="6925" width="6.77734375" style="2" customWidth="1"/>
    <col min="6926" max="6926" width="5.44140625" style="2" customWidth="1"/>
    <col min="6927" max="6927" width="7" style="2" customWidth="1"/>
    <col min="6928" max="6928" width="5.21875" style="2" customWidth="1"/>
    <col min="6929" max="6929" width="4.77734375" style="2" customWidth="1"/>
    <col min="6930" max="6930" width="5.77734375" style="2" customWidth="1"/>
    <col min="6931" max="6931" width="7.44140625" style="2" customWidth="1"/>
    <col min="6932" max="6932" width="4" style="2" customWidth="1"/>
    <col min="6933" max="6933" width="6.44140625" style="2" customWidth="1"/>
    <col min="6934" max="6934" width="5.77734375" style="2" customWidth="1"/>
    <col min="6935" max="6935" width="6.77734375" style="2" customWidth="1"/>
    <col min="6936" max="6936" width="4.21875" style="2" customWidth="1"/>
    <col min="6937" max="6937" width="7.21875" style="2" customWidth="1"/>
    <col min="6938" max="7168" width="8.77734375" style="2"/>
    <col min="7169" max="7169" width="4.5546875" style="2" customWidth="1"/>
    <col min="7170" max="7171" width="6.77734375" style="2" customWidth="1"/>
    <col min="7172" max="7172" width="3.21875" style="2" customWidth="1"/>
    <col min="7173" max="7173" width="4.21875" style="2" customWidth="1"/>
    <col min="7174" max="7174" width="5.44140625" style="2" customWidth="1"/>
    <col min="7175" max="7175" width="7.77734375" style="2" customWidth="1"/>
    <col min="7176" max="7176" width="5.21875" style="2" customWidth="1"/>
    <col min="7177" max="7177" width="7" style="2" customWidth="1"/>
    <col min="7178" max="7178" width="5.21875" style="2" customWidth="1"/>
    <col min="7179" max="7179" width="7" style="2" customWidth="1"/>
    <col min="7180" max="7180" width="4.21875" style="2" customWidth="1"/>
    <col min="7181" max="7181" width="6.77734375" style="2" customWidth="1"/>
    <col min="7182" max="7182" width="5.44140625" style="2" customWidth="1"/>
    <col min="7183" max="7183" width="7" style="2" customWidth="1"/>
    <col min="7184" max="7184" width="5.21875" style="2" customWidth="1"/>
    <col min="7185" max="7185" width="4.77734375" style="2" customWidth="1"/>
    <col min="7186" max="7186" width="5.77734375" style="2" customWidth="1"/>
    <col min="7187" max="7187" width="7.44140625" style="2" customWidth="1"/>
    <col min="7188" max="7188" width="4" style="2" customWidth="1"/>
    <col min="7189" max="7189" width="6.44140625" style="2" customWidth="1"/>
    <col min="7190" max="7190" width="5.77734375" style="2" customWidth="1"/>
    <col min="7191" max="7191" width="6.77734375" style="2" customWidth="1"/>
    <col min="7192" max="7192" width="4.21875" style="2" customWidth="1"/>
    <col min="7193" max="7193" width="7.21875" style="2" customWidth="1"/>
    <col min="7194" max="7424" width="8.77734375" style="2"/>
    <col min="7425" max="7425" width="4.5546875" style="2" customWidth="1"/>
    <col min="7426" max="7427" width="6.77734375" style="2" customWidth="1"/>
    <col min="7428" max="7428" width="3.21875" style="2" customWidth="1"/>
    <col min="7429" max="7429" width="4.21875" style="2" customWidth="1"/>
    <col min="7430" max="7430" width="5.44140625" style="2" customWidth="1"/>
    <col min="7431" max="7431" width="7.77734375" style="2" customWidth="1"/>
    <col min="7432" max="7432" width="5.21875" style="2" customWidth="1"/>
    <col min="7433" max="7433" width="7" style="2" customWidth="1"/>
    <col min="7434" max="7434" width="5.21875" style="2" customWidth="1"/>
    <col min="7435" max="7435" width="7" style="2" customWidth="1"/>
    <col min="7436" max="7436" width="4.21875" style="2" customWidth="1"/>
    <col min="7437" max="7437" width="6.77734375" style="2" customWidth="1"/>
    <col min="7438" max="7438" width="5.44140625" style="2" customWidth="1"/>
    <col min="7439" max="7439" width="7" style="2" customWidth="1"/>
    <col min="7440" max="7440" width="5.21875" style="2" customWidth="1"/>
    <col min="7441" max="7441" width="4.77734375" style="2" customWidth="1"/>
    <col min="7442" max="7442" width="5.77734375" style="2" customWidth="1"/>
    <col min="7443" max="7443" width="7.44140625" style="2" customWidth="1"/>
    <col min="7444" max="7444" width="4" style="2" customWidth="1"/>
    <col min="7445" max="7445" width="6.44140625" style="2" customWidth="1"/>
    <col min="7446" max="7446" width="5.77734375" style="2" customWidth="1"/>
    <col min="7447" max="7447" width="6.77734375" style="2" customWidth="1"/>
    <col min="7448" max="7448" width="4.21875" style="2" customWidth="1"/>
    <col min="7449" max="7449" width="7.21875" style="2" customWidth="1"/>
    <col min="7450" max="7680" width="8.77734375" style="2"/>
    <col min="7681" max="7681" width="4.5546875" style="2" customWidth="1"/>
    <col min="7682" max="7683" width="6.77734375" style="2" customWidth="1"/>
    <col min="7684" max="7684" width="3.21875" style="2" customWidth="1"/>
    <col min="7685" max="7685" width="4.21875" style="2" customWidth="1"/>
    <col min="7686" max="7686" width="5.44140625" style="2" customWidth="1"/>
    <col min="7687" max="7687" width="7.77734375" style="2" customWidth="1"/>
    <col min="7688" max="7688" width="5.21875" style="2" customWidth="1"/>
    <col min="7689" max="7689" width="7" style="2" customWidth="1"/>
    <col min="7690" max="7690" width="5.21875" style="2" customWidth="1"/>
    <col min="7691" max="7691" width="7" style="2" customWidth="1"/>
    <col min="7692" max="7692" width="4.21875" style="2" customWidth="1"/>
    <col min="7693" max="7693" width="6.77734375" style="2" customWidth="1"/>
    <col min="7694" max="7694" width="5.44140625" style="2" customWidth="1"/>
    <col min="7695" max="7695" width="7" style="2" customWidth="1"/>
    <col min="7696" max="7696" width="5.21875" style="2" customWidth="1"/>
    <col min="7697" max="7697" width="4.77734375" style="2" customWidth="1"/>
    <col min="7698" max="7698" width="5.77734375" style="2" customWidth="1"/>
    <col min="7699" max="7699" width="7.44140625" style="2" customWidth="1"/>
    <col min="7700" max="7700" width="4" style="2" customWidth="1"/>
    <col min="7701" max="7701" width="6.44140625" style="2" customWidth="1"/>
    <col min="7702" max="7702" width="5.77734375" style="2" customWidth="1"/>
    <col min="7703" max="7703" width="6.77734375" style="2" customWidth="1"/>
    <col min="7704" max="7704" width="4.21875" style="2" customWidth="1"/>
    <col min="7705" max="7705" width="7.21875" style="2" customWidth="1"/>
    <col min="7706" max="7936" width="8.77734375" style="2"/>
    <col min="7937" max="7937" width="4.5546875" style="2" customWidth="1"/>
    <col min="7938" max="7939" width="6.77734375" style="2" customWidth="1"/>
    <col min="7940" max="7940" width="3.21875" style="2" customWidth="1"/>
    <col min="7941" max="7941" width="4.21875" style="2" customWidth="1"/>
    <col min="7942" max="7942" width="5.44140625" style="2" customWidth="1"/>
    <col min="7943" max="7943" width="7.77734375" style="2" customWidth="1"/>
    <col min="7944" max="7944" width="5.21875" style="2" customWidth="1"/>
    <col min="7945" max="7945" width="7" style="2" customWidth="1"/>
    <col min="7946" max="7946" width="5.21875" style="2" customWidth="1"/>
    <col min="7947" max="7947" width="7" style="2" customWidth="1"/>
    <col min="7948" max="7948" width="4.21875" style="2" customWidth="1"/>
    <col min="7949" max="7949" width="6.77734375" style="2" customWidth="1"/>
    <col min="7950" max="7950" width="5.44140625" style="2" customWidth="1"/>
    <col min="7951" max="7951" width="7" style="2" customWidth="1"/>
    <col min="7952" max="7952" width="5.21875" style="2" customWidth="1"/>
    <col min="7953" max="7953" width="4.77734375" style="2" customWidth="1"/>
    <col min="7954" max="7954" width="5.77734375" style="2" customWidth="1"/>
    <col min="7955" max="7955" width="7.44140625" style="2" customWidth="1"/>
    <col min="7956" max="7956" width="4" style="2" customWidth="1"/>
    <col min="7957" max="7957" width="6.44140625" style="2" customWidth="1"/>
    <col min="7958" max="7958" width="5.77734375" style="2" customWidth="1"/>
    <col min="7959" max="7959" width="6.77734375" style="2" customWidth="1"/>
    <col min="7960" max="7960" width="4.21875" style="2" customWidth="1"/>
    <col min="7961" max="7961" width="7.21875" style="2" customWidth="1"/>
    <col min="7962" max="8192" width="8.77734375" style="2"/>
    <col min="8193" max="8193" width="4.5546875" style="2" customWidth="1"/>
    <col min="8194" max="8195" width="6.77734375" style="2" customWidth="1"/>
    <col min="8196" max="8196" width="3.21875" style="2" customWidth="1"/>
    <col min="8197" max="8197" width="4.21875" style="2" customWidth="1"/>
    <col min="8198" max="8198" width="5.44140625" style="2" customWidth="1"/>
    <col min="8199" max="8199" width="7.77734375" style="2" customWidth="1"/>
    <col min="8200" max="8200" width="5.21875" style="2" customWidth="1"/>
    <col min="8201" max="8201" width="7" style="2" customWidth="1"/>
    <col min="8202" max="8202" width="5.21875" style="2" customWidth="1"/>
    <col min="8203" max="8203" width="7" style="2" customWidth="1"/>
    <col min="8204" max="8204" width="4.21875" style="2" customWidth="1"/>
    <col min="8205" max="8205" width="6.77734375" style="2" customWidth="1"/>
    <col min="8206" max="8206" width="5.44140625" style="2" customWidth="1"/>
    <col min="8207" max="8207" width="7" style="2" customWidth="1"/>
    <col min="8208" max="8208" width="5.21875" style="2" customWidth="1"/>
    <col min="8209" max="8209" width="4.77734375" style="2" customWidth="1"/>
    <col min="8210" max="8210" width="5.77734375" style="2" customWidth="1"/>
    <col min="8211" max="8211" width="7.44140625" style="2" customWidth="1"/>
    <col min="8212" max="8212" width="4" style="2" customWidth="1"/>
    <col min="8213" max="8213" width="6.44140625" style="2" customWidth="1"/>
    <col min="8214" max="8214" width="5.77734375" style="2" customWidth="1"/>
    <col min="8215" max="8215" width="6.77734375" style="2" customWidth="1"/>
    <col min="8216" max="8216" width="4.21875" style="2" customWidth="1"/>
    <col min="8217" max="8217" width="7.21875" style="2" customWidth="1"/>
    <col min="8218" max="8448" width="8.77734375" style="2"/>
    <col min="8449" max="8449" width="4.5546875" style="2" customWidth="1"/>
    <col min="8450" max="8451" width="6.77734375" style="2" customWidth="1"/>
    <col min="8452" max="8452" width="3.21875" style="2" customWidth="1"/>
    <col min="8453" max="8453" width="4.21875" style="2" customWidth="1"/>
    <col min="8454" max="8454" width="5.44140625" style="2" customWidth="1"/>
    <col min="8455" max="8455" width="7.77734375" style="2" customWidth="1"/>
    <col min="8456" max="8456" width="5.21875" style="2" customWidth="1"/>
    <col min="8457" max="8457" width="7" style="2" customWidth="1"/>
    <col min="8458" max="8458" width="5.21875" style="2" customWidth="1"/>
    <col min="8459" max="8459" width="7" style="2" customWidth="1"/>
    <col min="8460" max="8460" width="4.21875" style="2" customWidth="1"/>
    <col min="8461" max="8461" width="6.77734375" style="2" customWidth="1"/>
    <col min="8462" max="8462" width="5.44140625" style="2" customWidth="1"/>
    <col min="8463" max="8463" width="7" style="2" customWidth="1"/>
    <col min="8464" max="8464" width="5.21875" style="2" customWidth="1"/>
    <col min="8465" max="8465" width="4.77734375" style="2" customWidth="1"/>
    <col min="8466" max="8466" width="5.77734375" style="2" customWidth="1"/>
    <col min="8467" max="8467" width="7.44140625" style="2" customWidth="1"/>
    <col min="8468" max="8468" width="4" style="2" customWidth="1"/>
    <col min="8469" max="8469" width="6.44140625" style="2" customWidth="1"/>
    <col min="8470" max="8470" width="5.77734375" style="2" customWidth="1"/>
    <col min="8471" max="8471" width="6.77734375" style="2" customWidth="1"/>
    <col min="8472" max="8472" width="4.21875" style="2" customWidth="1"/>
    <col min="8473" max="8473" width="7.21875" style="2" customWidth="1"/>
    <col min="8474" max="8704" width="8.77734375" style="2"/>
    <col min="8705" max="8705" width="4.5546875" style="2" customWidth="1"/>
    <col min="8706" max="8707" width="6.77734375" style="2" customWidth="1"/>
    <col min="8708" max="8708" width="3.21875" style="2" customWidth="1"/>
    <col min="8709" max="8709" width="4.21875" style="2" customWidth="1"/>
    <col min="8710" max="8710" width="5.44140625" style="2" customWidth="1"/>
    <col min="8711" max="8711" width="7.77734375" style="2" customWidth="1"/>
    <col min="8712" max="8712" width="5.21875" style="2" customWidth="1"/>
    <col min="8713" max="8713" width="7" style="2" customWidth="1"/>
    <col min="8714" max="8714" width="5.21875" style="2" customWidth="1"/>
    <col min="8715" max="8715" width="7" style="2" customWidth="1"/>
    <col min="8716" max="8716" width="4.21875" style="2" customWidth="1"/>
    <col min="8717" max="8717" width="6.77734375" style="2" customWidth="1"/>
    <col min="8718" max="8718" width="5.44140625" style="2" customWidth="1"/>
    <col min="8719" max="8719" width="7" style="2" customWidth="1"/>
    <col min="8720" max="8720" width="5.21875" style="2" customWidth="1"/>
    <col min="8721" max="8721" width="4.77734375" style="2" customWidth="1"/>
    <col min="8722" max="8722" width="5.77734375" style="2" customWidth="1"/>
    <col min="8723" max="8723" width="7.44140625" style="2" customWidth="1"/>
    <col min="8724" max="8724" width="4" style="2" customWidth="1"/>
    <col min="8725" max="8725" width="6.44140625" style="2" customWidth="1"/>
    <col min="8726" max="8726" width="5.77734375" style="2" customWidth="1"/>
    <col min="8727" max="8727" width="6.77734375" style="2" customWidth="1"/>
    <col min="8728" max="8728" width="4.21875" style="2" customWidth="1"/>
    <col min="8729" max="8729" width="7.21875" style="2" customWidth="1"/>
    <col min="8730" max="8960" width="8.77734375" style="2"/>
    <col min="8961" max="8961" width="4.5546875" style="2" customWidth="1"/>
    <col min="8962" max="8963" width="6.77734375" style="2" customWidth="1"/>
    <col min="8964" max="8964" width="3.21875" style="2" customWidth="1"/>
    <col min="8965" max="8965" width="4.21875" style="2" customWidth="1"/>
    <col min="8966" max="8966" width="5.44140625" style="2" customWidth="1"/>
    <col min="8967" max="8967" width="7.77734375" style="2" customWidth="1"/>
    <col min="8968" max="8968" width="5.21875" style="2" customWidth="1"/>
    <col min="8969" max="8969" width="7" style="2" customWidth="1"/>
    <col min="8970" max="8970" width="5.21875" style="2" customWidth="1"/>
    <col min="8971" max="8971" width="7" style="2" customWidth="1"/>
    <col min="8972" max="8972" width="4.21875" style="2" customWidth="1"/>
    <col min="8973" max="8973" width="6.77734375" style="2" customWidth="1"/>
    <col min="8974" max="8974" width="5.44140625" style="2" customWidth="1"/>
    <col min="8975" max="8975" width="7" style="2" customWidth="1"/>
    <col min="8976" max="8976" width="5.21875" style="2" customWidth="1"/>
    <col min="8977" max="8977" width="4.77734375" style="2" customWidth="1"/>
    <col min="8978" max="8978" width="5.77734375" style="2" customWidth="1"/>
    <col min="8979" max="8979" width="7.44140625" style="2" customWidth="1"/>
    <col min="8980" max="8980" width="4" style="2" customWidth="1"/>
    <col min="8981" max="8981" width="6.44140625" style="2" customWidth="1"/>
    <col min="8982" max="8982" width="5.77734375" style="2" customWidth="1"/>
    <col min="8983" max="8983" width="6.77734375" style="2" customWidth="1"/>
    <col min="8984" max="8984" width="4.21875" style="2" customWidth="1"/>
    <col min="8985" max="8985" width="7.21875" style="2" customWidth="1"/>
    <col min="8986" max="9216" width="8.77734375" style="2"/>
    <col min="9217" max="9217" width="4.5546875" style="2" customWidth="1"/>
    <col min="9218" max="9219" width="6.77734375" style="2" customWidth="1"/>
    <col min="9220" max="9220" width="3.21875" style="2" customWidth="1"/>
    <col min="9221" max="9221" width="4.21875" style="2" customWidth="1"/>
    <col min="9222" max="9222" width="5.44140625" style="2" customWidth="1"/>
    <col min="9223" max="9223" width="7.77734375" style="2" customWidth="1"/>
    <col min="9224" max="9224" width="5.21875" style="2" customWidth="1"/>
    <col min="9225" max="9225" width="7" style="2" customWidth="1"/>
    <col min="9226" max="9226" width="5.21875" style="2" customWidth="1"/>
    <col min="9227" max="9227" width="7" style="2" customWidth="1"/>
    <col min="9228" max="9228" width="4.21875" style="2" customWidth="1"/>
    <col min="9229" max="9229" width="6.77734375" style="2" customWidth="1"/>
    <col min="9230" max="9230" width="5.44140625" style="2" customWidth="1"/>
    <col min="9231" max="9231" width="7" style="2" customWidth="1"/>
    <col min="9232" max="9232" width="5.21875" style="2" customWidth="1"/>
    <col min="9233" max="9233" width="4.77734375" style="2" customWidth="1"/>
    <col min="9234" max="9234" width="5.77734375" style="2" customWidth="1"/>
    <col min="9235" max="9235" width="7.44140625" style="2" customWidth="1"/>
    <col min="9236" max="9236" width="4" style="2" customWidth="1"/>
    <col min="9237" max="9237" width="6.44140625" style="2" customWidth="1"/>
    <col min="9238" max="9238" width="5.77734375" style="2" customWidth="1"/>
    <col min="9239" max="9239" width="6.77734375" style="2" customWidth="1"/>
    <col min="9240" max="9240" width="4.21875" style="2" customWidth="1"/>
    <col min="9241" max="9241" width="7.21875" style="2" customWidth="1"/>
    <col min="9242" max="9472" width="8.77734375" style="2"/>
    <col min="9473" max="9473" width="4.5546875" style="2" customWidth="1"/>
    <col min="9474" max="9475" width="6.77734375" style="2" customWidth="1"/>
    <col min="9476" max="9476" width="3.21875" style="2" customWidth="1"/>
    <col min="9477" max="9477" width="4.21875" style="2" customWidth="1"/>
    <col min="9478" max="9478" width="5.44140625" style="2" customWidth="1"/>
    <col min="9479" max="9479" width="7.77734375" style="2" customWidth="1"/>
    <col min="9480" max="9480" width="5.21875" style="2" customWidth="1"/>
    <col min="9481" max="9481" width="7" style="2" customWidth="1"/>
    <col min="9482" max="9482" width="5.21875" style="2" customWidth="1"/>
    <col min="9483" max="9483" width="7" style="2" customWidth="1"/>
    <col min="9484" max="9484" width="4.21875" style="2" customWidth="1"/>
    <col min="9485" max="9485" width="6.77734375" style="2" customWidth="1"/>
    <col min="9486" max="9486" width="5.44140625" style="2" customWidth="1"/>
    <col min="9487" max="9487" width="7" style="2" customWidth="1"/>
    <col min="9488" max="9488" width="5.21875" style="2" customWidth="1"/>
    <col min="9489" max="9489" width="4.77734375" style="2" customWidth="1"/>
    <col min="9490" max="9490" width="5.77734375" style="2" customWidth="1"/>
    <col min="9491" max="9491" width="7.44140625" style="2" customWidth="1"/>
    <col min="9492" max="9492" width="4" style="2" customWidth="1"/>
    <col min="9493" max="9493" width="6.44140625" style="2" customWidth="1"/>
    <col min="9494" max="9494" width="5.77734375" style="2" customWidth="1"/>
    <col min="9495" max="9495" width="6.77734375" style="2" customWidth="1"/>
    <col min="9496" max="9496" width="4.21875" style="2" customWidth="1"/>
    <col min="9497" max="9497" width="7.21875" style="2" customWidth="1"/>
    <col min="9498" max="9728" width="8.77734375" style="2"/>
    <col min="9729" max="9729" width="4.5546875" style="2" customWidth="1"/>
    <col min="9730" max="9731" width="6.77734375" style="2" customWidth="1"/>
    <col min="9732" max="9732" width="3.21875" style="2" customWidth="1"/>
    <col min="9733" max="9733" width="4.21875" style="2" customWidth="1"/>
    <col min="9734" max="9734" width="5.44140625" style="2" customWidth="1"/>
    <col min="9735" max="9735" width="7.77734375" style="2" customWidth="1"/>
    <col min="9736" max="9736" width="5.21875" style="2" customWidth="1"/>
    <col min="9737" max="9737" width="7" style="2" customWidth="1"/>
    <col min="9738" max="9738" width="5.21875" style="2" customWidth="1"/>
    <col min="9739" max="9739" width="7" style="2" customWidth="1"/>
    <col min="9740" max="9740" width="4.21875" style="2" customWidth="1"/>
    <col min="9741" max="9741" width="6.77734375" style="2" customWidth="1"/>
    <col min="9742" max="9742" width="5.44140625" style="2" customWidth="1"/>
    <col min="9743" max="9743" width="7" style="2" customWidth="1"/>
    <col min="9744" max="9744" width="5.21875" style="2" customWidth="1"/>
    <col min="9745" max="9745" width="4.77734375" style="2" customWidth="1"/>
    <col min="9746" max="9746" width="5.77734375" style="2" customWidth="1"/>
    <col min="9747" max="9747" width="7.44140625" style="2" customWidth="1"/>
    <col min="9748" max="9748" width="4" style="2" customWidth="1"/>
    <col min="9749" max="9749" width="6.44140625" style="2" customWidth="1"/>
    <col min="9750" max="9750" width="5.77734375" style="2" customWidth="1"/>
    <col min="9751" max="9751" width="6.77734375" style="2" customWidth="1"/>
    <col min="9752" max="9752" width="4.21875" style="2" customWidth="1"/>
    <col min="9753" max="9753" width="7.21875" style="2" customWidth="1"/>
    <col min="9754" max="9984" width="8.77734375" style="2"/>
    <col min="9985" max="9985" width="4.5546875" style="2" customWidth="1"/>
    <col min="9986" max="9987" width="6.77734375" style="2" customWidth="1"/>
    <col min="9988" max="9988" width="3.21875" style="2" customWidth="1"/>
    <col min="9989" max="9989" width="4.21875" style="2" customWidth="1"/>
    <col min="9990" max="9990" width="5.44140625" style="2" customWidth="1"/>
    <col min="9991" max="9991" width="7.77734375" style="2" customWidth="1"/>
    <col min="9992" max="9992" width="5.21875" style="2" customWidth="1"/>
    <col min="9993" max="9993" width="7" style="2" customWidth="1"/>
    <col min="9994" max="9994" width="5.21875" style="2" customWidth="1"/>
    <col min="9995" max="9995" width="7" style="2" customWidth="1"/>
    <col min="9996" max="9996" width="4.21875" style="2" customWidth="1"/>
    <col min="9997" max="9997" width="6.77734375" style="2" customWidth="1"/>
    <col min="9998" max="9998" width="5.44140625" style="2" customWidth="1"/>
    <col min="9999" max="9999" width="7" style="2" customWidth="1"/>
    <col min="10000" max="10000" width="5.21875" style="2" customWidth="1"/>
    <col min="10001" max="10001" width="4.77734375" style="2" customWidth="1"/>
    <col min="10002" max="10002" width="5.77734375" style="2" customWidth="1"/>
    <col min="10003" max="10003" width="7.44140625" style="2" customWidth="1"/>
    <col min="10004" max="10004" width="4" style="2" customWidth="1"/>
    <col min="10005" max="10005" width="6.44140625" style="2" customWidth="1"/>
    <col min="10006" max="10006" width="5.77734375" style="2" customWidth="1"/>
    <col min="10007" max="10007" width="6.77734375" style="2" customWidth="1"/>
    <col min="10008" max="10008" width="4.21875" style="2" customWidth="1"/>
    <col min="10009" max="10009" width="7.21875" style="2" customWidth="1"/>
    <col min="10010" max="10240" width="8.77734375" style="2"/>
    <col min="10241" max="10241" width="4.5546875" style="2" customWidth="1"/>
    <col min="10242" max="10243" width="6.77734375" style="2" customWidth="1"/>
    <col min="10244" max="10244" width="3.21875" style="2" customWidth="1"/>
    <col min="10245" max="10245" width="4.21875" style="2" customWidth="1"/>
    <col min="10246" max="10246" width="5.44140625" style="2" customWidth="1"/>
    <col min="10247" max="10247" width="7.77734375" style="2" customWidth="1"/>
    <col min="10248" max="10248" width="5.21875" style="2" customWidth="1"/>
    <col min="10249" max="10249" width="7" style="2" customWidth="1"/>
    <col min="10250" max="10250" width="5.21875" style="2" customWidth="1"/>
    <col min="10251" max="10251" width="7" style="2" customWidth="1"/>
    <col min="10252" max="10252" width="4.21875" style="2" customWidth="1"/>
    <col min="10253" max="10253" width="6.77734375" style="2" customWidth="1"/>
    <col min="10254" max="10254" width="5.44140625" style="2" customWidth="1"/>
    <col min="10255" max="10255" width="7" style="2" customWidth="1"/>
    <col min="10256" max="10256" width="5.21875" style="2" customWidth="1"/>
    <col min="10257" max="10257" width="4.77734375" style="2" customWidth="1"/>
    <col min="10258" max="10258" width="5.77734375" style="2" customWidth="1"/>
    <col min="10259" max="10259" width="7.44140625" style="2" customWidth="1"/>
    <col min="10260" max="10260" width="4" style="2" customWidth="1"/>
    <col min="10261" max="10261" width="6.44140625" style="2" customWidth="1"/>
    <col min="10262" max="10262" width="5.77734375" style="2" customWidth="1"/>
    <col min="10263" max="10263" width="6.77734375" style="2" customWidth="1"/>
    <col min="10264" max="10264" width="4.21875" style="2" customWidth="1"/>
    <col min="10265" max="10265" width="7.21875" style="2" customWidth="1"/>
    <col min="10266" max="10496" width="8.77734375" style="2"/>
    <col min="10497" max="10497" width="4.5546875" style="2" customWidth="1"/>
    <col min="10498" max="10499" width="6.77734375" style="2" customWidth="1"/>
    <col min="10500" max="10500" width="3.21875" style="2" customWidth="1"/>
    <col min="10501" max="10501" width="4.21875" style="2" customWidth="1"/>
    <col min="10502" max="10502" width="5.44140625" style="2" customWidth="1"/>
    <col min="10503" max="10503" width="7.77734375" style="2" customWidth="1"/>
    <col min="10504" max="10504" width="5.21875" style="2" customWidth="1"/>
    <col min="10505" max="10505" width="7" style="2" customWidth="1"/>
    <col min="10506" max="10506" width="5.21875" style="2" customWidth="1"/>
    <col min="10507" max="10507" width="7" style="2" customWidth="1"/>
    <col min="10508" max="10508" width="4.21875" style="2" customWidth="1"/>
    <col min="10509" max="10509" width="6.77734375" style="2" customWidth="1"/>
    <col min="10510" max="10510" width="5.44140625" style="2" customWidth="1"/>
    <col min="10511" max="10511" width="7" style="2" customWidth="1"/>
    <col min="10512" max="10512" width="5.21875" style="2" customWidth="1"/>
    <col min="10513" max="10513" width="4.77734375" style="2" customWidth="1"/>
    <col min="10514" max="10514" width="5.77734375" style="2" customWidth="1"/>
    <col min="10515" max="10515" width="7.44140625" style="2" customWidth="1"/>
    <col min="10516" max="10516" width="4" style="2" customWidth="1"/>
    <col min="10517" max="10517" width="6.44140625" style="2" customWidth="1"/>
    <col min="10518" max="10518" width="5.77734375" style="2" customWidth="1"/>
    <col min="10519" max="10519" width="6.77734375" style="2" customWidth="1"/>
    <col min="10520" max="10520" width="4.21875" style="2" customWidth="1"/>
    <col min="10521" max="10521" width="7.21875" style="2" customWidth="1"/>
    <col min="10522" max="10752" width="8.77734375" style="2"/>
    <col min="10753" max="10753" width="4.5546875" style="2" customWidth="1"/>
    <col min="10754" max="10755" width="6.77734375" style="2" customWidth="1"/>
    <col min="10756" max="10756" width="3.21875" style="2" customWidth="1"/>
    <col min="10757" max="10757" width="4.21875" style="2" customWidth="1"/>
    <col min="10758" max="10758" width="5.44140625" style="2" customWidth="1"/>
    <col min="10759" max="10759" width="7.77734375" style="2" customWidth="1"/>
    <col min="10760" max="10760" width="5.21875" style="2" customWidth="1"/>
    <col min="10761" max="10761" width="7" style="2" customWidth="1"/>
    <col min="10762" max="10762" width="5.21875" style="2" customWidth="1"/>
    <col min="10763" max="10763" width="7" style="2" customWidth="1"/>
    <col min="10764" max="10764" width="4.21875" style="2" customWidth="1"/>
    <col min="10765" max="10765" width="6.77734375" style="2" customWidth="1"/>
    <col min="10766" max="10766" width="5.44140625" style="2" customWidth="1"/>
    <col min="10767" max="10767" width="7" style="2" customWidth="1"/>
    <col min="10768" max="10768" width="5.21875" style="2" customWidth="1"/>
    <col min="10769" max="10769" width="4.77734375" style="2" customWidth="1"/>
    <col min="10770" max="10770" width="5.77734375" style="2" customWidth="1"/>
    <col min="10771" max="10771" width="7.44140625" style="2" customWidth="1"/>
    <col min="10772" max="10772" width="4" style="2" customWidth="1"/>
    <col min="10773" max="10773" width="6.44140625" style="2" customWidth="1"/>
    <col min="10774" max="10774" width="5.77734375" style="2" customWidth="1"/>
    <col min="10775" max="10775" width="6.77734375" style="2" customWidth="1"/>
    <col min="10776" max="10776" width="4.21875" style="2" customWidth="1"/>
    <col min="10777" max="10777" width="7.21875" style="2" customWidth="1"/>
    <col min="10778" max="11008" width="8.77734375" style="2"/>
    <col min="11009" max="11009" width="4.5546875" style="2" customWidth="1"/>
    <col min="11010" max="11011" width="6.77734375" style="2" customWidth="1"/>
    <col min="11012" max="11012" width="3.21875" style="2" customWidth="1"/>
    <col min="11013" max="11013" width="4.21875" style="2" customWidth="1"/>
    <col min="11014" max="11014" width="5.44140625" style="2" customWidth="1"/>
    <col min="11015" max="11015" width="7.77734375" style="2" customWidth="1"/>
    <col min="11016" max="11016" width="5.21875" style="2" customWidth="1"/>
    <col min="11017" max="11017" width="7" style="2" customWidth="1"/>
    <col min="11018" max="11018" width="5.21875" style="2" customWidth="1"/>
    <col min="11019" max="11019" width="7" style="2" customWidth="1"/>
    <col min="11020" max="11020" width="4.21875" style="2" customWidth="1"/>
    <col min="11021" max="11021" width="6.77734375" style="2" customWidth="1"/>
    <col min="11022" max="11022" width="5.44140625" style="2" customWidth="1"/>
    <col min="11023" max="11023" width="7" style="2" customWidth="1"/>
    <col min="11024" max="11024" width="5.21875" style="2" customWidth="1"/>
    <col min="11025" max="11025" width="4.77734375" style="2" customWidth="1"/>
    <col min="11026" max="11026" width="5.77734375" style="2" customWidth="1"/>
    <col min="11027" max="11027" width="7.44140625" style="2" customWidth="1"/>
    <col min="11028" max="11028" width="4" style="2" customWidth="1"/>
    <col min="11029" max="11029" width="6.44140625" style="2" customWidth="1"/>
    <col min="11030" max="11030" width="5.77734375" style="2" customWidth="1"/>
    <col min="11031" max="11031" width="6.77734375" style="2" customWidth="1"/>
    <col min="11032" max="11032" width="4.21875" style="2" customWidth="1"/>
    <col min="11033" max="11033" width="7.21875" style="2" customWidth="1"/>
    <col min="11034" max="11264" width="8.77734375" style="2"/>
    <col min="11265" max="11265" width="4.5546875" style="2" customWidth="1"/>
    <col min="11266" max="11267" width="6.77734375" style="2" customWidth="1"/>
    <col min="11268" max="11268" width="3.21875" style="2" customWidth="1"/>
    <col min="11269" max="11269" width="4.21875" style="2" customWidth="1"/>
    <col min="11270" max="11270" width="5.44140625" style="2" customWidth="1"/>
    <col min="11271" max="11271" width="7.77734375" style="2" customWidth="1"/>
    <col min="11272" max="11272" width="5.21875" style="2" customWidth="1"/>
    <col min="11273" max="11273" width="7" style="2" customWidth="1"/>
    <col min="11274" max="11274" width="5.21875" style="2" customWidth="1"/>
    <col min="11275" max="11275" width="7" style="2" customWidth="1"/>
    <col min="11276" max="11276" width="4.21875" style="2" customWidth="1"/>
    <col min="11277" max="11277" width="6.77734375" style="2" customWidth="1"/>
    <col min="11278" max="11278" width="5.44140625" style="2" customWidth="1"/>
    <col min="11279" max="11279" width="7" style="2" customWidth="1"/>
    <col min="11280" max="11280" width="5.21875" style="2" customWidth="1"/>
    <col min="11281" max="11281" width="4.77734375" style="2" customWidth="1"/>
    <col min="11282" max="11282" width="5.77734375" style="2" customWidth="1"/>
    <col min="11283" max="11283" width="7.44140625" style="2" customWidth="1"/>
    <col min="11284" max="11284" width="4" style="2" customWidth="1"/>
    <col min="11285" max="11285" width="6.44140625" style="2" customWidth="1"/>
    <col min="11286" max="11286" width="5.77734375" style="2" customWidth="1"/>
    <col min="11287" max="11287" width="6.77734375" style="2" customWidth="1"/>
    <col min="11288" max="11288" width="4.21875" style="2" customWidth="1"/>
    <col min="11289" max="11289" width="7.21875" style="2" customWidth="1"/>
    <col min="11290" max="11520" width="8.77734375" style="2"/>
    <col min="11521" max="11521" width="4.5546875" style="2" customWidth="1"/>
    <col min="11522" max="11523" width="6.77734375" style="2" customWidth="1"/>
    <col min="11524" max="11524" width="3.21875" style="2" customWidth="1"/>
    <col min="11525" max="11525" width="4.21875" style="2" customWidth="1"/>
    <col min="11526" max="11526" width="5.44140625" style="2" customWidth="1"/>
    <col min="11527" max="11527" width="7.77734375" style="2" customWidth="1"/>
    <col min="11528" max="11528" width="5.21875" style="2" customWidth="1"/>
    <col min="11529" max="11529" width="7" style="2" customWidth="1"/>
    <col min="11530" max="11530" width="5.21875" style="2" customWidth="1"/>
    <col min="11531" max="11531" width="7" style="2" customWidth="1"/>
    <col min="11532" max="11532" width="4.21875" style="2" customWidth="1"/>
    <col min="11533" max="11533" width="6.77734375" style="2" customWidth="1"/>
    <col min="11534" max="11534" width="5.44140625" style="2" customWidth="1"/>
    <col min="11535" max="11535" width="7" style="2" customWidth="1"/>
    <col min="11536" max="11536" width="5.21875" style="2" customWidth="1"/>
    <col min="11537" max="11537" width="4.77734375" style="2" customWidth="1"/>
    <col min="11538" max="11538" width="5.77734375" style="2" customWidth="1"/>
    <col min="11539" max="11539" width="7.44140625" style="2" customWidth="1"/>
    <col min="11540" max="11540" width="4" style="2" customWidth="1"/>
    <col min="11541" max="11541" width="6.44140625" style="2" customWidth="1"/>
    <col min="11542" max="11542" width="5.77734375" style="2" customWidth="1"/>
    <col min="11543" max="11543" width="6.77734375" style="2" customWidth="1"/>
    <col min="11544" max="11544" width="4.21875" style="2" customWidth="1"/>
    <col min="11545" max="11545" width="7.21875" style="2" customWidth="1"/>
    <col min="11546" max="11776" width="8.77734375" style="2"/>
    <col min="11777" max="11777" width="4.5546875" style="2" customWidth="1"/>
    <col min="11778" max="11779" width="6.77734375" style="2" customWidth="1"/>
    <col min="11780" max="11780" width="3.21875" style="2" customWidth="1"/>
    <col min="11781" max="11781" width="4.21875" style="2" customWidth="1"/>
    <col min="11782" max="11782" width="5.44140625" style="2" customWidth="1"/>
    <col min="11783" max="11783" width="7.77734375" style="2" customWidth="1"/>
    <col min="11784" max="11784" width="5.21875" style="2" customWidth="1"/>
    <col min="11785" max="11785" width="7" style="2" customWidth="1"/>
    <col min="11786" max="11786" width="5.21875" style="2" customWidth="1"/>
    <col min="11787" max="11787" width="7" style="2" customWidth="1"/>
    <col min="11788" max="11788" width="4.21875" style="2" customWidth="1"/>
    <col min="11789" max="11789" width="6.77734375" style="2" customWidth="1"/>
    <col min="11790" max="11790" width="5.44140625" style="2" customWidth="1"/>
    <col min="11791" max="11791" width="7" style="2" customWidth="1"/>
    <col min="11792" max="11792" width="5.21875" style="2" customWidth="1"/>
    <col min="11793" max="11793" width="4.77734375" style="2" customWidth="1"/>
    <col min="11794" max="11794" width="5.77734375" style="2" customWidth="1"/>
    <col min="11795" max="11795" width="7.44140625" style="2" customWidth="1"/>
    <col min="11796" max="11796" width="4" style="2" customWidth="1"/>
    <col min="11797" max="11797" width="6.44140625" style="2" customWidth="1"/>
    <col min="11798" max="11798" width="5.77734375" style="2" customWidth="1"/>
    <col min="11799" max="11799" width="6.77734375" style="2" customWidth="1"/>
    <col min="11800" max="11800" width="4.21875" style="2" customWidth="1"/>
    <col min="11801" max="11801" width="7.21875" style="2" customWidth="1"/>
    <col min="11802" max="12032" width="8.77734375" style="2"/>
    <col min="12033" max="12033" width="4.5546875" style="2" customWidth="1"/>
    <col min="12034" max="12035" width="6.77734375" style="2" customWidth="1"/>
    <col min="12036" max="12036" width="3.21875" style="2" customWidth="1"/>
    <col min="12037" max="12037" width="4.21875" style="2" customWidth="1"/>
    <col min="12038" max="12038" width="5.44140625" style="2" customWidth="1"/>
    <col min="12039" max="12039" width="7.77734375" style="2" customWidth="1"/>
    <col min="12040" max="12040" width="5.21875" style="2" customWidth="1"/>
    <col min="12041" max="12041" width="7" style="2" customWidth="1"/>
    <col min="12042" max="12042" width="5.21875" style="2" customWidth="1"/>
    <col min="12043" max="12043" width="7" style="2" customWidth="1"/>
    <col min="12044" max="12044" width="4.21875" style="2" customWidth="1"/>
    <col min="12045" max="12045" width="6.77734375" style="2" customWidth="1"/>
    <col min="12046" max="12046" width="5.44140625" style="2" customWidth="1"/>
    <col min="12047" max="12047" width="7" style="2" customWidth="1"/>
    <col min="12048" max="12048" width="5.21875" style="2" customWidth="1"/>
    <col min="12049" max="12049" width="4.77734375" style="2" customWidth="1"/>
    <col min="12050" max="12050" width="5.77734375" style="2" customWidth="1"/>
    <col min="12051" max="12051" width="7.44140625" style="2" customWidth="1"/>
    <col min="12052" max="12052" width="4" style="2" customWidth="1"/>
    <col min="12053" max="12053" width="6.44140625" style="2" customWidth="1"/>
    <col min="12054" max="12054" width="5.77734375" style="2" customWidth="1"/>
    <col min="12055" max="12055" width="6.77734375" style="2" customWidth="1"/>
    <col min="12056" max="12056" width="4.21875" style="2" customWidth="1"/>
    <col min="12057" max="12057" width="7.21875" style="2" customWidth="1"/>
    <col min="12058" max="12288" width="8.77734375" style="2"/>
    <col min="12289" max="12289" width="4.5546875" style="2" customWidth="1"/>
    <col min="12290" max="12291" width="6.77734375" style="2" customWidth="1"/>
    <col min="12292" max="12292" width="3.21875" style="2" customWidth="1"/>
    <col min="12293" max="12293" width="4.21875" style="2" customWidth="1"/>
    <col min="12294" max="12294" width="5.44140625" style="2" customWidth="1"/>
    <col min="12295" max="12295" width="7.77734375" style="2" customWidth="1"/>
    <col min="12296" max="12296" width="5.21875" style="2" customWidth="1"/>
    <col min="12297" max="12297" width="7" style="2" customWidth="1"/>
    <col min="12298" max="12298" width="5.21875" style="2" customWidth="1"/>
    <col min="12299" max="12299" width="7" style="2" customWidth="1"/>
    <col min="12300" max="12300" width="4.21875" style="2" customWidth="1"/>
    <col min="12301" max="12301" width="6.77734375" style="2" customWidth="1"/>
    <col min="12302" max="12302" width="5.44140625" style="2" customWidth="1"/>
    <col min="12303" max="12303" width="7" style="2" customWidth="1"/>
    <col min="12304" max="12304" width="5.21875" style="2" customWidth="1"/>
    <col min="12305" max="12305" width="4.77734375" style="2" customWidth="1"/>
    <col min="12306" max="12306" width="5.77734375" style="2" customWidth="1"/>
    <col min="12307" max="12307" width="7.44140625" style="2" customWidth="1"/>
    <col min="12308" max="12308" width="4" style="2" customWidth="1"/>
    <col min="12309" max="12309" width="6.44140625" style="2" customWidth="1"/>
    <col min="12310" max="12310" width="5.77734375" style="2" customWidth="1"/>
    <col min="12311" max="12311" width="6.77734375" style="2" customWidth="1"/>
    <col min="12312" max="12312" width="4.21875" style="2" customWidth="1"/>
    <col min="12313" max="12313" width="7.21875" style="2" customWidth="1"/>
    <col min="12314" max="12544" width="8.77734375" style="2"/>
    <col min="12545" max="12545" width="4.5546875" style="2" customWidth="1"/>
    <col min="12546" max="12547" width="6.77734375" style="2" customWidth="1"/>
    <col min="12548" max="12548" width="3.21875" style="2" customWidth="1"/>
    <col min="12549" max="12549" width="4.21875" style="2" customWidth="1"/>
    <col min="12550" max="12550" width="5.44140625" style="2" customWidth="1"/>
    <col min="12551" max="12551" width="7.77734375" style="2" customWidth="1"/>
    <col min="12552" max="12552" width="5.21875" style="2" customWidth="1"/>
    <col min="12553" max="12553" width="7" style="2" customWidth="1"/>
    <col min="12554" max="12554" width="5.21875" style="2" customWidth="1"/>
    <col min="12555" max="12555" width="7" style="2" customWidth="1"/>
    <col min="12556" max="12556" width="4.21875" style="2" customWidth="1"/>
    <col min="12557" max="12557" width="6.77734375" style="2" customWidth="1"/>
    <col min="12558" max="12558" width="5.44140625" style="2" customWidth="1"/>
    <col min="12559" max="12559" width="7" style="2" customWidth="1"/>
    <col min="12560" max="12560" width="5.21875" style="2" customWidth="1"/>
    <col min="12561" max="12561" width="4.77734375" style="2" customWidth="1"/>
    <col min="12562" max="12562" width="5.77734375" style="2" customWidth="1"/>
    <col min="12563" max="12563" width="7.44140625" style="2" customWidth="1"/>
    <col min="12564" max="12564" width="4" style="2" customWidth="1"/>
    <col min="12565" max="12565" width="6.44140625" style="2" customWidth="1"/>
    <col min="12566" max="12566" width="5.77734375" style="2" customWidth="1"/>
    <col min="12567" max="12567" width="6.77734375" style="2" customWidth="1"/>
    <col min="12568" max="12568" width="4.21875" style="2" customWidth="1"/>
    <col min="12569" max="12569" width="7.21875" style="2" customWidth="1"/>
    <col min="12570" max="12800" width="8.77734375" style="2"/>
    <col min="12801" max="12801" width="4.5546875" style="2" customWidth="1"/>
    <col min="12802" max="12803" width="6.77734375" style="2" customWidth="1"/>
    <col min="12804" max="12804" width="3.21875" style="2" customWidth="1"/>
    <col min="12805" max="12805" width="4.21875" style="2" customWidth="1"/>
    <col min="12806" max="12806" width="5.44140625" style="2" customWidth="1"/>
    <col min="12807" max="12807" width="7.77734375" style="2" customWidth="1"/>
    <col min="12808" max="12808" width="5.21875" style="2" customWidth="1"/>
    <col min="12809" max="12809" width="7" style="2" customWidth="1"/>
    <col min="12810" max="12810" width="5.21875" style="2" customWidth="1"/>
    <col min="12811" max="12811" width="7" style="2" customWidth="1"/>
    <col min="12812" max="12812" width="4.21875" style="2" customWidth="1"/>
    <col min="12813" max="12813" width="6.77734375" style="2" customWidth="1"/>
    <col min="12814" max="12814" width="5.44140625" style="2" customWidth="1"/>
    <col min="12815" max="12815" width="7" style="2" customWidth="1"/>
    <col min="12816" max="12816" width="5.21875" style="2" customWidth="1"/>
    <col min="12817" max="12817" width="4.77734375" style="2" customWidth="1"/>
    <col min="12818" max="12818" width="5.77734375" style="2" customWidth="1"/>
    <col min="12819" max="12819" width="7.44140625" style="2" customWidth="1"/>
    <col min="12820" max="12820" width="4" style="2" customWidth="1"/>
    <col min="12821" max="12821" width="6.44140625" style="2" customWidth="1"/>
    <col min="12822" max="12822" width="5.77734375" style="2" customWidth="1"/>
    <col min="12823" max="12823" width="6.77734375" style="2" customWidth="1"/>
    <col min="12824" max="12824" width="4.21875" style="2" customWidth="1"/>
    <col min="12825" max="12825" width="7.21875" style="2" customWidth="1"/>
    <col min="12826" max="13056" width="8.77734375" style="2"/>
    <col min="13057" max="13057" width="4.5546875" style="2" customWidth="1"/>
    <col min="13058" max="13059" width="6.77734375" style="2" customWidth="1"/>
    <col min="13060" max="13060" width="3.21875" style="2" customWidth="1"/>
    <col min="13061" max="13061" width="4.21875" style="2" customWidth="1"/>
    <col min="13062" max="13062" width="5.44140625" style="2" customWidth="1"/>
    <col min="13063" max="13063" width="7.77734375" style="2" customWidth="1"/>
    <col min="13064" max="13064" width="5.21875" style="2" customWidth="1"/>
    <col min="13065" max="13065" width="7" style="2" customWidth="1"/>
    <col min="13066" max="13066" width="5.21875" style="2" customWidth="1"/>
    <col min="13067" max="13067" width="7" style="2" customWidth="1"/>
    <col min="13068" max="13068" width="4.21875" style="2" customWidth="1"/>
    <col min="13069" max="13069" width="6.77734375" style="2" customWidth="1"/>
    <col min="13070" max="13070" width="5.44140625" style="2" customWidth="1"/>
    <col min="13071" max="13071" width="7" style="2" customWidth="1"/>
    <col min="13072" max="13072" width="5.21875" style="2" customWidth="1"/>
    <col min="13073" max="13073" width="4.77734375" style="2" customWidth="1"/>
    <col min="13074" max="13074" width="5.77734375" style="2" customWidth="1"/>
    <col min="13075" max="13075" width="7.44140625" style="2" customWidth="1"/>
    <col min="13076" max="13076" width="4" style="2" customWidth="1"/>
    <col min="13077" max="13077" width="6.44140625" style="2" customWidth="1"/>
    <col min="13078" max="13078" width="5.77734375" style="2" customWidth="1"/>
    <col min="13079" max="13079" width="6.77734375" style="2" customWidth="1"/>
    <col min="13080" max="13080" width="4.21875" style="2" customWidth="1"/>
    <col min="13081" max="13081" width="7.21875" style="2" customWidth="1"/>
    <col min="13082" max="13312" width="8.77734375" style="2"/>
    <col min="13313" max="13313" width="4.5546875" style="2" customWidth="1"/>
    <col min="13314" max="13315" width="6.77734375" style="2" customWidth="1"/>
    <col min="13316" max="13316" width="3.21875" style="2" customWidth="1"/>
    <col min="13317" max="13317" width="4.21875" style="2" customWidth="1"/>
    <col min="13318" max="13318" width="5.44140625" style="2" customWidth="1"/>
    <col min="13319" max="13319" width="7.77734375" style="2" customWidth="1"/>
    <col min="13320" max="13320" width="5.21875" style="2" customWidth="1"/>
    <col min="13321" max="13321" width="7" style="2" customWidth="1"/>
    <col min="13322" max="13322" width="5.21875" style="2" customWidth="1"/>
    <col min="13323" max="13323" width="7" style="2" customWidth="1"/>
    <col min="13324" max="13324" width="4.21875" style="2" customWidth="1"/>
    <col min="13325" max="13325" width="6.77734375" style="2" customWidth="1"/>
    <col min="13326" max="13326" width="5.44140625" style="2" customWidth="1"/>
    <col min="13327" max="13327" width="7" style="2" customWidth="1"/>
    <col min="13328" max="13328" width="5.21875" style="2" customWidth="1"/>
    <col min="13329" max="13329" width="4.77734375" style="2" customWidth="1"/>
    <col min="13330" max="13330" width="5.77734375" style="2" customWidth="1"/>
    <col min="13331" max="13331" width="7.44140625" style="2" customWidth="1"/>
    <col min="13332" max="13332" width="4" style="2" customWidth="1"/>
    <col min="13333" max="13333" width="6.44140625" style="2" customWidth="1"/>
    <col min="13334" max="13334" width="5.77734375" style="2" customWidth="1"/>
    <col min="13335" max="13335" width="6.77734375" style="2" customWidth="1"/>
    <col min="13336" max="13336" width="4.21875" style="2" customWidth="1"/>
    <col min="13337" max="13337" width="7.21875" style="2" customWidth="1"/>
    <col min="13338" max="13568" width="8.77734375" style="2"/>
    <col min="13569" max="13569" width="4.5546875" style="2" customWidth="1"/>
    <col min="13570" max="13571" width="6.77734375" style="2" customWidth="1"/>
    <col min="13572" max="13572" width="3.21875" style="2" customWidth="1"/>
    <col min="13573" max="13573" width="4.21875" style="2" customWidth="1"/>
    <col min="13574" max="13574" width="5.44140625" style="2" customWidth="1"/>
    <col min="13575" max="13575" width="7.77734375" style="2" customWidth="1"/>
    <col min="13576" max="13576" width="5.21875" style="2" customWidth="1"/>
    <col min="13577" max="13577" width="7" style="2" customWidth="1"/>
    <col min="13578" max="13578" width="5.21875" style="2" customWidth="1"/>
    <col min="13579" max="13579" width="7" style="2" customWidth="1"/>
    <col min="13580" max="13580" width="4.21875" style="2" customWidth="1"/>
    <col min="13581" max="13581" width="6.77734375" style="2" customWidth="1"/>
    <col min="13582" max="13582" width="5.44140625" style="2" customWidth="1"/>
    <col min="13583" max="13583" width="7" style="2" customWidth="1"/>
    <col min="13584" max="13584" width="5.21875" style="2" customWidth="1"/>
    <col min="13585" max="13585" width="4.77734375" style="2" customWidth="1"/>
    <col min="13586" max="13586" width="5.77734375" style="2" customWidth="1"/>
    <col min="13587" max="13587" width="7.44140625" style="2" customWidth="1"/>
    <col min="13588" max="13588" width="4" style="2" customWidth="1"/>
    <col min="13589" max="13589" width="6.44140625" style="2" customWidth="1"/>
    <col min="13590" max="13590" width="5.77734375" style="2" customWidth="1"/>
    <col min="13591" max="13591" width="6.77734375" style="2" customWidth="1"/>
    <col min="13592" max="13592" width="4.21875" style="2" customWidth="1"/>
    <col min="13593" max="13593" width="7.21875" style="2" customWidth="1"/>
    <col min="13594" max="13824" width="8.77734375" style="2"/>
    <col min="13825" max="13825" width="4.5546875" style="2" customWidth="1"/>
    <col min="13826" max="13827" width="6.77734375" style="2" customWidth="1"/>
    <col min="13828" max="13828" width="3.21875" style="2" customWidth="1"/>
    <col min="13829" max="13829" width="4.21875" style="2" customWidth="1"/>
    <col min="13830" max="13830" width="5.44140625" style="2" customWidth="1"/>
    <col min="13831" max="13831" width="7.77734375" style="2" customWidth="1"/>
    <col min="13832" max="13832" width="5.21875" style="2" customWidth="1"/>
    <col min="13833" max="13833" width="7" style="2" customWidth="1"/>
    <col min="13834" max="13834" width="5.21875" style="2" customWidth="1"/>
    <col min="13835" max="13835" width="7" style="2" customWidth="1"/>
    <col min="13836" max="13836" width="4.21875" style="2" customWidth="1"/>
    <col min="13837" max="13837" width="6.77734375" style="2" customWidth="1"/>
    <col min="13838" max="13838" width="5.44140625" style="2" customWidth="1"/>
    <col min="13839" max="13839" width="7" style="2" customWidth="1"/>
    <col min="13840" max="13840" width="5.21875" style="2" customWidth="1"/>
    <col min="13841" max="13841" width="4.77734375" style="2" customWidth="1"/>
    <col min="13842" max="13842" width="5.77734375" style="2" customWidth="1"/>
    <col min="13843" max="13843" width="7.44140625" style="2" customWidth="1"/>
    <col min="13844" max="13844" width="4" style="2" customWidth="1"/>
    <col min="13845" max="13845" width="6.44140625" style="2" customWidth="1"/>
    <col min="13846" max="13846" width="5.77734375" style="2" customWidth="1"/>
    <col min="13847" max="13847" width="6.77734375" style="2" customWidth="1"/>
    <col min="13848" max="13848" width="4.21875" style="2" customWidth="1"/>
    <col min="13849" max="13849" width="7.21875" style="2" customWidth="1"/>
    <col min="13850" max="14080" width="8.77734375" style="2"/>
    <col min="14081" max="14081" width="4.5546875" style="2" customWidth="1"/>
    <col min="14082" max="14083" width="6.77734375" style="2" customWidth="1"/>
    <col min="14084" max="14084" width="3.21875" style="2" customWidth="1"/>
    <col min="14085" max="14085" width="4.21875" style="2" customWidth="1"/>
    <col min="14086" max="14086" width="5.44140625" style="2" customWidth="1"/>
    <col min="14087" max="14087" width="7.77734375" style="2" customWidth="1"/>
    <col min="14088" max="14088" width="5.21875" style="2" customWidth="1"/>
    <col min="14089" max="14089" width="7" style="2" customWidth="1"/>
    <col min="14090" max="14090" width="5.21875" style="2" customWidth="1"/>
    <col min="14091" max="14091" width="7" style="2" customWidth="1"/>
    <col min="14092" max="14092" width="4.21875" style="2" customWidth="1"/>
    <col min="14093" max="14093" width="6.77734375" style="2" customWidth="1"/>
    <col min="14094" max="14094" width="5.44140625" style="2" customWidth="1"/>
    <col min="14095" max="14095" width="7" style="2" customWidth="1"/>
    <col min="14096" max="14096" width="5.21875" style="2" customWidth="1"/>
    <col min="14097" max="14097" width="4.77734375" style="2" customWidth="1"/>
    <col min="14098" max="14098" width="5.77734375" style="2" customWidth="1"/>
    <col min="14099" max="14099" width="7.44140625" style="2" customWidth="1"/>
    <col min="14100" max="14100" width="4" style="2" customWidth="1"/>
    <col min="14101" max="14101" width="6.44140625" style="2" customWidth="1"/>
    <col min="14102" max="14102" width="5.77734375" style="2" customWidth="1"/>
    <col min="14103" max="14103" width="6.77734375" style="2" customWidth="1"/>
    <col min="14104" max="14104" width="4.21875" style="2" customWidth="1"/>
    <col min="14105" max="14105" width="7.21875" style="2" customWidth="1"/>
    <col min="14106" max="14336" width="8.77734375" style="2"/>
    <col min="14337" max="14337" width="4.5546875" style="2" customWidth="1"/>
    <col min="14338" max="14339" width="6.77734375" style="2" customWidth="1"/>
    <col min="14340" max="14340" width="3.21875" style="2" customWidth="1"/>
    <col min="14341" max="14341" width="4.21875" style="2" customWidth="1"/>
    <col min="14342" max="14342" width="5.44140625" style="2" customWidth="1"/>
    <col min="14343" max="14343" width="7.77734375" style="2" customWidth="1"/>
    <col min="14344" max="14344" width="5.21875" style="2" customWidth="1"/>
    <col min="14345" max="14345" width="7" style="2" customWidth="1"/>
    <col min="14346" max="14346" width="5.21875" style="2" customWidth="1"/>
    <col min="14347" max="14347" width="7" style="2" customWidth="1"/>
    <col min="14348" max="14348" width="4.21875" style="2" customWidth="1"/>
    <col min="14349" max="14349" width="6.77734375" style="2" customWidth="1"/>
    <col min="14350" max="14350" width="5.44140625" style="2" customWidth="1"/>
    <col min="14351" max="14351" width="7" style="2" customWidth="1"/>
    <col min="14352" max="14352" width="5.21875" style="2" customWidth="1"/>
    <col min="14353" max="14353" width="4.77734375" style="2" customWidth="1"/>
    <col min="14354" max="14354" width="5.77734375" style="2" customWidth="1"/>
    <col min="14355" max="14355" width="7.44140625" style="2" customWidth="1"/>
    <col min="14356" max="14356" width="4" style="2" customWidth="1"/>
    <col min="14357" max="14357" width="6.44140625" style="2" customWidth="1"/>
    <col min="14358" max="14358" width="5.77734375" style="2" customWidth="1"/>
    <col min="14359" max="14359" width="6.77734375" style="2" customWidth="1"/>
    <col min="14360" max="14360" width="4.21875" style="2" customWidth="1"/>
    <col min="14361" max="14361" width="7.21875" style="2" customWidth="1"/>
    <col min="14362" max="14592" width="8.77734375" style="2"/>
    <col min="14593" max="14593" width="4.5546875" style="2" customWidth="1"/>
    <col min="14594" max="14595" width="6.77734375" style="2" customWidth="1"/>
    <col min="14596" max="14596" width="3.21875" style="2" customWidth="1"/>
    <col min="14597" max="14597" width="4.21875" style="2" customWidth="1"/>
    <col min="14598" max="14598" width="5.44140625" style="2" customWidth="1"/>
    <col min="14599" max="14599" width="7.77734375" style="2" customWidth="1"/>
    <col min="14600" max="14600" width="5.21875" style="2" customWidth="1"/>
    <col min="14601" max="14601" width="7" style="2" customWidth="1"/>
    <col min="14602" max="14602" width="5.21875" style="2" customWidth="1"/>
    <col min="14603" max="14603" width="7" style="2" customWidth="1"/>
    <col min="14604" max="14604" width="4.21875" style="2" customWidth="1"/>
    <col min="14605" max="14605" width="6.77734375" style="2" customWidth="1"/>
    <col min="14606" max="14606" width="5.44140625" style="2" customWidth="1"/>
    <col min="14607" max="14607" width="7" style="2" customWidth="1"/>
    <col min="14608" max="14608" width="5.21875" style="2" customWidth="1"/>
    <col min="14609" max="14609" width="4.77734375" style="2" customWidth="1"/>
    <col min="14610" max="14610" width="5.77734375" style="2" customWidth="1"/>
    <col min="14611" max="14611" width="7.44140625" style="2" customWidth="1"/>
    <col min="14612" max="14612" width="4" style="2" customWidth="1"/>
    <col min="14613" max="14613" width="6.44140625" style="2" customWidth="1"/>
    <col min="14614" max="14614" width="5.77734375" style="2" customWidth="1"/>
    <col min="14615" max="14615" width="6.77734375" style="2" customWidth="1"/>
    <col min="14616" max="14616" width="4.21875" style="2" customWidth="1"/>
    <col min="14617" max="14617" width="7.21875" style="2" customWidth="1"/>
    <col min="14618" max="14848" width="8.77734375" style="2"/>
    <col min="14849" max="14849" width="4.5546875" style="2" customWidth="1"/>
    <col min="14850" max="14851" width="6.77734375" style="2" customWidth="1"/>
    <col min="14852" max="14852" width="3.21875" style="2" customWidth="1"/>
    <col min="14853" max="14853" width="4.21875" style="2" customWidth="1"/>
    <col min="14854" max="14854" width="5.44140625" style="2" customWidth="1"/>
    <col min="14855" max="14855" width="7.77734375" style="2" customWidth="1"/>
    <col min="14856" max="14856" width="5.21875" style="2" customWidth="1"/>
    <col min="14857" max="14857" width="7" style="2" customWidth="1"/>
    <col min="14858" max="14858" width="5.21875" style="2" customWidth="1"/>
    <col min="14859" max="14859" width="7" style="2" customWidth="1"/>
    <col min="14860" max="14860" width="4.21875" style="2" customWidth="1"/>
    <col min="14861" max="14861" width="6.77734375" style="2" customWidth="1"/>
    <col min="14862" max="14862" width="5.44140625" style="2" customWidth="1"/>
    <col min="14863" max="14863" width="7" style="2" customWidth="1"/>
    <col min="14864" max="14864" width="5.21875" style="2" customWidth="1"/>
    <col min="14865" max="14865" width="4.77734375" style="2" customWidth="1"/>
    <col min="14866" max="14866" width="5.77734375" style="2" customWidth="1"/>
    <col min="14867" max="14867" width="7.44140625" style="2" customWidth="1"/>
    <col min="14868" max="14868" width="4" style="2" customWidth="1"/>
    <col min="14869" max="14869" width="6.44140625" style="2" customWidth="1"/>
    <col min="14870" max="14870" width="5.77734375" style="2" customWidth="1"/>
    <col min="14871" max="14871" width="6.77734375" style="2" customWidth="1"/>
    <col min="14872" max="14872" width="4.21875" style="2" customWidth="1"/>
    <col min="14873" max="14873" width="7.21875" style="2" customWidth="1"/>
    <col min="14874" max="15104" width="8.77734375" style="2"/>
    <col min="15105" max="15105" width="4.5546875" style="2" customWidth="1"/>
    <col min="15106" max="15107" width="6.77734375" style="2" customWidth="1"/>
    <col min="15108" max="15108" width="3.21875" style="2" customWidth="1"/>
    <col min="15109" max="15109" width="4.21875" style="2" customWidth="1"/>
    <col min="15110" max="15110" width="5.44140625" style="2" customWidth="1"/>
    <col min="15111" max="15111" width="7.77734375" style="2" customWidth="1"/>
    <col min="15112" max="15112" width="5.21875" style="2" customWidth="1"/>
    <col min="15113" max="15113" width="7" style="2" customWidth="1"/>
    <col min="15114" max="15114" width="5.21875" style="2" customWidth="1"/>
    <col min="15115" max="15115" width="7" style="2" customWidth="1"/>
    <col min="15116" max="15116" width="4.21875" style="2" customWidth="1"/>
    <col min="15117" max="15117" width="6.77734375" style="2" customWidth="1"/>
    <col min="15118" max="15118" width="5.44140625" style="2" customWidth="1"/>
    <col min="15119" max="15119" width="7" style="2" customWidth="1"/>
    <col min="15120" max="15120" width="5.21875" style="2" customWidth="1"/>
    <col min="15121" max="15121" width="4.77734375" style="2" customWidth="1"/>
    <col min="15122" max="15122" width="5.77734375" style="2" customWidth="1"/>
    <col min="15123" max="15123" width="7.44140625" style="2" customWidth="1"/>
    <col min="15124" max="15124" width="4" style="2" customWidth="1"/>
    <col min="15125" max="15125" width="6.44140625" style="2" customWidth="1"/>
    <col min="15126" max="15126" width="5.77734375" style="2" customWidth="1"/>
    <col min="15127" max="15127" width="6.77734375" style="2" customWidth="1"/>
    <col min="15128" max="15128" width="4.21875" style="2" customWidth="1"/>
    <col min="15129" max="15129" width="7.21875" style="2" customWidth="1"/>
    <col min="15130" max="15360" width="8.77734375" style="2"/>
    <col min="15361" max="15361" width="4.5546875" style="2" customWidth="1"/>
    <col min="15362" max="15363" width="6.77734375" style="2" customWidth="1"/>
    <col min="15364" max="15364" width="3.21875" style="2" customWidth="1"/>
    <col min="15365" max="15365" width="4.21875" style="2" customWidth="1"/>
    <col min="15366" max="15366" width="5.44140625" style="2" customWidth="1"/>
    <col min="15367" max="15367" width="7.77734375" style="2" customWidth="1"/>
    <col min="15368" max="15368" width="5.21875" style="2" customWidth="1"/>
    <col min="15369" max="15369" width="7" style="2" customWidth="1"/>
    <col min="15370" max="15370" width="5.21875" style="2" customWidth="1"/>
    <col min="15371" max="15371" width="7" style="2" customWidth="1"/>
    <col min="15372" max="15372" width="4.21875" style="2" customWidth="1"/>
    <col min="15373" max="15373" width="6.77734375" style="2" customWidth="1"/>
    <col min="15374" max="15374" width="5.44140625" style="2" customWidth="1"/>
    <col min="15375" max="15375" width="7" style="2" customWidth="1"/>
    <col min="15376" max="15376" width="5.21875" style="2" customWidth="1"/>
    <col min="15377" max="15377" width="4.77734375" style="2" customWidth="1"/>
    <col min="15378" max="15378" width="5.77734375" style="2" customWidth="1"/>
    <col min="15379" max="15379" width="7.44140625" style="2" customWidth="1"/>
    <col min="15380" max="15380" width="4" style="2" customWidth="1"/>
    <col min="15381" max="15381" width="6.44140625" style="2" customWidth="1"/>
    <col min="15382" max="15382" width="5.77734375" style="2" customWidth="1"/>
    <col min="15383" max="15383" width="6.77734375" style="2" customWidth="1"/>
    <col min="15384" max="15384" width="4.21875" style="2" customWidth="1"/>
    <col min="15385" max="15385" width="7.21875" style="2" customWidth="1"/>
    <col min="15386" max="15616" width="8.77734375" style="2"/>
    <col min="15617" max="15617" width="4.5546875" style="2" customWidth="1"/>
    <col min="15618" max="15619" width="6.77734375" style="2" customWidth="1"/>
    <col min="15620" max="15620" width="3.21875" style="2" customWidth="1"/>
    <col min="15621" max="15621" width="4.21875" style="2" customWidth="1"/>
    <col min="15622" max="15622" width="5.44140625" style="2" customWidth="1"/>
    <col min="15623" max="15623" width="7.77734375" style="2" customWidth="1"/>
    <col min="15624" max="15624" width="5.21875" style="2" customWidth="1"/>
    <col min="15625" max="15625" width="7" style="2" customWidth="1"/>
    <col min="15626" max="15626" width="5.21875" style="2" customWidth="1"/>
    <col min="15627" max="15627" width="7" style="2" customWidth="1"/>
    <col min="15628" max="15628" width="4.21875" style="2" customWidth="1"/>
    <col min="15629" max="15629" width="6.77734375" style="2" customWidth="1"/>
    <col min="15630" max="15630" width="5.44140625" style="2" customWidth="1"/>
    <col min="15631" max="15631" width="7" style="2" customWidth="1"/>
    <col min="15632" max="15632" width="5.21875" style="2" customWidth="1"/>
    <col min="15633" max="15633" width="4.77734375" style="2" customWidth="1"/>
    <col min="15634" max="15634" width="5.77734375" style="2" customWidth="1"/>
    <col min="15635" max="15635" width="7.44140625" style="2" customWidth="1"/>
    <col min="15636" max="15636" width="4" style="2" customWidth="1"/>
    <col min="15637" max="15637" width="6.44140625" style="2" customWidth="1"/>
    <col min="15638" max="15638" width="5.77734375" style="2" customWidth="1"/>
    <col min="15639" max="15639" width="6.77734375" style="2" customWidth="1"/>
    <col min="15640" max="15640" width="4.21875" style="2" customWidth="1"/>
    <col min="15641" max="15641" width="7.21875" style="2" customWidth="1"/>
    <col min="15642" max="15872" width="8.77734375" style="2"/>
    <col min="15873" max="15873" width="4.5546875" style="2" customWidth="1"/>
    <col min="15874" max="15875" width="6.77734375" style="2" customWidth="1"/>
    <col min="15876" max="15876" width="3.21875" style="2" customWidth="1"/>
    <col min="15877" max="15877" width="4.21875" style="2" customWidth="1"/>
    <col min="15878" max="15878" width="5.44140625" style="2" customWidth="1"/>
    <col min="15879" max="15879" width="7.77734375" style="2" customWidth="1"/>
    <col min="15880" max="15880" width="5.21875" style="2" customWidth="1"/>
    <col min="15881" max="15881" width="7" style="2" customWidth="1"/>
    <col min="15882" max="15882" width="5.21875" style="2" customWidth="1"/>
    <col min="15883" max="15883" width="7" style="2" customWidth="1"/>
    <col min="15884" max="15884" width="4.21875" style="2" customWidth="1"/>
    <col min="15885" max="15885" width="6.77734375" style="2" customWidth="1"/>
    <col min="15886" max="15886" width="5.44140625" style="2" customWidth="1"/>
    <col min="15887" max="15887" width="7" style="2" customWidth="1"/>
    <col min="15888" max="15888" width="5.21875" style="2" customWidth="1"/>
    <col min="15889" max="15889" width="4.77734375" style="2" customWidth="1"/>
    <col min="15890" max="15890" width="5.77734375" style="2" customWidth="1"/>
    <col min="15891" max="15891" width="7.44140625" style="2" customWidth="1"/>
    <col min="15892" max="15892" width="4" style="2" customWidth="1"/>
    <col min="15893" max="15893" width="6.44140625" style="2" customWidth="1"/>
    <col min="15894" max="15894" width="5.77734375" style="2" customWidth="1"/>
    <col min="15895" max="15895" width="6.77734375" style="2" customWidth="1"/>
    <col min="15896" max="15896" width="4.21875" style="2" customWidth="1"/>
    <col min="15897" max="15897" width="7.21875" style="2" customWidth="1"/>
    <col min="15898" max="16128" width="8.77734375" style="2"/>
    <col min="16129" max="16129" width="4.5546875" style="2" customWidth="1"/>
    <col min="16130" max="16131" width="6.77734375" style="2" customWidth="1"/>
    <col min="16132" max="16132" width="3.21875" style="2" customWidth="1"/>
    <col min="16133" max="16133" width="4.21875" style="2" customWidth="1"/>
    <col min="16134" max="16134" width="5.44140625" style="2" customWidth="1"/>
    <col min="16135" max="16135" width="7.77734375" style="2" customWidth="1"/>
    <col min="16136" max="16136" width="5.21875" style="2" customWidth="1"/>
    <col min="16137" max="16137" width="7" style="2" customWidth="1"/>
    <col min="16138" max="16138" width="5.21875" style="2" customWidth="1"/>
    <col min="16139" max="16139" width="7" style="2" customWidth="1"/>
    <col min="16140" max="16140" width="4.21875" style="2" customWidth="1"/>
    <col min="16141" max="16141" width="6.77734375" style="2" customWidth="1"/>
    <col min="16142" max="16142" width="5.44140625" style="2" customWidth="1"/>
    <col min="16143" max="16143" width="7" style="2" customWidth="1"/>
    <col min="16144" max="16144" width="5.21875" style="2" customWidth="1"/>
    <col min="16145" max="16145" width="4.77734375" style="2" customWidth="1"/>
    <col min="16146" max="16146" width="5.77734375" style="2" customWidth="1"/>
    <col min="16147" max="16147" width="7.44140625" style="2" customWidth="1"/>
    <col min="16148" max="16148" width="4" style="2" customWidth="1"/>
    <col min="16149" max="16149" width="6.44140625" style="2" customWidth="1"/>
    <col min="16150" max="16150" width="5.77734375" style="2" customWidth="1"/>
    <col min="16151" max="16151" width="6.77734375" style="2" customWidth="1"/>
    <col min="16152" max="16152" width="4.21875" style="2" customWidth="1"/>
    <col min="16153" max="16153" width="7.21875" style="2" customWidth="1"/>
    <col min="16154" max="16384" width="8.77734375" style="2"/>
  </cols>
  <sheetData>
    <row r="1" spans="1:28">
      <c r="A1" s="32" t="s">
        <v>103</v>
      </c>
      <c r="B1" s="32"/>
      <c r="C1" s="32"/>
      <c r="D1" s="32"/>
      <c r="E1" s="32" t="s">
        <v>104</v>
      </c>
      <c r="F1" s="32"/>
      <c r="G1" s="32"/>
      <c r="H1" s="32"/>
      <c r="I1" s="32" t="s">
        <v>105</v>
      </c>
      <c r="J1" s="32"/>
      <c r="K1" s="32"/>
      <c r="L1" s="32"/>
      <c r="M1" s="32" t="s">
        <v>106</v>
      </c>
      <c r="N1" s="32"/>
      <c r="O1" s="32"/>
      <c r="P1" s="32"/>
      <c r="Q1" s="32" t="s">
        <v>75</v>
      </c>
      <c r="R1" s="32"/>
      <c r="S1" s="32"/>
      <c r="T1" s="32"/>
      <c r="U1" s="32" t="s">
        <v>34</v>
      </c>
      <c r="V1" s="32"/>
      <c r="W1" s="32"/>
      <c r="X1" s="32"/>
      <c r="Y1" s="32" t="s">
        <v>107</v>
      </c>
      <c r="Z1" s="32"/>
      <c r="AA1" s="32"/>
      <c r="AB1" s="32"/>
    </row>
    <row r="2" spans="1:28">
      <c r="A2" s="58" t="s">
        <v>108</v>
      </c>
      <c r="B2" s="58" t="s">
        <v>109</v>
      </c>
      <c r="C2" s="58" t="s">
        <v>110</v>
      </c>
      <c r="D2" s="32"/>
      <c r="E2" s="58" t="s">
        <v>108</v>
      </c>
      <c r="F2" s="58" t="s">
        <v>109</v>
      </c>
      <c r="G2" s="58" t="s">
        <v>110</v>
      </c>
      <c r="H2" s="32"/>
      <c r="I2" s="58" t="s">
        <v>108</v>
      </c>
      <c r="J2" s="58" t="s">
        <v>109</v>
      </c>
      <c r="K2" s="58" t="s">
        <v>110</v>
      </c>
      <c r="L2" s="32"/>
      <c r="M2" s="58" t="s">
        <v>108</v>
      </c>
      <c r="N2" s="58" t="s">
        <v>109</v>
      </c>
      <c r="O2" s="58" t="s">
        <v>110</v>
      </c>
      <c r="P2" s="58"/>
      <c r="Q2" s="58" t="s">
        <v>108</v>
      </c>
      <c r="R2" s="58" t="s">
        <v>109</v>
      </c>
      <c r="S2" s="58" t="s">
        <v>110</v>
      </c>
      <c r="T2" s="32"/>
      <c r="U2" s="58" t="s">
        <v>108</v>
      </c>
      <c r="V2" s="58" t="s">
        <v>109</v>
      </c>
      <c r="W2" s="58" t="s">
        <v>110</v>
      </c>
      <c r="X2" s="32"/>
      <c r="Y2" s="58" t="s">
        <v>111</v>
      </c>
      <c r="Z2" s="58" t="s">
        <v>112</v>
      </c>
      <c r="AA2" s="58" t="s">
        <v>110</v>
      </c>
      <c r="AB2" s="32"/>
    </row>
    <row r="3" spans="1:28">
      <c r="A3" s="59">
        <v>0</v>
      </c>
      <c r="B3" s="59">
        <v>0</v>
      </c>
      <c r="C3" s="59">
        <v>0</v>
      </c>
      <c r="D3" s="32"/>
      <c r="E3" s="59">
        <v>0</v>
      </c>
      <c r="F3" s="59">
        <v>0</v>
      </c>
      <c r="G3" s="59">
        <v>0</v>
      </c>
      <c r="H3" s="32"/>
      <c r="I3" s="59">
        <v>0</v>
      </c>
      <c r="J3" s="59">
        <v>0</v>
      </c>
      <c r="K3" s="59">
        <v>0</v>
      </c>
      <c r="L3" s="32"/>
      <c r="M3" s="59">
        <v>0</v>
      </c>
      <c r="N3" s="59">
        <v>0</v>
      </c>
      <c r="O3" s="59">
        <v>0</v>
      </c>
      <c r="P3" s="58"/>
      <c r="Q3" s="59">
        <v>0</v>
      </c>
      <c r="R3" s="59">
        <v>0</v>
      </c>
      <c r="S3" s="59">
        <v>0</v>
      </c>
      <c r="T3" s="32"/>
      <c r="U3" s="59">
        <v>0</v>
      </c>
      <c r="V3" s="59">
        <v>0</v>
      </c>
      <c r="W3" s="59">
        <v>0</v>
      </c>
      <c r="X3" s="32"/>
      <c r="Y3" s="59">
        <v>8</v>
      </c>
      <c r="Z3" s="59">
        <v>16</v>
      </c>
      <c r="AA3" s="59">
        <v>0</v>
      </c>
      <c r="AB3" s="32"/>
    </row>
    <row r="4" spans="1:28">
      <c r="A4" s="32">
        <v>1</v>
      </c>
      <c r="B4" s="32">
        <v>0</v>
      </c>
      <c r="C4" s="32">
        <v>0</v>
      </c>
      <c r="D4" s="32"/>
      <c r="E4" s="32">
        <v>1</v>
      </c>
      <c r="F4" s="32">
        <v>12</v>
      </c>
      <c r="G4" s="32">
        <v>1</v>
      </c>
      <c r="H4" s="32"/>
      <c r="I4" s="32">
        <v>1</v>
      </c>
      <c r="J4" s="32">
        <v>12</v>
      </c>
      <c r="K4" s="32">
        <v>1</v>
      </c>
      <c r="L4" s="32"/>
      <c r="M4" s="32">
        <v>1</v>
      </c>
      <c r="N4" s="32">
        <v>12</v>
      </c>
      <c r="O4" s="32">
        <v>1</v>
      </c>
      <c r="P4" s="32"/>
      <c r="Q4" s="32">
        <v>1</v>
      </c>
      <c r="R4" s="32">
        <v>12</v>
      </c>
      <c r="S4" s="32">
        <v>0</v>
      </c>
      <c r="T4" s="32"/>
      <c r="U4" s="32">
        <v>1</v>
      </c>
      <c r="V4" s="32">
        <v>14.5</v>
      </c>
      <c r="W4" s="32">
        <v>0.25</v>
      </c>
      <c r="X4" s="32"/>
      <c r="Y4" s="32">
        <v>9</v>
      </c>
      <c r="Z4" s="32">
        <v>14</v>
      </c>
      <c r="AA4" s="32">
        <v>0</v>
      </c>
      <c r="AB4" s="32"/>
    </row>
    <row r="5" spans="1:28">
      <c r="A5" s="32">
        <v>8</v>
      </c>
      <c r="B5" s="32">
        <v>40</v>
      </c>
      <c r="C5" s="32">
        <v>0.5</v>
      </c>
      <c r="D5" s="32"/>
      <c r="E5" s="32">
        <v>16.600000000000001</v>
      </c>
      <c r="F5" s="32">
        <v>12</v>
      </c>
      <c r="G5" s="32">
        <v>1.4</v>
      </c>
      <c r="H5" s="32"/>
      <c r="I5" s="32">
        <v>16.600000000000001</v>
      </c>
      <c r="J5" s="32">
        <v>12</v>
      </c>
      <c r="K5" s="32">
        <v>1.4</v>
      </c>
      <c r="L5" s="32"/>
      <c r="M5" s="32">
        <v>17</v>
      </c>
      <c r="N5" s="32">
        <v>12</v>
      </c>
      <c r="O5" s="32">
        <v>1.4</v>
      </c>
      <c r="P5" s="32"/>
      <c r="Q5" s="32">
        <v>100</v>
      </c>
      <c r="R5" s="32">
        <v>12</v>
      </c>
      <c r="S5" s="32">
        <v>9</v>
      </c>
      <c r="T5" s="32"/>
      <c r="U5" s="32">
        <v>4</v>
      </c>
      <c r="V5" s="32">
        <v>14.5</v>
      </c>
      <c r="W5" s="32">
        <v>0.5</v>
      </c>
      <c r="X5" s="32"/>
      <c r="Y5" s="32">
        <v>12</v>
      </c>
      <c r="Z5" s="32">
        <v>0</v>
      </c>
      <c r="AA5" s="32">
        <v>8</v>
      </c>
      <c r="AB5" s="32"/>
    </row>
    <row r="6" spans="1:28">
      <c r="A6" s="32">
        <v>16</v>
      </c>
      <c r="B6" s="32">
        <v>40</v>
      </c>
      <c r="C6" s="32">
        <v>0.6</v>
      </c>
      <c r="D6" s="32"/>
      <c r="E6" s="32">
        <v>33.6</v>
      </c>
      <c r="F6" s="32">
        <v>13</v>
      </c>
      <c r="G6" s="32">
        <v>2.8</v>
      </c>
      <c r="H6" s="32"/>
      <c r="I6" s="32">
        <v>33.6</v>
      </c>
      <c r="J6" s="32">
        <v>13</v>
      </c>
      <c r="K6" s="32">
        <v>2.8</v>
      </c>
      <c r="L6" s="32"/>
      <c r="M6" s="32">
        <v>34</v>
      </c>
      <c r="N6" s="32">
        <v>13</v>
      </c>
      <c r="O6" s="32">
        <v>2.8</v>
      </c>
      <c r="P6" s="32"/>
      <c r="Q6" s="32">
        <v>200</v>
      </c>
      <c r="R6" s="32">
        <v>13.5</v>
      </c>
      <c r="S6" s="32">
        <v>17</v>
      </c>
      <c r="T6" s="32"/>
      <c r="U6" s="32">
        <v>8</v>
      </c>
      <c r="V6" s="32">
        <v>14.5</v>
      </c>
      <c r="W6" s="32">
        <v>0.75</v>
      </c>
      <c r="X6" s="32"/>
      <c r="Y6" s="32"/>
      <c r="Z6" s="32"/>
      <c r="AA6" s="32"/>
      <c r="AB6" s="32"/>
    </row>
    <row r="7" spans="1:28">
      <c r="A7" s="32">
        <v>21</v>
      </c>
      <c r="B7" s="32">
        <v>40</v>
      </c>
      <c r="C7" s="32">
        <v>0.75</v>
      </c>
      <c r="D7" s="32"/>
      <c r="E7" s="32">
        <v>51.7</v>
      </c>
      <c r="F7" s="32">
        <v>15</v>
      </c>
      <c r="G7" s="32">
        <v>4</v>
      </c>
      <c r="H7" s="32"/>
      <c r="I7" s="32">
        <v>51.7</v>
      </c>
      <c r="J7" s="32">
        <v>15</v>
      </c>
      <c r="K7" s="32">
        <v>4</v>
      </c>
      <c r="L7" s="32"/>
      <c r="M7" s="32">
        <v>52</v>
      </c>
      <c r="N7" s="32">
        <v>15</v>
      </c>
      <c r="O7" s="32">
        <v>4</v>
      </c>
      <c r="P7" s="32"/>
      <c r="Q7" s="32">
        <v>300</v>
      </c>
      <c r="R7" s="32">
        <v>14.5</v>
      </c>
      <c r="S7" s="32">
        <v>22</v>
      </c>
      <c r="T7" s="32"/>
      <c r="U7" s="32">
        <v>12</v>
      </c>
      <c r="V7" s="32">
        <v>14.5</v>
      </c>
      <c r="W7" s="32">
        <v>1</v>
      </c>
      <c r="X7" s="32"/>
      <c r="Y7" s="32"/>
      <c r="Z7" s="32"/>
      <c r="AA7" s="32"/>
      <c r="AB7" s="32"/>
    </row>
    <row r="8" spans="1:28">
      <c r="A8" s="32">
        <v>26</v>
      </c>
      <c r="B8" s="32">
        <v>40</v>
      </c>
      <c r="C8" s="32">
        <v>0.85</v>
      </c>
      <c r="D8" s="32"/>
      <c r="E8" s="32">
        <v>71.099999999999994</v>
      </c>
      <c r="F8" s="32">
        <v>16</v>
      </c>
      <c r="G8" s="32">
        <v>4.7</v>
      </c>
      <c r="H8" s="32"/>
      <c r="I8" s="32">
        <v>71.099999999999994</v>
      </c>
      <c r="J8" s="32">
        <v>16</v>
      </c>
      <c r="K8" s="32">
        <v>4.7</v>
      </c>
      <c r="L8" s="32"/>
      <c r="M8" s="32">
        <v>71</v>
      </c>
      <c r="N8" s="32">
        <v>16</v>
      </c>
      <c r="O8" s="32">
        <v>4.7</v>
      </c>
      <c r="P8" s="32"/>
      <c r="Q8" s="32">
        <v>400</v>
      </c>
      <c r="R8" s="32">
        <v>16</v>
      </c>
      <c r="S8" s="32">
        <v>28</v>
      </c>
      <c r="T8" s="32"/>
      <c r="U8" s="32">
        <v>14</v>
      </c>
      <c r="V8" s="32">
        <v>14.5</v>
      </c>
      <c r="W8" s="32">
        <v>1</v>
      </c>
      <c r="X8" s="32"/>
      <c r="Y8" s="32"/>
      <c r="Z8" s="32"/>
      <c r="AA8" s="32"/>
      <c r="AB8" s="32"/>
    </row>
    <row r="9" spans="1:28">
      <c r="A9" s="32">
        <v>31</v>
      </c>
      <c r="B9" s="32">
        <v>40</v>
      </c>
      <c r="C9" s="32">
        <v>1</v>
      </c>
      <c r="D9" s="32"/>
      <c r="E9" s="32">
        <v>110</v>
      </c>
      <c r="F9" s="32">
        <v>19</v>
      </c>
      <c r="G9" s="32">
        <v>6.8</v>
      </c>
      <c r="H9" s="32"/>
      <c r="I9" s="32">
        <v>110</v>
      </c>
      <c r="J9" s="32">
        <v>19</v>
      </c>
      <c r="K9" s="32">
        <v>6.8</v>
      </c>
      <c r="L9" s="32"/>
      <c r="M9" s="32">
        <v>110</v>
      </c>
      <c r="N9" s="32">
        <v>19</v>
      </c>
      <c r="O9" s="32">
        <v>6.8</v>
      </c>
      <c r="P9" s="32"/>
      <c r="Q9" s="32">
        <v>750</v>
      </c>
      <c r="R9" s="32">
        <v>18.5</v>
      </c>
      <c r="S9" s="32">
        <v>47</v>
      </c>
      <c r="T9" s="32"/>
      <c r="U9" s="32"/>
      <c r="V9" s="32"/>
      <c r="W9" s="32"/>
      <c r="X9" s="32"/>
      <c r="Y9" s="32"/>
      <c r="Z9" s="32"/>
      <c r="AA9" s="32"/>
      <c r="AB9" s="32"/>
    </row>
    <row r="10" spans="1:28">
      <c r="A10" s="32">
        <v>41</v>
      </c>
      <c r="B10" s="32">
        <v>40</v>
      </c>
      <c r="C10" s="32">
        <v>1</v>
      </c>
      <c r="D10" s="32"/>
      <c r="E10" s="32">
        <v>160</v>
      </c>
      <c r="F10" s="32">
        <v>20</v>
      </c>
      <c r="G10" s="32">
        <v>8.4</v>
      </c>
      <c r="H10" s="32"/>
      <c r="I10" s="32">
        <v>160</v>
      </c>
      <c r="J10" s="32">
        <v>20</v>
      </c>
      <c r="K10" s="32">
        <v>8.4</v>
      </c>
      <c r="L10" s="32"/>
      <c r="M10" s="32">
        <v>160</v>
      </c>
      <c r="N10" s="32">
        <v>20</v>
      </c>
      <c r="O10" s="32">
        <v>8.4</v>
      </c>
      <c r="P10" s="32"/>
      <c r="Q10" s="32"/>
      <c r="R10" s="32"/>
      <c r="S10" s="32"/>
      <c r="T10" s="32"/>
      <c r="U10" s="32"/>
      <c r="V10" s="32"/>
      <c r="W10" s="32"/>
      <c r="X10" s="32"/>
      <c r="Y10" s="32"/>
      <c r="Z10" s="32"/>
      <c r="AA10" s="32"/>
      <c r="AB10" s="32"/>
    </row>
    <row r="11" spans="1:28">
      <c r="A11" s="32"/>
      <c r="B11" s="32"/>
      <c r="C11" s="32"/>
      <c r="D11" s="32"/>
      <c r="E11" s="32">
        <v>300</v>
      </c>
      <c r="F11" s="32">
        <v>20</v>
      </c>
      <c r="G11" s="32">
        <v>15</v>
      </c>
      <c r="H11" s="32"/>
      <c r="I11" s="32">
        <v>300</v>
      </c>
      <c r="J11" s="32">
        <v>23</v>
      </c>
      <c r="K11" s="32">
        <v>15</v>
      </c>
      <c r="L11" s="32"/>
      <c r="M11" s="32">
        <v>300</v>
      </c>
      <c r="N11" s="32">
        <v>23</v>
      </c>
      <c r="O11" s="32">
        <v>15</v>
      </c>
      <c r="P11" s="32"/>
      <c r="Q11" s="32"/>
      <c r="R11" s="32"/>
      <c r="S11" s="32"/>
      <c r="T11" s="32"/>
      <c r="U11" s="32"/>
      <c r="V11" s="32"/>
      <c r="W11" s="32"/>
      <c r="X11" s="32"/>
      <c r="Y11" s="32"/>
      <c r="Z11" s="32"/>
      <c r="AA11" s="32"/>
      <c r="AB11" s="32"/>
    </row>
    <row r="12" spans="1:28">
      <c r="A12" s="32"/>
      <c r="B12" s="32"/>
      <c r="C12" s="32"/>
      <c r="D12" s="32"/>
      <c r="E12" s="32"/>
      <c r="F12" s="32"/>
      <c r="G12" s="32"/>
      <c r="H12" s="32"/>
      <c r="I12" s="32"/>
      <c r="J12" s="32"/>
      <c r="K12" s="32"/>
      <c r="L12" s="32"/>
      <c r="M12" s="32"/>
      <c r="N12" s="32"/>
      <c r="O12" s="32"/>
      <c r="P12" s="32"/>
      <c r="Q12" s="32"/>
      <c r="R12" s="32"/>
      <c r="S12" s="32"/>
      <c r="T12" s="32"/>
      <c r="U12" s="32"/>
      <c r="V12" s="32"/>
      <c r="W12" s="32"/>
      <c r="X12" s="32"/>
      <c r="Y12" s="32"/>
      <c r="Z12" s="32"/>
      <c r="AA12" s="32"/>
      <c r="AB12" s="32"/>
    </row>
  </sheetData>
  <sheetProtection password="CDD6" sheet="1" objects="1" scenarios="1"/>
  <pageMargins left="0.75" right="0.75" top="1" bottom="1" header="0.5" footer="0.5"/>
  <pageSetup orientation="portrait" r:id="rId1"/>
  <headerFooter alignWithMargins="0">
    <oddFooter>&amp;L&amp;F</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62">
    <tabColor rgb="FFFFFF00"/>
    <pageSetUpPr fitToPage="1"/>
  </sheetPr>
  <dimension ref="C1:M27"/>
  <sheetViews>
    <sheetView showGridLines="0" zoomScale="85" workbookViewId="0">
      <selection activeCell="C19" sqref="C19"/>
    </sheetView>
  </sheetViews>
  <sheetFormatPr defaultColWidth="10.44140625" defaultRowHeight="13.2"/>
  <cols>
    <col min="1" max="2" width="5.44140625" style="260" customWidth="1"/>
    <col min="3" max="3" width="33.44140625" style="63" customWidth="1"/>
    <col min="4" max="4" width="24.5546875" style="64" customWidth="1"/>
    <col min="5" max="5" width="10.44140625" style="63"/>
    <col min="6" max="10" width="10.44140625" style="260"/>
    <col min="11" max="11" width="11.5546875" style="260" customWidth="1"/>
    <col min="12" max="12" width="12.44140625" style="260" customWidth="1"/>
    <col min="13" max="16384" width="10.44140625" style="260"/>
  </cols>
  <sheetData>
    <row r="1" spans="3:13" ht="13.8" thickBot="1"/>
    <row r="2" spans="3:13">
      <c r="C2" s="65"/>
      <c r="D2" s="66"/>
      <c r="E2" s="67"/>
      <c r="F2" s="267"/>
      <c r="G2" s="267"/>
      <c r="H2" s="267"/>
      <c r="I2" s="267"/>
      <c r="J2" s="267"/>
      <c r="K2" s="267"/>
      <c r="L2" s="267"/>
      <c r="M2" s="266"/>
    </row>
    <row r="3" spans="3:13">
      <c r="C3" s="68" t="s">
        <v>119</v>
      </c>
      <c r="D3" s="69"/>
      <c r="E3" s="70"/>
      <c r="F3" s="264"/>
      <c r="G3" s="264"/>
      <c r="H3" s="264"/>
      <c r="I3" s="264"/>
      <c r="J3" s="264"/>
      <c r="K3" s="264"/>
      <c r="M3" s="263"/>
    </row>
    <row r="4" spans="3:13">
      <c r="C4" s="68" t="s">
        <v>120</v>
      </c>
      <c r="D4" s="69"/>
      <c r="E4" s="70"/>
      <c r="F4" s="264"/>
      <c r="G4" s="264"/>
      <c r="H4" s="264"/>
      <c r="I4" s="264"/>
      <c r="J4" s="264"/>
      <c r="K4" s="264"/>
      <c r="M4" s="263"/>
    </row>
    <row r="5" spans="3:13">
      <c r="C5" s="68" t="s">
        <v>355</v>
      </c>
      <c r="D5" s="71"/>
      <c r="E5" s="72"/>
      <c r="F5" s="265"/>
      <c r="G5" s="265"/>
      <c r="H5" s="265"/>
      <c r="I5" s="264"/>
      <c r="J5" s="264"/>
      <c r="K5" s="264"/>
      <c r="M5" s="263"/>
    </row>
    <row r="6" spans="3:13">
      <c r="C6" s="68"/>
      <c r="D6" s="69"/>
      <c r="E6" s="70"/>
      <c r="F6" s="264"/>
      <c r="G6" s="264"/>
      <c r="H6" s="264"/>
      <c r="I6" s="264"/>
      <c r="J6" s="264"/>
      <c r="K6" s="264"/>
      <c r="M6" s="263"/>
    </row>
    <row r="7" spans="3:13" ht="25.05" customHeight="1">
      <c r="C7" s="73" t="s">
        <v>121</v>
      </c>
      <c r="D7" s="74"/>
      <c r="E7" s="64" t="s">
        <v>122</v>
      </c>
      <c r="M7" s="263"/>
    </row>
    <row r="8" spans="3:13" ht="25.05" customHeight="1">
      <c r="C8" s="73" t="s">
        <v>123</v>
      </c>
      <c r="D8" s="74"/>
      <c r="E8" s="64" t="s">
        <v>122</v>
      </c>
      <c r="M8" s="263"/>
    </row>
    <row r="9" spans="3:13" ht="25.05" customHeight="1">
      <c r="C9" s="73" t="s">
        <v>124</v>
      </c>
      <c r="D9" s="75">
        <f>+'Master Budget Sheet'!T19</f>
        <v>11.25</v>
      </c>
      <c r="E9" s="64" t="s">
        <v>125</v>
      </c>
      <c r="M9" s="263"/>
    </row>
    <row r="10" spans="3:13" ht="25.05" customHeight="1">
      <c r="C10" s="76" t="s">
        <v>126</v>
      </c>
      <c r="D10" s="77" t="s">
        <v>127</v>
      </c>
      <c r="E10" s="78" t="s">
        <v>128</v>
      </c>
      <c r="M10" s="263"/>
    </row>
    <row r="11" spans="3:13" ht="25.05" customHeight="1">
      <c r="C11" s="73" t="s">
        <v>129</v>
      </c>
      <c r="D11" s="79">
        <f>'AdminIndex (1)'!H61</f>
        <v>1.3426</v>
      </c>
      <c r="E11" s="80" t="s">
        <v>130</v>
      </c>
      <c r="M11" s="263"/>
    </row>
    <row r="12" spans="3:13" ht="25.05" customHeight="1">
      <c r="C12" s="73" t="s">
        <v>131</v>
      </c>
      <c r="D12" s="81">
        <f>'Instructional fte (1)'!E43</f>
        <v>58114.713178294573</v>
      </c>
      <c r="E12" s="80" t="s">
        <v>353</v>
      </c>
      <c r="M12" s="263"/>
    </row>
    <row r="13" spans="3:13" ht="25.05" customHeight="1">
      <c r="C13" s="73" t="s">
        <v>354</v>
      </c>
      <c r="D13" s="269">
        <f>'Pupil Services fte (1)'!M54</f>
        <v>59414</v>
      </c>
      <c r="E13" s="80" t="s">
        <v>352</v>
      </c>
      <c r="M13" s="263"/>
    </row>
    <row r="14" spans="3:13" ht="25.05" customHeight="1">
      <c r="C14" s="73" t="s">
        <v>132</v>
      </c>
      <c r="D14" s="79">
        <f>'AdminIndex (1)'!H40</f>
        <v>1</v>
      </c>
      <c r="E14" s="80" t="s">
        <v>130</v>
      </c>
      <c r="M14" s="263"/>
    </row>
    <row r="15" spans="3:13" ht="22.2" customHeight="1">
      <c r="C15" s="73" t="s">
        <v>133</v>
      </c>
      <c r="D15" s="82">
        <f>'Instructional fte (1)'!B26</f>
        <v>12.9</v>
      </c>
      <c r="E15" s="80" t="s">
        <v>353</v>
      </c>
      <c r="M15" s="263"/>
    </row>
    <row r="16" spans="3:13" ht="25.05" customHeight="1">
      <c r="C16" s="73" t="s">
        <v>134</v>
      </c>
      <c r="D16" s="79">
        <f>'Pupil Services fte (1)'!L44</f>
        <v>1</v>
      </c>
      <c r="E16" s="80" t="s">
        <v>352</v>
      </c>
      <c r="M16" s="263"/>
    </row>
    <row r="17" spans="3:13" ht="25.05" customHeight="1">
      <c r="C17" s="73" t="s">
        <v>135</v>
      </c>
      <c r="D17" s="83">
        <f>+'Master Budget Sheet'!S193</f>
        <v>7.25</v>
      </c>
      <c r="E17" s="64" t="s">
        <v>122</v>
      </c>
      <c r="M17" s="263"/>
    </row>
    <row r="18" spans="3:13" ht="25.05" customHeight="1">
      <c r="C18" s="73" t="s">
        <v>136</v>
      </c>
      <c r="D18" s="84">
        <f>+'Master Budget Sheet'!T90</f>
        <v>88000</v>
      </c>
      <c r="E18" s="64" t="s">
        <v>122</v>
      </c>
      <c r="M18" s="263"/>
    </row>
    <row r="19" spans="3:13" ht="25.05" customHeight="1">
      <c r="C19" s="73" t="s">
        <v>137</v>
      </c>
      <c r="D19" s="84">
        <f>+'Master Budget Sheet'!T163</f>
        <v>529935.00099999993</v>
      </c>
      <c r="E19" s="64" t="s">
        <v>122</v>
      </c>
      <c r="M19" s="263"/>
    </row>
    <row r="20" spans="3:13" ht="25.05" customHeight="1">
      <c r="C20" s="73" t="s">
        <v>138</v>
      </c>
      <c r="D20" s="84">
        <f>+'Master Budget Sheet'!T191</f>
        <v>61475</v>
      </c>
      <c r="E20" s="64" t="s">
        <v>122</v>
      </c>
      <c r="M20" s="263"/>
    </row>
    <row r="21" spans="3:13" ht="25.05" customHeight="1">
      <c r="C21" s="73" t="s">
        <v>139</v>
      </c>
      <c r="D21" s="84">
        <f>+'Master Budget Sheet'!T193</f>
        <v>168782</v>
      </c>
      <c r="E21" s="64" t="s">
        <v>122</v>
      </c>
      <c r="M21" s="263"/>
    </row>
    <row r="22" spans="3:13" ht="20.100000000000001" customHeight="1">
      <c r="C22" s="73" t="s">
        <v>140</v>
      </c>
      <c r="D22" s="85"/>
      <c r="M22" s="263"/>
    </row>
    <row r="23" spans="3:13" ht="20.100000000000001" customHeight="1">
      <c r="C23" s="86" t="s">
        <v>141</v>
      </c>
      <c r="M23" s="263"/>
    </row>
    <row r="24" spans="3:13" ht="20.100000000000001" customHeight="1">
      <c r="C24" s="87" t="s">
        <v>142</v>
      </c>
      <c r="M24" s="263"/>
    </row>
    <row r="25" spans="3:13" ht="20.100000000000001" customHeight="1">
      <c r="C25" s="87"/>
      <c r="M25" s="263"/>
    </row>
    <row r="26" spans="3:13" ht="20.100000000000001" customHeight="1">
      <c r="C26" s="73" t="s">
        <v>143</v>
      </c>
      <c r="M26" s="263"/>
    </row>
    <row r="27" spans="3:13" ht="13.8" thickBot="1">
      <c r="C27" s="88" t="s">
        <v>144</v>
      </c>
      <c r="D27" s="89"/>
      <c r="E27" s="90"/>
      <c r="F27" s="262"/>
      <c r="G27" s="262"/>
      <c r="H27" s="262"/>
      <c r="I27" s="262"/>
      <c r="J27" s="262"/>
      <c r="K27" s="262"/>
      <c r="L27" s="262"/>
      <c r="M27" s="261"/>
    </row>
  </sheetData>
  <printOptions horizontalCentered="1" verticalCentered="1"/>
  <pageMargins left="0.47" right="0.2" top="0.52" bottom="0.25" header="0.5" footer="0.22"/>
  <pageSetup scale="81"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3">
    <pageSetUpPr fitToPage="1"/>
  </sheetPr>
  <dimension ref="A1:AA53"/>
  <sheetViews>
    <sheetView topLeftCell="G1" zoomScaleNormal="100" workbookViewId="0">
      <selection activeCell="I12" sqref="I12"/>
    </sheetView>
  </sheetViews>
  <sheetFormatPr defaultColWidth="10.44140625" defaultRowHeight="13.8"/>
  <cols>
    <col min="1" max="1" width="8.21875" style="91" customWidth="1"/>
    <col min="2" max="2" width="4.44140625" style="91" customWidth="1"/>
    <col min="3" max="3" width="13.77734375" style="91" customWidth="1"/>
    <col min="4" max="4" width="2" style="91" customWidth="1"/>
    <col min="5" max="5" width="13.77734375" style="91" customWidth="1"/>
    <col min="6" max="6" width="2" style="91" customWidth="1"/>
    <col min="7" max="7" width="13.77734375" style="91" customWidth="1"/>
    <col min="8" max="8" width="1.21875" style="91" customWidth="1"/>
    <col min="9" max="9" width="13.77734375" style="91" customWidth="1"/>
    <col min="10" max="10" width="2.21875" style="91" customWidth="1"/>
    <col min="11" max="11" width="13.77734375" style="91" customWidth="1"/>
    <col min="12" max="12" width="1.21875" style="91" customWidth="1"/>
    <col min="13" max="13" width="14.77734375" style="91" customWidth="1"/>
    <col min="14" max="14" width="1.21875" style="91" customWidth="1"/>
    <col min="15" max="15" width="13.77734375" style="91" customWidth="1"/>
    <col min="16" max="16" width="1.21875" style="91" customWidth="1"/>
    <col min="17" max="17" width="13.77734375" style="91" customWidth="1"/>
    <col min="18" max="18" width="1.21875" style="91" customWidth="1"/>
    <col min="19" max="19" width="13.77734375" style="91" customWidth="1"/>
    <col min="20" max="20" width="1.21875" style="91" customWidth="1"/>
    <col min="21" max="21" width="13.77734375" style="91" customWidth="1"/>
    <col min="22" max="22" width="1.21875" style="91" customWidth="1"/>
    <col min="23" max="23" width="13.77734375" style="91" customWidth="1"/>
    <col min="24" max="24" width="1.21875" style="91" customWidth="1"/>
    <col min="25" max="25" width="13.77734375" style="91" customWidth="1"/>
    <col min="26" max="26" width="1.21875" style="91" customWidth="1"/>
    <col min="27" max="16384" width="10.44140625" style="91"/>
  </cols>
  <sheetData>
    <row r="1" spans="1:25">
      <c r="A1" s="1233"/>
      <c r="B1" s="1233"/>
      <c r="C1" s="1233"/>
      <c r="D1" s="1233"/>
      <c r="E1" s="1233"/>
      <c r="F1" s="1233"/>
      <c r="G1" s="1233"/>
      <c r="H1" s="1233"/>
      <c r="I1" s="1233"/>
      <c r="J1" s="1233"/>
      <c r="K1" s="1233"/>
      <c r="L1" s="1233"/>
      <c r="M1" s="1233"/>
      <c r="N1" s="1233"/>
      <c r="O1" s="1233"/>
      <c r="P1" s="1233"/>
      <c r="Q1" s="1233"/>
      <c r="R1" s="1233"/>
      <c r="S1" s="1233"/>
      <c r="T1" s="1233"/>
      <c r="U1" s="1233"/>
      <c r="V1" s="1233"/>
      <c r="W1" s="1233"/>
      <c r="X1" s="1233"/>
      <c r="Y1" s="1233"/>
    </row>
    <row r="2" spans="1:25">
      <c r="A2" s="1233" t="s">
        <v>145</v>
      </c>
      <c r="B2" s="1233"/>
      <c r="C2" s="1233"/>
      <c r="D2" s="1233"/>
      <c r="E2" s="1233"/>
      <c r="F2" s="1233"/>
      <c r="G2" s="1233"/>
      <c r="H2" s="1233"/>
      <c r="I2" s="1233"/>
      <c r="J2" s="1233"/>
      <c r="K2" s="1233"/>
      <c r="L2" s="1233"/>
      <c r="M2" s="1233"/>
      <c r="N2" s="1233"/>
      <c r="O2" s="1233"/>
      <c r="P2" s="1233"/>
      <c r="Q2" s="1233"/>
      <c r="R2" s="1233"/>
      <c r="S2" s="1233"/>
      <c r="T2" s="1233"/>
      <c r="U2" s="1233"/>
      <c r="V2" s="1233"/>
      <c r="W2" s="1233"/>
      <c r="X2" s="1233"/>
      <c r="Y2" s="1233"/>
    </row>
    <row r="3" spans="1:25">
      <c r="A3" s="1233" t="s">
        <v>146</v>
      </c>
      <c r="B3" s="1233"/>
      <c r="C3" s="1233"/>
      <c r="D3" s="1233"/>
      <c r="E3" s="1233"/>
      <c r="F3" s="1233"/>
      <c r="G3" s="1233"/>
      <c r="H3" s="1233"/>
      <c r="I3" s="1233"/>
      <c r="J3" s="1233"/>
      <c r="K3" s="1233"/>
      <c r="L3" s="1233"/>
      <c r="M3" s="1233"/>
      <c r="N3" s="1233"/>
      <c r="O3" s="1233"/>
      <c r="P3" s="1233"/>
      <c r="Q3" s="1233"/>
      <c r="R3" s="1233"/>
      <c r="S3" s="1233"/>
      <c r="T3" s="1233"/>
      <c r="U3" s="1233"/>
      <c r="V3" s="1233"/>
      <c r="W3" s="1233"/>
      <c r="X3" s="1233"/>
      <c r="Y3" s="1233"/>
    </row>
    <row r="4" spans="1:25">
      <c r="A4" s="1233" t="s">
        <v>147</v>
      </c>
      <c r="B4" s="1233"/>
      <c r="C4" s="1233"/>
      <c r="D4" s="1233"/>
      <c r="E4" s="1233"/>
      <c r="F4" s="1233"/>
      <c r="G4" s="1233"/>
      <c r="H4" s="1233"/>
      <c r="I4" s="1233"/>
      <c r="J4" s="1233"/>
      <c r="K4" s="1233"/>
      <c r="L4" s="1233"/>
      <c r="M4" s="1233"/>
      <c r="N4" s="1233"/>
      <c r="O4" s="1233"/>
      <c r="P4" s="1233"/>
      <c r="Q4" s="1233"/>
      <c r="R4" s="1233"/>
      <c r="S4" s="1233"/>
      <c r="T4" s="1233"/>
      <c r="U4" s="1233"/>
      <c r="V4" s="1233"/>
      <c r="W4" s="1233"/>
      <c r="X4" s="1233"/>
      <c r="Y4" s="1233"/>
    </row>
    <row r="7" spans="1:25">
      <c r="A7" s="91" t="s">
        <v>148</v>
      </c>
      <c r="B7" s="92">
        <f>'Enter Data Elements (1)'!D7</f>
        <v>0</v>
      </c>
      <c r="C7" s="93">
        <f>'Enter Data Elements (1)'!D8</f>
        <v>0</v>
      </c>
      <c r="D7" s="94"/>
      <c r="E7" s="94"/>
    </row>
    <row r="9" spans="1:25">
      <c r="A9" s="91" t="s">
        <v>149</v>
      </c>
      <c r="P9" s="91" t="s">
        <v>150</v>
      </c>
      <c r="W9" s="94"/>
    </row>
    <row r="10" spans="1:25">
      <c r="A10" s="91" t="s">
        <v>151</v>
      </c>
      <c r="I10" s="95">
        <v>1.84399</v>
      </c>
      <c r="J10" s="95"/>
      <c r="P10" s="91" t="s">
        <v>151</v>
      </c>
      <c r="W10" s="96">
        <f>'Enter Data Elements (1)'!D11</f>
        <v>1.3426</v>
      </c>
    </row>
    <row r="11" spans="1:25">
      <c r="A11" s="91" t="s">
        <v>152</v>
      </c>
      <c r="I11" s="97">
        <v>1.86643</v>
      </c>
      <c r="J11" s="95"/>
      <c r="K11" s="98">
        <f>IF(I10&gt;I11,ROUND(I11/I10,4),1)</f>
        <v>1</v>
      </c>
      <c r="P11" s="91" t="s">
        <v>153</v>
      </c>
      <c r="W11" s="99">
        <f>W10*K11</f>
        <v>1.3426</v>
      </c>
    </row>
    <row r="12" spans="1:25">
      <c r="A12" s="91" t="s">
        <v>154</v>
      </c>
      <c r="I12" s="100">
        <f>0.0765+0.1194</f>
        <v>0.19590000000000002</v>
      </c>
      <c r="P12" s="91" t="s">
        <v>155</v>
      </c>
      <c r="W12" s="101">
        <f>'Enter Data Elements (1)'!D9</f>
        <v>11.25</v>
      </c>
    </row>
    <row r="13" spans="1:25">
      <c r="I13" s="97"/>
      <c r="J13" s="95"/>
      <c r="K13" s="98"/>
    </row>
    <row r="14" spans="1:25">
      <c r="J14" s="102"/>
      <c r="W14" s="103"/>
    </row>
    <row r="16" spans="1:25" ht="16.2" customHeight="1">
      <c r="C16" s="112" t="s">
        <v>156</v>
      </c>
      <c r="D16" s="112"/>
      <c r="E16" s="112" t="s">
        <v>156</v>
      </c>
      <c r="F16" s="112"/>
      <c r="G16" s="1234" t="s">
        <v>157</v>
      </c>
      <c r="H16" s="1235"/>
      <c r="I16" s="1236"/>
      <c r="J16" s="104"/>
      <c r="K16" s="112" t="s">
        <v>158</v>
      </c>
      <c r="L16" s="112"/>
      <c r="M16" s="112" t="s">
        <v>159</v>
      </c>
      <c r="N16" s="112"/>
      <c r="O16" s="112" t="s">
        <v>160</v>
      </c>
      <c r="P16" s="112"/>
      <c r="Q16" s="112" t="s">
        <v>156</v>
      </c>
      <c r="R16" s="112"/>
      <c r="S16" s="112" t="s">
        <v>156</v>
      </c>
      <c r="T16" s="112"/>
      <c r="U16" s="112" t="s">
        <v>161</v>
      </c>
      <c r="V16" s="112"/>
      <c r="W16" s="112" t="s">
        <v>162</v>
      </c>
      <c r="Y16" s="112" t="s">
        <v>163</v>
      </c>
    </row>
    <row r="17" spans="1:25">
      <c r="C17" s="112" t="s">
        <v>164</v>
      </c>
      <c r="D17" s="112"/>
      <c r="E17" s="112" t="s">
        <v>164</v>
      </c>
      <c r="F17" s="112"/>
      <c r="G17" s="104" t="s">
        <v>165</v>
      </c>
      <c r="H17" s="104"/>
      <c r="I17" s="104" t="s">
        <v>166</v>
      </c>
      <c r="J17" s="112"/>
      <c r="K17" s="112" t="s">
        <v>167</v>
      </c>
      <c r="L17" s="112"/>
      <c r="M17" s="112" t="s">
        <v>156</v>
      </c>
      <c r="N17" s="112"/>
      <c r="O17" s="112" t="s">
        <v>168</v>
      </c>
      <c r="P17" s="112"/>
      <c r="Q17" s="112" t="s">
        <v>164</v>
      </c>
      <c r="S17" s="112" t="s">
        <v>169</v>
      </c>
      <c r="U17" s="112" t="s">
        <v>170</v>
      </c>
      <c r="V17" s="112"/>
      <c r="W17" s="112" t="s">
        <v>170</v>
      </c>
      <c r="Y17" s="112" t="s">
        <v>171</v>
      </c>
    </row>
    <row r="18" spans="1:25">
      <c r="C18" s="112" t="s">
        <v>172</v>
      </c>
      <c r="E18" s="112" t="s">
        <v>168</v>
      </c>
      <c r="G18" s="112" t="s">
        <v>173</v>
      </c>
      <c r="H18" s="112"/>
      <c r="I18" s="112" t="s">
        <v>173</v>
      </c>
      <c r="K18" s="112" t="s">
        <v>164</v>
      </c>
      <c r="L18" s="112"/>
      <c r="M18" s="112" t="s">
        <v>164</v>
      </c>
      <c r="Q18" s="112" t="s">
        <v>168</v>
      </c>
      <c r="Y18" s="112" t="s">
        <v>174</v>
      </c>
    </row>
    <row r="19" spans="1:25">
      <c r="G19" s="112"/>
      <c r="I19" s="112"/>
      <c r="K19" s="112" t="s">
        <v>168</v>
      </c>
      <c r="L19" s="112"/>
      <c r="M19" s="112" t="s">
        <v>168</v>
      </c>
      <c r="Y19" s="112" t="s">
        <v>175</v>
      </c>
    </row>
    <row r="20" spans="1:25">
      <c r="E20" s="112" t="s">
        <v>176</v>
      </c>
      <c r="F20" s="112"/>
      <c r="L20" s="112"/>
      <c r="M20" s="112" t="s">
        <v>177</v>
      </c>
      <c r="Q20" s="105" t="s">
        <v>178</v>
      </c>
      <c r="W20" s="112" t="s">
        <v>179</v>
      </c>
      <c r="Y20" s="112" t="s">
        <v>180</v>
      </c>
    </row>
    <row r="21" spans="1:25">
      <c r="C21" s="112" t="s">
        <v>181</v>
      </c>
      <c r="D21" s="112"/>
      <c r="E21" s="112" t="s">
        <v>182</v>
      </c>
      <c r="F21" s="112"/>
      <c r="G21" s="112" t="s">
        <v>183</v>
      </c>
      <c r="H21" s="112"/>
      <c r="I21" s="112" t="s">
        <v>184</v>
      </c>
      <c r="J21" s="112"/>
      <c r="K21" s="112" t="s">
        <v>185</v>
      </c>
      <c r="L21" s="112"/>
      <c r="M21" s="112" t="s">
        <v>186</v>
      </c>
      <c r="N21" s="112"/>
      <c r="O21" s="112" t="s">
        <v>187</v>
      </c>
      <c r="P21" s="112"/>
      <c r="Q21" s="112" t="s">
        <v>188</v>
      </c>
      <c r="R21" s="112"/>
      <c r="S21" s="104" t="str">
        <f>LOWER("I")</f>
        <v>i</v>
      </c>
      <c r="T21" s="112"/>
      <c r="U21" s="112" t="s">
        <v>189</v>
      </c>
      <c r="V21" s="112"/>
      <c r="W21" s="112" t="s">
        <v>190</v>
      </c>
      <c r="X21" s="112"/>
      <c r="Y21" s="112" t="s">
        <v>191</v>
      </c>
    </row>
    <row r="22" spans="1:25">
      <c r="O22" s="94"/>
    </row>
    <row r="23" spans="1:25">
      <c r="A23" s="91" t="s">
        <v>192</v>
      </c>
      <c r="C23" s="106">
        <v>7.4999999999999997E-2</v>
      </c>
      <c r="D23" s="107"/>
      <c r="E23" s="108">
        <f>$W$12*C23</f>
        <v>0.84375</v>
      </c>
      <c r="G23" s="109"/>
      <c r="I23" s="109"/>
      <c r="K23" s="109"/>
      <c r="M23" s="108">
        <f>E23+G23</f>
        <v>0.84375</v>
      </c>
      <c r="O23" s="96">
        <f>'Enter Data Elements (1)'!D14</f>
        <v>1</v>
      </c>
      <c r="Q23" s="108">
        <f>M23</f>
        <v>0.84375</v>
      </c>
      <c r="S23" s="108">
        <f>W11</f>
        <v>1.3426</v>
      </c>
      <c r="U23" s="110">
        <f>+'Master Budget Sheet'!T13</f>
        <v>43151</v>
      </c>
      <c r="W23" s="111">
        <f>S23*U23</f>
        <v>57934.532599999999</v>
      </c>
      <c r="Y23" s="111">
        <f>Q23*W23</f>
        <v>48882.26188125</v>
      </c>
    </row>
    <row r="24" spans="1:25">
      <c r="O24" s="94"/>
      <c r="Q24" s="105"/>
    </row>
    <row r="25" spans="1:25">
      <c r="A25" s="91" t="s">
        <v>193</v>
      </c>
      <c r="C25" s="106">
        <v>1.0209999999999999</v>
      </c>
      <c r="D25" s="107"/>
      <c r="E25" s="108">
        <f>$W$12*C25</f>
        <v>11.486249999999998</v>
      </c>
      <c r="G25" s="109"/>
      <c r="I25" s="109"/>
      <c r="K25" s="109"/>
      <c r="M25" s="108">
        <f>E25+G25+I25+K25</f>
        <v>11.486249999999998</v>
      </c>
      <c r="O25" s="96">
        <f>'Enter Data Elements (1)'!D15</f>
        <v>12.9</v>
      </c>
      <c r="Q25" s="108">
        <f>M25</f>
        <v>11.486249999999998</v>
      </c>
      <c r="S25" s="109"/>
      <c r="U25" s="109"/>
      <c r="W25" s="101">
        <f>'Enter Data Elements (1)'!D12</f>
        <v>58114.713178294573</v>
      </c>
      <c r="Y25" s="111">
        <f>Q25*W25</f>
        <v>667520.12424418598</v>
      </c>
    </row>
    <row r="26" spans="1:25" ht="12.75" customHeight="1">
      <c r="O26" s="94"/>
      <c r="Q26" s="105"/>
      <c r="S26" s="112"/>
    </row>
    <row r="27" spans="1:25">
      <c r="A27" s="91" t="s">
        <v>194</v>
      </c>
      <c r="C27" s="106">
        <v>7.9000000000000001E-2</v>
      </c>
      <c r="D27" s="107"/>
      <c r="E27" s="108">
        <f>$W$12*C27</f>
        <v>0.88875000000000004</v>
      </c>
      <c r="G27" s="109"/>
      <c r="I27" s="109"/>
      <c r="K27" s="109"/>
      <c r="M27" s="108">
        <f>E27+G27+I27+K27</f>
        <v>0.88875000000000004</v>
      </c>
      <c r="O27" s="96">
        <f>'Enter Data Elements (1)'!D16</f>
        <v>1</v>
      </c>
      <c r="Q27" s="108">
        <f>M27</f>
        <v>0.88875000000000004</v>
      </c>
      <c r="S27" s="109"/>
      <c r="U27" s="109"/>
      <c r="W27" s="101">
        <f>IF('Enter Data Elements (1)'!D13&gt;0,'Enter Data Elements (1)'!D13, W25)</f>
        <v>59414</v>
      </c>
      <c r="Y27" s="111">
        <f>Q27*W27</f>
        <v>52804.192500000005</v>
      </c>
    </row>
    <row r="28" spans="1:25" ht="12.75" customHeight="1">
      <c r="O28" s="94"/>
      <c r="Q28" s="105"/>
      <c r="S28" s="112"/>
    </row>
    <row r="29" spans="1:25">
      <c r="A29" s="91" t="s">
        <v>195</v>
      </c>
      <c r="C29" s="106">
        <v>0.375</v>
      </c>
      <c r="D29" s="107"/>
      <c r="E29" s="108">
        <f>$W$12*C29</f>
        <v>4.21875</v>
      </c>
      <c r="G29" s="109"/>
      <c r="I29" s="109"/>
      <c r="K29" s="109"/>
      <c r="M29" s="113">
        <f>E29</f>
        <v>4.21875</v>
      </c>
      <c r="O29" s="96">
        <f>'Enter Data Elements (1)'!D17</f>
        <v>7.25</v>
      </c>
      <c r="Q29" s="108">
        <f>M29</f>
        <v>4.21875</v>
      </c>
      <c r="S29" s="109"/>
      <c r="U29" s="110">
        <f>+'Master Budget Sheet'!T15</f>
        <v>38802</v>
      </c>
      <c r="W29" s="109"/>
      <c r="Y29" s="109"/>
    </row>
    <row r="30" spans="1:25">
      <c r="O30" s="94"/>
    </row>
    <row r="31" spans="1:25">
      <c r="A31" s="91" t="s">
        <v>196</v>
      </c>
      <c r="M31" s="108">
        <f>M23+M25+M27+M29</f>
        <v>17.4375</v>
      </c>
      <c r="O31" s="108">
        <f>O23+O25+O27+O29</f>
        <v>22.15</v>
      </c>
      <c r="Q31" s="108">
        <f>Q23+Q25+Q27+Q29</f>
        <v>17.4375</v>
      </c>
    </row>
    <row r="36" spans="1:27">
      <c r="C36" s="112" t="s">
        <v>195</v>
      </c>
      <c r="G36" s="112" t="s">
        <v>171</v>
      </c>
      <c r="I36" s="112" t="s">
        <v>160</v>
      </c>
      <c r="K36" s="112" t="s">
        <v>174</v>
      </c>
      <c r="M36" s="114" t="s">
        <v>197</v>
      </c>
      <c r="O36" s="112" t="s">
        <v>198</v>
      </c>
      <c r="Q36" s="112" t="s">
        <v>199</v>
      </c>
      <c r="S36" s="112" t="s">
        <v>174</v>
      </c>
      <c r="U36" s="112" t="s">
        <v>200</v>
      </c>
      <c r="W36" s="114" t="s">
        <v>174</v>
      </c>
      <c r="Y36" s="1232" t="s">
        <v>1215</v>
      </c>
    </row>
    <row r="37" spans="1:27">
      <c r="C37" s="112" t="s">
        <v>171</v>
      </c>
      <c r="G37" s="112" t="s">
        <v>174</v>
      </c>
      <c r="I37" s="112" t="s">
        <v>170</v>
      </c>
      <c r="K37" s="112" t="s">
        <v>175</v>
      </c>
      <c r="M37" s="115" t="s">
        <v>175</v>
      </c>
      <c r="O37" s="112" t="s">
        <v>164</v>
      </c>
      <c r="Q37" s="112" t="s">
        <v>164</v>
      </c>
      <c r="S37" s="112" t="s">
        <v>175</v>
      </c>
      <c r="U37" s="112" t="s">
        <v>170</v>
      </c>
      <c r="W37" s="115" t="s">
        <v>175</v>
      </c>
      <c r="Y37" s="1232"/>
    </row>
    <row r="38" spans="1:27">
      <c r="C38" s="112" t="s">
        <v>174</v>
      </c>
      <c r="G38" s="112" t="s">
        <v>175</v>
      </c>
      <c r="K38" s="112" t="s">
        <v>201</v>
      </c>
      <c r="M38" s="116"/>
      <c r="S38" s="112" t="s">
        <v>202</v>
      </c>
      <c r="U38" s="112" t="s">
        <v>175</v>
      </c>
      <c r="W38" s="117"/>
      <c r="Y38" s="851"/>
    </row>
    <row r="39" spans="1:27">
      <c r="C39" s="112" t="s">
        <v>175</v>
      </c>
      <c r="G39" s="112"/>
      <c r="K39" s="112" t="s">
        <v>203</v>
      </c>
      <c r="M39" s="116"/>
      <c r="S39" s="118"/>
      <c r="U39" s="105"/>
      <c r="W39" s="117"/>
      <c r="Y39" s="851"/>
    </row>
    <row r="40" spans="1:27">
      <c r="C40" s="112" t="s">
        <v>204</v>
      </c>
      <c r="G40" s="112" t="s">
        <v>359</v>
      </c>
      <c r="K40" s="91" t="s">
        <v>358</v>
      </c>
      <c r="M40" s="115" t="s">
        <v>455</v>
      </c>
      <c r="O40" s="112" t="s">
        <v>205</v>
      </c>
      <c r="S40" s="112"/>
      <c r="U40" s="112"/>
      <c r="W40" s="117" t="s">
        <v>357</v>
      </c>
      <c r="Y40" s="851"/>
    </row>
    <row r="41" spans="1:27">
      <c r="C41" s="112" t="s">
        <v>206</v>
      </c>
      <c r="G41" s="112" t="s">
        <v>207</v>
      </c>
      <c r="I41" s="112" t="s">
        <v>208</v>
      </c>
      <c r="K41" s="112" t="s">
        <v>356</v>
      </c>
      <c r="M41" s="115" t="s">
        <v>209</v>
      </c>
      <c r="O41" s="112" t="s">
        <v>210</v>
      </c>
      <c r="Q41" s="112" t="s">
        <v>211</v>
      </c>
      <c r="S41" s="112" t="s">
        <v>212</v>
      </c>
      <c r="U41" s="112" t="s">
        <v>213</v>
      </c>
      <c r="W41" s="115" t="s">
        <v>214</v>
      </c>
      <c r="Y41" s="851"/>
      <c r="AA41" s="112"/>
    </row>
    <row r="42" spans="1:27">
      <c r="F42" s="94"/>
      <c r="G42" s="94"/>
      <c r="H42" s="94"/>
      <c r="I42" s="94"/>
      <c r="M42" s="116"/>
      <c r="U42" s="112"/>
      <c r="W42" s="115"/>
      <c r="Y42" s="851"/>
    </row>
    <row r="43" spans="1:27">
      <c r="A43" s="91" t="s">
        <v>192</v>
      </c>
      <c r="C43" s="109"/>
      <c r="F43" s="94"/>
      <c r="G43" s="119">
        <f>Y23</f>
        <v>48882.26188125</v>
      </c>
      <c r="H43" s="94"/>
      <c r="I43" s="101">
        <f>'Enter Data Elements (1)'!D18</f>
        <v>88000</v>
      </c>
      <c r="K43" s="120"/>
      <c r="M43" s="121">
        <f>IF($G$51&gt;$I$51,ROUND(G43/$G$51*$M$51,2),ROUND(I43/$I$51*$M$51,2))</f>
        <v>8706.5</v>
      </c>
      <c r="O43" s="122"/>
      <c r="Q43" s="122"/>
      <c r="S43" s="122"/>
      <c r="U43" s="122"/>
      <c r="V43" s="123"/>
      <c r="W43" s="124">
        <f>G43</f>
        <v>48882.26188125</v>
      </c>
      <c r="Y43" s="851"/>
      <c r="AA43" s="111"/>
    </row>
    <row r="44" spans="1:27">
      <c r="F44" s="94"/>
      <c r="G44" s="94"/>
      <c r="H44" s="94"/>
      <c r="I44" s="125"/>
      <c r="M44" s="116"/>
      <c r="S44" s="112"/>
      <c r="U44" s="105"/>
      <c r="W44" s="117"/>
      <c r="Y44" s="851"/>
    </row>
    <row r="45" spans="1:27">
      <c r="A45" s="91" t="s">
        <v>193</v>
      </c>
      <c r="C45" s="109"/>
      <c r="E45" s="851"/>
      <c r="F45" s="852"/>
      <c r="G45" s="853">
        <f>Y25</f>
        <v>667520.12424418598</v>
      </c>
      <c r="H45" s="851"/>
      <c r="I45" s="854">
        <f>'Enter Data Elements (1)'!D19</f>
        <v>529935.00099999993</v>
      </c>
      <c r="K45" s="120"/>
      <c r="M45" s="121">
        <f>IF($G$51&gt;$I$51,ROUND(G45/$G$51*$M$51,2),ROUND(I45/$I$51*$M$51,2))</f>
        <v>118893.11</v>
      </c>
      <c r="O45" s="122"/>
      <c r="Q45" s="122"/>
      <c r="S45" s="122"/>
      <c r="U45" s="122"/>
      <c r="W45" s="124">
        <f>G45</f>
        <v>667520.12424418598</v>
      </c>
      <c r="Y45" s="851"/>
      <c r="AA45" s="111"/>
    </row>
    <row r="46" spans="1:27">
      <c r="E46" s="851"/>
      <c r="F46" s="852"/>
      <c r="G46" s="853" t="s">
        <v>235</v>
      </c>
      <c r="H46" s="851"/>
      <c r="I46" s="855"/>
      <c r="M46" s="116"/>
      <c r="S46" s="112"/>
      <c r="U46" s="105"/>
      <c r="W46" s="117"/>
      <c r="Y46" s="851"/>
    </row>
    <row r="47" spans="1:27">
      <c r="A47" s="91" t="s">
        <v>194</v>
      </c>
      <c r="C47" s="109"/>
      <c r="E47" s="851"/>
      <c r="F47" s="851"/>
      <c r="G47" s="853">
        <f>Y27</f>
        <v>52804.192500000005</v>
      </c>
      <c r="H47" s="851"/>
      <c r="I47" s="854">
        <f>'Enter Data Elements (1)'!D20</f>
        <v>61475</v>
      </c>
      <c r="K47" s="120"/>
      <c r="M47" s="121">
        <f>IF($G$51&gt;$I$51,ROUND(G47/$G$51*$M$51,2),ROUND(I47/$I$51*$M$51,2))</f>
        <v>9405.0400000000009</v>
      </c>
      <c r="O47" s="122"/>
      <c r="Q47" s="122"/>
      <c r="S47" s="122"/>
      <c r="U47" s="122"/>
      <c r="W47" s="124">
        <f>G47</f>
        <v>52804.192500000005</v>
      </c>
      <c r="Y47" s="851"/>
    </row>
    <row r="48" spans="1:27">
      <c r="F48" s="94"/>
      <c r="G48" s="94"/>
      <c r="H48" s="94"/>
      <c r="I48" s="125"/>
      <c r="M48" s="116"/>
      <c r="S48" s="112"/>
      <c r="U48" s="105"/>
      <c r="W48" s="117"/>
      <c r="Y48" s="851"/>
    </row>
    <row r="49" spans="1:27">
      <c r="A49" s="91" t="s">
        <v>195</v>
      </c>
      <c r="C49" s="111">
        <f>Q29*U29</f>
        <v>163695.9375</v>
      </c>
      <c r="F49" s="118"/>
      <c r="G49" s="119">
        <f>C49</f>
        <v>163695.9375</v>
      </c>
      <c r="H49" s="94"/>
      <c r="I49" s="101">
        <f>'Enter Data Elements (1)'!D21</f>
        <v>168782</v>
      </c>
      <c r="K49" s="120"/>
      <c r="M49" s="121">
        <f>IF($G$51&gt;$I$51,ROUND(G49/$G$51*$M$51,2),ROUND(I49/$I$51*$M$51,2))</f>
        <v>29156.15</v>
      </c>
      <c r="O49" s="122"/>
      <c r="Q49" s="122"/>
      <c r="S49" s="122"/>
      <c r="U49" s="122"/>
      <c r="W49" s="124">
        <f>G49</f>
        <v>163695.9375</v>
      </c>
      <c r="Y49" s="851"/>
      <c r="AA49" s="111"/>
    </row>
    <row r="50" spans="1:27">
      <c r="I50" s="105"/>
      <c r="K50" s="126">
        <f>SUM(K43:K49)</f>
        <v>0</v>
      </c>
      <c r="M50" s="116"/>
      <c r="S50" s="112"/>
      <c r="U50" s="105"/>
      <c r="W50" s="117"/>
      <c r="Y50" s="851"/>
    </row>
    <row r="51" spans="1:27">
      <c r="A51" s="91" t="s">
        <v>196</v>
      </c>
      <c r="G51" s="111">
        <f>G43+G45+G47+G49</f>
        <v>932902.51612543594</v>
      </c>
      <c r="I51" s="111">
        <f>I43+I45+I47+I49</f>
        <v>848192.00099999993</v>
      </c>
      <c r="K51" s="111">
        <f>MIN(G51,I51)</f>
        <v>848192.00099999993</v>
      </c>
      <c r="M51" s="127">
        <f>ROUND(K51*$I$12,2)</f>
        <v>166160.81</v>
      </c>
      <c r="O51" s="111"/>
      <c r="Q51" s="111"/>
      <c r="W51" s="127">
        <f>W43+W45+W47+W49</f>
        <v>932902.51612543594</v>
      </c>
      <c r="Y51" s="851"/>
    </row>
    <row r="53" spans="1:27">
      <c r="I53" s="111"/>
    </row>
  </sheetData>
  <mergeCells count="6">
    <mergeCell ref="Y36:Y37"/>
    <mergeCell ref="A1:Y1"/>
    <mergeCell ref="A2:Y2"/>
    <mergeCell ref="A3:Y3"/>
    <mergeCell ref="A4:Y4"/>
    <mergeCell ref="G16:I16"/>
  </mergeCells>
  <pageMargins left="0.25" right="0.25" top="0.75" bottom="0.75" header="0.3" footer="0.3"/>
  <pageSetup scale="68" orientation="landscape" horizontalDpi="1800" verticalDpi="1800"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4"/>
  <dimension ref="A1:J127"/>
  <sheetViews>
    <sheetView workbookViewId="0">
      <selection activeCell="H28" sqref="H28"/>
    </sheetView>
  </sheetViews>
  <sheetFormatPr defaultColWidth="10.44140625" defaultRowHeight="10.95" customHeight="1"/>
  <cols>
    <col min="1" max="1" width="10.44140625" style="139" customWidth="1"/>
    <col min="2" max="5" width="9.21875" style="139" customWidth="1"/>
    <col min="6" max="6" width="10.5546875" style="139" customWidth="1"/>
    <col min="7" max="8" width="9.21875" style="139" customWidth="1"/>
    <col min="9" max="9" width="8.77734375" style="129" customWidth="1"/>
    <col min="10" max="16384" width="10.44140625" style="139"/>
  </cols>
  <sheetData>
    <row r="1" spans="1:8" ht="10.95" customHeight="1">
      <c r="A1" s="128"/>
      <c r="B1" s="128"/>
      <c r="C1" s="128"/>
      <c r="D1" s="128"/>
      <c r="E1" s="128"/>
      <c r="F1" s="128"/>
      <c r="G1" s="128"/>
      <c r="H1" s="128"/>
    </row>
    <row r="2" spans="1:8" ht="10.95" customHeight="1">
      <c r="A2" s="130" t="s">
        <v>361</v>
      </c>
      <c r="B2" s="128"/>
      <c r="C2" s="128"/>
      <c r="D2" s="128"/>
      <c r="E2" s="128"/>
      <c r="F2" s="128"/>
      <c r="G2" s="128"/>
      <c r="H2" s="128"/>
    </row>
    <row r="3" spans="1:8" ht="10.95" customHeight="1">
      <c r="A3" s="130"/>
      <c r="B3" s="128"/>
      <c r="C3" s="128"/>
      <c r="D3" s="128"/>
      <c r="E3" s="128"/>
      <c r="F3" s="128"/>
      <c r="G3" s="128"/>
      <c r="H3" s="128"/>
    </row>
    <row r="4" spans="1:8" ht="10.95" customHeight="1">
      <c r="A4" s="131"/>
      <c r="B4" s="132"/>
      <c r="C4" s="132"/>
      <c r="D4" s="132"/>
      <c r="E4" s="133" t="s">
        <v>215</v>
      </c>
      <c r="F4" s="133" t="s">
        <v>216</v>
      </c>
      <c r="G4" s="133" t="s">
        <v>217</v>
      </c>
      <c r="H4" s="133" t="s">
        <v>218</v>
      </c>
    </row>
    <row r="5" spans="1:8" ht="10.95" customHeight="1">
      <c r="A5" s="134" t="s">
        <v>219</v>
      </c>
      <c r="B5" s="134" t="s">
        <v>220</v>
      </c>
      <c r="C5" s="134" t="s">
        <v>221</v>
      </c>
      <c r="D5" s="134" t="s">
        <v>222</v>
      </c>
      <c r="E5" s="133" t="s">
        <v>223</v>
      </c>
      <c r="F5" s="133" t="s">
        <v>224</v>
      </c>
      <c r="G5" s="133" t="s">
        <v>225</v>
      </c>
      <c r="H5" s="133" t="s">
        <v>226</v>
      </c>
    </row>
    <row r="6" spans="1:8" ht="10.95" customHeight="1">
      <c r="A6" s="133">
        <v>0</v>
      </c>
      <c r="B6" s="135">
        <v>1</v>
      </c>
      <c r="C6" s="135">
        <v>1.0375000000000001</v>
      </c>
      <c r="D6" s="135">
        <v>1.0764</v>
      </c>
      <c r="E6" s="135">
        <v>1.1168</v>
      </c>
      <c r="F6" s="135">
        <v>1.1587000000000001</v>
      </c>
      <c r="G6" s="135">
        <v>1.2021999999999999</v>
      </c>
      <c r="H6" s="135">
        <v>1.2473000000000001</v>
      </c>
    </row>
    <row r="7" spans="1:8" ht="10.95" customHeight="1">
      <c r="A7" s="133">
        <v>1</v>
      </c>
      <c r="B7" s="135">
        <v>1.0375000000000001</v>
      </c>
      <c r="C7" s="135">
        <v>1.0764</v>
      </c>
      <c r="D7" s="135">
        <v>1.1168</v>
      </c>
      <c r="E7" s="135">
        <v>1.1587000000000001</v>
      </c>
      <c r="F7" s="135">
        <v>1.2021999999999999</v>
      </c>
      <c r="G7" s="135">
        <v>1.2473000000000001</v>
      </c>
      <c r="H7" s="135">
        <v>1.2941</v>
      </c>
    </row>
    <row r="8" spans="1:8" ht="10.95" customHeight="1">
      <c r="A8" s="133">
        <v>2</v>
      </c>
      <c r="B8" s="135">
        <v>1.0764</v>
      </c>
      <c r="C8" s="135">
        <v>1.1168</v>
      </c>
      <c r="D8" s="135">
        <v>1.1587000000000001</v>
      </c>
      <c r="E8" s="135">
        <v>1.2021999999999999</v>
      </c>
      <c r="F8" s="135">
        <v>1.2473000000000001</v>
      </c>
      <c r="G8" s="135">
        <v>1.2941</v>
      </c>
      <c r="H8" s="135">
        <v>1.3426</v>
      </c>
    </row>
    <row r="9" spans="1:8" ht="10.95" customHeight="1">
      <c r="A9" s="133">
        <v>3</v>
      </c>
      <c r="B9" s="135">
        <v>1.1168</v>
      </c>
      <c r="C9" s="135">
        <v>1.1587000000000001</v>
      </c>
      <c r="D9" s="135">
        <v>1.2021999999999999</v>
      </c>
      <c r="E9" s="135">
        <v>1.2473000000000001</v>
      </c>
      <c r="F9" s="135">
        <v>1.2941</v>
      </c>
      <c r="G9" s="135">
        <v>1.3426</v>
      </c>
      <c r="H9" s="135">
        <v>1.3929</v>
      </c>
    </row>
    <row r="10" spans="1:8" ht="10.95" customHeight="1">
      <c r="A10" s="133">
        <v>4</v>
      </c>
      <c r="B10" s="135">
        <v>1.1587000000000001</v>
      </c>
      <c r="C10" s="135">
        <v>1.2021999999999999</v>
      </c>
      <c r="D10" s="135">
        <v>1.2473000000000001</v>
      </c>
      <c r="E10" s="135">
        <v>1.2941</v>
      </c>
      <c r="F10" s="135">
        <v>1.3426</v>
      </c>
      <c r="G10" s="135">
        <v>1.3929</v>
      </c>
      <c r="H10" s="135">
        <v>1.4451000000000001</v>
      </c>
    </row>
    <row r="11" spans="1:8" ht="10.95" customHeight="1">
      <c r="A11" s="133">
        <v>5</v>
      </c>
      <c r="B11" s="135">
        <v>1.2021999999999999</v>
      </c>
      <c r="C11" s="135">
        <v>1.2473000000000001</v>
      </c>
      <c r="D11" s="135">
        <v>1.2941</v>
      </c>
      <c r="E11" s="135">
        <v>1.3426</v>
      </c>
      <c r="F11" s="135">
        <v>1.3929</v>
      </c>
      <c r="G11" s="135">
        <v>1.4451000000000001</v>
      </c>
      <c r="H11" s="135">
        <v>1.4993000000000001</v>
      </c>
    </row>
    <row r="12" spans="1:8" ht="10.95" customHeight="1">
      <c r="A12" s="133">
        <v>6</v>
      </c>
      <c r="B12" s="135">
        <v>1.2473000000000001</v>
      </c>
      <c r="C12" s="135">
        <v>1.2941</v>
      </c>
      <c r="D12" s="135">
        <v>1.3426</v>
      </c>
      <c r="E12" s="135">
        <v>1.3929</v>
      </c>
      <c r="F12" s="135">
        <v>1.4451000000000001</v>
      </c>
      <c r="G12" s="135">
        <v>1.4993000000000001</v>
      </c>
      <c r="H12" s="135">
        <v>1.5555000000000001</v>
      </c>
    </row>
    <row r="13" spans="1:8" ht="10.95" customHeight="1">
      <c r="A13" s="133">
        <v>7</v>
      </c>
      <c r="B13" s="135">
        <v>1.2941</v>
      </c>
      <c r="C13" s="135">
        <v>1.3426</v>
      </c>
      <c r="D13" s="135">
        <v>1.3929</v>
      </c>
      <c r="E13" s="135">
        <v>1.4451000000000001</v>
      </c>
      <c r="F13" s="135">
        <v>1.4993000000000001</v>
      </c>
      <c r="G13" s="135">
        <v>1.5555000000000001</v>
      </c>
      <c r="H13" s="135">
        <v>1.6137999999999999</v>
      </c>
    </row>
    <row r="14" spans="1:8" ht="10.95" customHeight="1">
      <c r="A14" s="133">
        <v>8</v>
      </c>
      <c r="B14" s="135">
        <v>1.3426</v>
      </c>
      <c r="C14" s="135">
        <v>1.3929</v>
      </c>
      <c r="D14" s="135">
        <v>1.4451000000000001</v>
      </c>
      <c r="E14" s="135">
        <v>1.4993000000000001</v>
      </c>
      <c r="F14" s="135">
        <v>1.5555000000000001</v>
      </c>
      <c r="G14" s="135">
        <v>1.6137999999999999</v>
      </c>
      <c r="H14" s="135">
        <v>1.6742999999999999</v>
      </c>
    </row>
    <row r="15" spans="1:8" ht="10.95" customHeight="1">
      <c r="A15" s="133">
        <v>9</v>
      </c>
      <c r="B15" s="135">
        <v>1.3929</v>
      </c>
      <c r="C15" s="135">
        <v>1.4451000000000001</v>
      </c>
      <c r="D15" s="135">
        <v>1.4993000000000001</v>
      </c>
      <c r="E15" s="135">
        <v>1.5555000000000001</v>
      </c>
      <c r="F15" s="135">
        <v>1.6137999999999999</v>
      </c>
      <c r="G15" s="135">
        <v>1.6742999999999999</v>
      </c>
      <c r="H15" s="135">
        <v>1.7371000000000001</v>
      </c>
    </row>
    <row r="16" spans="1:8" ht="10.95" customHeight="1">
      <c r="A16" s="133">
        <v>10</v>
      </c>
      <c r="B16" s="135">
        <v>1.3929</v>
      </c>
      <c r="C16" s="135">
        <v>1.4993000000000001</v>
      </c>
      <c r="D16" s="135">
        <v>1.5555000000000001</v>
      </c>
      <c r="E16" s="135">
        <v>1.6137999999999999</v>
      </c>
      <c r="F16" s="135">
        <v>1.6742999999999999</v>
      </c>
      <c r="G16" s="135">
        <v>1.7371000000000001</v>
      </c>
      <c r="H16" s="135">
        <v>1.8022</v>
      </c>
    </row>
    <row r="17" spans="1:10" ht="10.95" customHeight="1">
      <c r="A17" s="133">
        <v>11</v>
      </c>
      <c r="B17" s="135">
        <v>1.3929</v>
      </c>
      <c r="C17" s="135">
        <v>1.4993000000000001</v>
      </c>
      <c r="D17" s="135">
        <v>1.5555000000000001</v>
      </c>
      <c r="E17" s="135">
        <v>1.6137999999999999</v>
      </c>
      <c r="F17" s="135">
        <v>1.7371000000000001</v>
      </c>
      <c r="G17" s="135">
        <v>1.8022</v>
      </c>
      <c r="H17" s="135">
        <v>1.8697999999999999</v>
      </c>
    </row>
    <row r="18" spans="1:10" ht="10.95" customHeight="1">
      <c r="A18" s="133">
        <v>12</v>
      </c>
      <c r="B18" s="135">
        <v>1.3929</v>
      </c>
      <c r="C18" s="135">
        <v>1.4993000000000001</v>
      </c>
      <c r="D18" s="135">
        <v>1.5555000000000001</v>
      </c>
      <c r="E18" s="135">
        <v>1.6137999999999999</v>
      </c>
      <c r="F18" s="135">
        <v>1.7371000000000001</v>
      </c>
      <c r="G18" s="135">
        <v>1.8697999999999999</v>
      </c>
      <c r="H18" s="135">
        <v>1.9399</v>
      </c>
    </row>
    <row r="19" spans="1:10" ht="10.95" customHeight="1">
      <c r="A19" s="133" t="s">
        <v>227</v>
      </c>
      <c r="B19" s="135">
        <v>1.3929</v>
      </c>
      <c r="C19" s="135">
        <v>1.4993000000000001</v>
      </c>
      <c r="D19" s="135">
        <v>1.5555000000000001</v>
      </c>
      <c r="E19" s="135">
        <v>1.6137999999999999</v>
      </c>
      <c r="F19" s="135">
        <v>1.7371000000000001</v>
      </c>
      <c r="G19" s="135">
        <v>1.8697999999999999</v>
      </c>
      <c r="H19" s="135">
        <v>2.0125999999999999</v>
      </c>
    </row>
    <row r="20" spans="1:10" ht="10.95" customHeight="1">
      <c r="A20" s="136"/>
      <c r="B20" s="137"/>
      <c r="C20" s="137"/>
      <c r="D20" s="137"/>
      <c r="E20" s="137"/>
      <c r="F20" s="137"/>
      <c r="G20" s="137"/>
      <c r="H20" s="137"/>
    </row>
    <row r="21" spans="1:10" ht="10.95" customHeight="1">
      <c r="A21" s="136"/>
      <c r="B21" s="129"/>
      <c r="C21" s="129"/>
      <c r="D21" s="129"/>
      <c r="E21" s="129"/>
      <c r="F21" s="129"/>
      <c r="G21" s="129"/>
      <c r="H21" s="129"/>
    </row>
    <row r="22" spans="1:10" ht="10.95" customHeight="1">
      <c r="A22" s="128" t="s">
        <v>228</v>
      </c>
      <c r="B22" s="128"/>
      <c r="C22" s="128"/>
      <c r="D22" s="128"/>
      <c r="E22" s="128"/>
      <c r="F22" s="128"/>
      <c r="G22" s="128"/>
      <c r="H22" s="128"/>
    </row>
    <row r="23" spans="1:10" ht="10.95" customHeight="1">
      <c r="A23" s="131"/>
      <c r="B23" s="132"/>
      <c r="C23" s="132"/>
      <c r="D23" s="132"/>
      <c r="E23" s="133" t="s">
        <v>215</v>
      </c>
      <c r="F23" s="133" t="s">
        <v>216</v>
      </c>
      <c r="G23" s="133" t="s">
        <v>217</v>
      </c>
      <c r="H23" s="133" t="s">
        <v>218</v>
      </c>
    </row>
    <row r="24" spans="1:10" ht="10.95" customHeight="1">
      <c r="A24" s="134" t="s">
        <v>219</v>
      </c>
      <c r="B24" s="134" t="s">
        <v>220</v>
      </c>
      <c r="C24" s="134" t="s">
        <v>221</v>
      </c>
      <c r="D24" s="134" t="s">
        <v>222</v>
      </c>
      <c r="E24" s="133" t="s">
        <v>336</v>
      </c>
      <c r="F24" s="133" t="s">
        <v>337</v>
      </c>
      <c r="G24" s="133" t="s">
        <v>339</v>
      </c>
      <c r="H24" s="133" t="s">
        <v>338</v>
      </c>
      <c r="J24" s="134" t="s">
        <v>220</v>
      </c>
    </row>
    <row r="25" spans="1:10" ht="10.95" customHeight="1">
      <c r="A25" s="133">
        <v>0</v>
      </c>
      <c r="B25" s="138">
        <f>SUMIFS('Master Budget Sheet'!$S$87:$S$87,'Master Budget Sheet'!$F$87:$F$87,B$24,'Master Budget Sheet'!$E$87:$E$87,$A25)</f>
        <v>0</v>
      </c>
      <c r="C25" s="138">
        <f>SUMIFS('Master Budget Sheet'!$S$87:$S$87,'Master Budget Sheet'!$F$87:$F$87,C$24,'Master Budget Sheet'!$E$87:$E$87,$A25)</f>
        <v>0</v>
      </c>
      <c r="D25" s="138">
        <f>SUMIFS('Master Budget Sheet'!$S$87:$S$87,'Master Budget Sheet'!$F$87:$F$87,D$24,'Master Budget Sheet'!$E$87:$E$87,$A25)</f>
        <v>0</v>
      </c>
      <c r="E25" s="138">
        <f>SUMIFS('Master Budget Sheet'!$S$87:$S$87,'Master Budget Sheet'!$F$87:$F$87,E$24,'Master Budget Sheet'!$E$87:$E$87,$A25)</f>
        <v>0</v>
      </c>
      <c r="F25" s="138">
        <f>SUMIFS('Master Budget Sheet'!$S$87:$S$87,'Master Budget Sheet'!$F$87:$F$87,F$24,'Master Budget Sheet'!$E$87:$E$87,$A25)</f>
        <v>0</v>
      </c>
      <c r="G25" s="138">
        <f>SUMIFS('Master Budget Sheet'!$S$87:$S$87,'Master Budget Sheet'!$F$87:$F$87,G$24,'Master Budget Sheet'!$E$87:$E$87,$A25)</f>
        <v>0</v>
      </c>
      <c r="H25" s="138">
        <f>SUMIFS('Master Budget Sheet'!$S$87:$S$87,'Master Budget Sheet'!$F$87:$F$87,H$24,'Master Budget Sheet'!$E$87:$E$87,$A25)</f>
        <v>0</v>
      </c>
      <c r="J25" s="134" t="s">
        <v>221</v>
      </c>
    </row>
    <row r="26" spans="1:10" ht="10.95" customHeight="1">
      <c r="A26" s="133">
        <v>1</v>
      </c>
      <c r="B26" s="138">
        <f>SUMIFS('Master Budget Sheet'!$S$87:$S$87,'Master Budget Sheet'!$F$87:$F$87,B$24,'Master Budget Sheet'!$E$87:$E$87,$A26)</f>
        <v>0</v>
      </c>
      <c r="C26" s="138">
        <f>SUMIFS('Master Budget Sheet'!$S$87:$S$87,'Master Budget Sheet'!$F$87:$F$87,C$24,'Master Budget Sheet'!$E$87:$E$87,$A26)</f>
        <v>0</v>
      </c>
      <c r="D26" s="138">
        <f>SUMIFS('Master Budget Sheet'!$S$87:$S$87,'Master Budget Sheet'!$F$87:$F$87,D$24,'Master Budget Sheet'!$E$87:$E$87,$A26)</f>
        <v>0</v>
      </c>
      <c r="E26" s="138">
        <f>SUMIFS('Master Budget Sheet'!$S$87:$S$87,'Master Budget Sheet'!$F$87:$F$87,E$24,'Master Budget Sheet'!$E$87:$E$87,$A26)</f>
        <v>0</v>
      </c>
      <c r="F26" s="138">
        <f>SUMIFS('Master Budget Sheet'!$S$87:$S$87,'Master Budget Sheet'!$F$87:$F$87,F$24,'Master Budget Sheet'!$E$87:$E$87,$A26)</f>
        <v>0</v>
      </c>
      <c r="G26" s="138">
        <f>SUMIFS('Master Budget Sheet'!$S$87:$S$87,'Master Budget Sheet'!$F$87:$F$87,G$24,'Master Budget Sheet'!$E$87:$E$87,$A26)</f>
        <v>0</v>
      </c>
      <c r="H26" s="138">
        <f>SUMIFS('Master Budget Sheet'!$S$87:$S$87,'Master Budget Sheet'!$F$87:$F$87,H$24,'Master Budget Sheet'!$E$87:$E$87,$A26)</f>
        <v>0</v>
      </c>
      <c r="J26" s="134" t="s">
        <v>222</v>
      </c>
    </row>
    <row r="27" spans="1:10" ht="10.95" customHeight="1">
      <c r="A27" s="133">
        <v>2</v>
      </c>
      <c r="B27" s="138">
        <f>SUMIFS('Master Budget Sheet'!$S$87:$S$87,'Master Budget Sheet'!$F$87:$F$87,B$24,'Master Budget Sheet'!$E$87:$E$87,$A27)</f>
        <v>0</v>
      </c>
      <c r="C27" s="138">
        <f>SUMIFS('Master Budget Sheet'!$S$87:$S$87,'Master Budget Sheet'!$F$87:$F$87,C$24,'Master Budget Sheet'!$E$87:$E$87,$A27)</f>
        <v>0</v>
      </c>
      <c r="D27" s="138">
        <f>SUMIFS('Master Budget Sheet'!$S$87:$S$87,'Master Budget Sheet'!$F$87:$F$87,D$24,'Master Budget Sheet'!$E$87:$E$87,$A27)</f>
        <v>0</v>
      </c>
      <c r="E27" s="138">
        <f>SUMIFS('Master Budget Sheet'!$S$87:$S$87,'Master Budget Sheet'!$F$87:$F$87,E$24,'Master Budget Sheet'!$E$87:$E$87,$A27)</f>
        <v>0</v>
      </c>
      <c r="F27" s="138">
        <f>SUMIFS('Master Budget Sheet'!$S$87:$S$87,'Master Budget Sheet'!$F$87:$F$87,F$24,'Master Budget Sheet'!$E$87:$E$87,$A27)</f>
        <v>0</v>
      </c>
      <c r="G27" s="138">
        <f>SUMIFS('Master Budget Sheet'!$S$87:$S$87,'Master Budget Sheet'!$F$87:$F$87,G$24,'Master Budget Sheet'!$E$87:$E$87,$A27)</f>
        <v>0</v>
      </c>
      <c r="H27" s="138">
        <f>SUMIFS('Master Budget Sheet'!$S$87:$S$87,'Master Budget Sheet'!$F$87:$F$87,H$24,'Master Budget Sheet'!$E$87:$E$87,$A27)</f>
        <v>1</v>
      </c>
      <c r="J27" s="133" t="s">
        <v>336</v>
      </c>
    </row>
    <row r="28" spans="1:10" ht="10.95" customHeight="1">
      <c r="A28" s="133">
        <v>3</v>
      </c>
      <c r="B28" s="138">
        <f>SUMIFS('Master Budget Sheet'!$S$87:$S$87,'Master Budget Sheet'!$F$87:$F$87,B$24,'Master Budget Sheet'!$E$87:$E$87,$A28)</f>
        <v>0</v>
      </c>
      <c r="C28" s="138">
        <f>SUMIFS('Master Budget Sheet'!$S$87:$S$87,'Master Budget Sheet'!$F$87:$F$87,C$24,'Master Budget Sheet'!$E$87:$E$87,$A28)</f>
        <v>0</v>
      </c>
      <c r="D28" s="138">
        <f>SUMIFS('Master Budget Sheet'!$S$87:$S$87,'Master Budget Sheet'!$F$87:$F$87,D$24,'Master Budget Sheet'!$E$87:$E$87,$A28)</f>
        <v>0</v>
      </c>
      <c r="E28" s="138">
        <f>SUMIFS('Master Budget Sheet'!$S$87:$S$87,'Master Budget Sheet'!$F$87:$F$87,E$24,'Master Budget Sheet'!$E$87:$E$87,$A28)</f>
        <v>0</v>
      </c>
      <c r="F28" s="138">
        <f>SUMIFS('Master Budget Sheet'!$S$87:$S$87,'Master Budget Sheet'!$F$87:$F$87,F$24,'Master Budget Sheet'!$E$87:$E$87,$A28)</f>
        <v>0</v>
      </c>
      <c r="G28" s="138">
        <f>SUMIFS('Master Budget Sheet'!$S$87:$S$87,'Master Budget Sheet'!$F$87:$F$87,G$24,'Master Budget Sheet'!$E$87:$E$87,$A28)</f>
        <v>0</v>
      </c>
      <c r="H28" s="138">
        <f>SUMIFS('Master Budget Sheet'!$S$87:$S$87,'Master Budget Sheet'!$F$87:$F$87,H$24,'Master Budget Sheet'!$E$87:$E$87,$A28)</f>
        <v>0</v>
      </c>
      <c r="J28" s="133" t="s">
        <v>337</v>
      </c>
    </row>
    <row r="29" spans="1:10" ht="10.95" customHeight="1">
      <c r="A29" s="133">
        <v>4</v>
      </c>
      <c r="B29" s="138">
        <f>SUMIFS('Master Budget Sheet'!$S$87:$S$87,'Master Budget Sheet'!$F$87:$F$87,B$24,'Master Budget Sheet'!$E$87:$E$87,$A29)</f>
        <v>0</v>
      </c>
      <c r="C29" s="138">
        <f>SUMIFS('Master Budget Sheet'!$S$87:$S$87,'Master Budget Sheet'!$F$87:$F$87,C$24,'Master Budget Sheet'!$E$87:$E$87,$A29)</f>
        <v>0</v>
      </c>
      <c r="D29" s="138">
        <f>SUMIFS('Master Budget Sheet'!$S$87:$S$87,'Master Budget Sheet'!$F$87:$F$87,D$24,'Master Budget Sheet'!$E$87:$E$87,$A29)</f>
        <v>0</v>
      </c>
      <c r="E29" s="138">
        <f>SUMIFS('Master Budget Sheet'!$S$87:$S$87,'Master Budget Sheet'!$F$87:$F$87,E$24,'Master Budget Sheet'!$E$87:$E$87,$A29)</f>
        <v>0</v>
      </c>
      <c r="F29" s="138">
        <f>SUMIFS('Master Budget Sheet'!$S$87:$S$87,'Master Budget Sheet'!$F$87:$F$87,F$24,'Master Budget Sheet'!$E$87:$E$87,$A29)</f>
        <v>0</v>
      </c>
      <c r="G29" s="138">
        <f>SUMIFS('Master Budget Sheet'!$S$87:$S$87,'Master Budget Sheet'!$F$87:$F$87,G$24,'Master Budget Sheet'!$E$87:$E$87,$A29)</f>
        <v>0</v>
      </c>
      <c r="H29" s="138">
        <f>SUMIFS('Master Budget Sheet'!$S$87:$S$87,'Master Budget Sheet'!$F$87:$F$87,H$24,'Master Budget Sheet'!$E$87:$E$87,$A29)</f>
        <v>0</v>
      </c>
      <c r="J29" s="133" t="s">
        <v>339</v>
      </c>
    </row>
    <row r="30" spans="1:10" ht="10.95" customHeight="1">
      <c r="A30" s="133">
        <v>5</v>
      </c>
      <c r="B30" s="138">
        <f>SUMIFS('Master Budget Sheet'!$S$87:$S$87,'Master Budget Sheet'!$F$87:$F$87,B$24,'Master Budget Sheet'!$E$87:$E$87,$A30)</f>
        <v>0</v>
      </c>
      <c r="C30" s="138">
        <f>SUMIFS('Master Budget Sheet'!$S$87:$S$87,'Master Budget Sheet'!$F$87:$F$87,C$24,'Master Budget Sheet'!$E$87:$E$87,$A30)</f>
        <v>0</v>
      </c>
      <c r="D30" s="138">
        <f>SUMIFS('Master Budget Sheet'!$S$87:$S$87,'Master Budget Sheet'!$F$87:$F$87,D$24,'Master Budget Sheet'!$E$87:$E$87,$A30)</f>
        <v>0</v>
      </c>
      <c r="E30" s="138">
        <f>SUMIFS('Master Budget Sheet'!$S$87:$S$87,'Master Budget Sheet'!$F$87:$F$87,E$24,'Master Budget Sheet'!$E$87:$E$87,$A30)</f>
        <v>0</v>
      </c>
      <c r="F30" s="138">
        <f>SUMIFS('Master Budget Sheet'!$S$87:$S$87,'Master Budget Sheet'!$F$87:$F$87,F$24,'Master Budget Sheet'!$E$87:$E$87,$A30)</f>
        <v>0</v>
      </c>
      <c r="G30" s="138">
        <f>SUMIFS('Master Budget Sheet'!$S$87:$S$87,'Master Budget Sheet'!$F$87:$F$87,G$24,'Master Budget Sheet'!$E$87:$E$87,$A30)</f>
        <v>0</v>
      </c>
      <c r="H30" s="138">
        <f>SUMIFS('Master Budget Sheet'!$S$87:$S$87,'Master Budget Sheet'!$F$87:$F$87,H$24,'Master Budget Sheet'!$E$87:$E$87,$A30)</f>
        <v>0</v>
      </c>
      <c r="J30" s="133" t="s">
        <v>338</v>
      </c>
    </row>
    <row r="31" spans="1:10" ht="10.95" customHeight="1">
      <c r="A31" s="133">
        <v>6</v>
      </c>
      <c r="B31" s="138">
        <f>SUMIFS('Master Budget Sheet'!$S$87:$S$87,'Master Budget Sheet'!$F$87:$F$87,B$24,'Master Budget Sheet'!$E$87:$E$87,$A31)</f>
        <v>0</v>
      </c>
      <c r="C31" s="138">
        <f>SUMIFS('Master Budget Sheet'!$S$87:$S$87,'Master Budget Sheet'!$F$87:$F$87,C$24,'Master Budget Sheet'!$E$87:$E$87,$A31)</f>
        <v>0</v>
      </c>
      <c r="D31" s="138">
        <f>SUMIFS('Master Budget Sheet'!$S$87:$S$87,'Master Budget Sheet'!$F$87:$F$87,D$24,'Master Budget Sheet'!$E$87:$E$87,$A31)</f>
        <v>0</v>
      </c>
      <c r="E31" s="138">
        <f>SUMIFS('Master Budget Sheet'!$S$87:$S$87,'Master Budget Sheet'!$F$87:$F$87,E$24,'Master Budget Sheet'!$E$87:$E$87,$A31)</f>
        <v>0</v>
      </c>
      <c r="F31" s="138">
        <f>SUMIFS('Master Budget Sheet'!$S$87:$S$87,'Master Budget Sheet'!$F$87:$F$87,F$24,'Master Budget Sheet'!$E$87:$E$87,$A31)</f>
        <v>0</v>
      </c>
      <c r="G31" s="138">
        <f>SUMIFS('Master Budget Sheet'!$S$87:$S$87,'Master Budget Sheet'!$F$87:$F$87,G$24,'Master Budget Sheet'!$E$87:$E$87,$A31)</f>
        <v>0</v>
      </c>
      <c r="H31" s="138">
        <f>SUMIFS('Master Budget Sheet'!$S$87:$S$87,'Master Budget Sheet'!$F$87:$F$87,H$24,'Master Budget Sheet'!$E$87:$E$87,$A31)</f>
        <v>0</v>
      </c>
    </row>
    <row r="32" spans="1:10" ht="10.95" customHeight="1">
      <c r="A32" s="133">
        <v>7</v>
      </c>
      <c r="B32" s="138">
        <f>SUMIFS('Master Budget Sheet'!$S$87:$S$87,'Master Budget Sheet'!$F$87:$F$87,B$24,'Master Budget Sheet'!$E$87:$E$87,$A32)</f>
        <v>0</v>
      </c>
      <c r="C32" s="138">
        <f>SUMIFS('Master Budget Sheet'!$S$87:$S$87,'Master Budget Sheet'!$F$87:$F$87,C$24,'Master Budget Sheet'!$E$87:$E$87,$A32)</f>
        <v>0</v>
      </c>
      <c r="D32" s="138">
        <f>SUMIFS('Master Budget Sheet'!$S$87:$S$87,'Master Budget Sheet'!$F$87:$F$87,D$24,'Master Budget Sheet'!$E$87:$E$87,$A32)</f>
        <v>0</v>
      </c>
      <c r="E32" s="138">
        <f>SUMIFS('Master Budget Sheet'!$S$87:$S$87,'Master Budget Sheet'!$F$87:$F$87,E$24,'Master Budget Sheet'!$E$87:$E$87,$A32)</f>
        <v>0</v>
      </c>
      <c r="F32" s="138">
        <f>SUMIFS('Master Budget Sheet'!$S$87:$S$87,'Master Budget Sheet'!$F$87:$F$87,F$24,'Master Budget Sheet'!$E$87:$E$87,$A32)</f>
        <v>0</v>
      </c>
      <c r="G32" s="138">
        <f>SUMIFS('Master Budget Sheet'!$S$87:$S$87,'Master Budget Sheet'!$F$87:$F$87,G$24,'Master Budget Sheet'!$E$87:$E$87,$A32)</f>
        <v>0</v>
      </c>
      <c r="H32" s="138">
        <f>SUMIFS('Master Budget Sheet'!$S$87:$S$87,'Master Budget Sheet'!$F$87:$F$87,H$24,'Master Budget Sheet'!$E$87:$E$87,$A32)</f>
        <v>0</v>
      </c>
    </row>
    <row r="33" spans="1:10" ht="10.95" customHeight="1">
      <c r="A33" s="133">
        <v>8</v>
      </c>
      <c r="B33" s="138">
        <f>SUMIFS('Master Budget Sheet'!$S$87:$S$87,'Master Budget Sheet'!$F$87:$F$87,B$24,'Master Budget Sheet'!$E$87:$E$87,$A33)</f>
        <v>0</v>
      </c>
      <c r="C33" s="138">
        <f>SUMIFS('Master Budget Sheet'!$S$87:$S$87,'Master Budget Sheet'!$F$87:$F$87,C$24,'Master Budget Sheet'!$E$87:$E$87,$A33)</f>
        <v>0</v>
      </c>
      <c r="D33" s="138">
        <f>SUMIFS('Master Budget Sheet'!$S$87:$S$87,'Master Budget Sheet'!$F$87:$F$87,D$24,'Master Budget Sheet'!$E$87:$E$87,$A33)</f>
        <v>0</v>
      </c>
      <c r="E33" s="138">
        <f>SUMIFS('Master Budget Sheet'!$S$87:$S$87,'Master Budget Sheet'!$F$87:$F$87,E$24,'Master Budget Sheet'!$E$87:$E$87,$A33)</f>
        <v>0</v>
      </c>
      <c r="F33" s="138">
        <f>SUMIFS('Master Budget Sheet'!$S$87:$S$87,'Master Budget Sheet'!$F$87:$F$87,F$24,'Master Budget Sheet'!$E$87:$E$87,$A33)</f>
        <v>0</v>
      </c>
      <c r="G33" s="138">
        <f>SUMIFS('Master Budget Sheet'!$S$87:$S$87,'Master Budget Sheet'!$F$87:$F$87,G$24,'Master Budget Sheet'!$E$87:$E$87,$A33)</f>
        <v>0</v>
      </c>
      <c r="H33" s="138">
        <f>SUMIFS('Master Budget Sheet'!$S$87:$S$87,'Master Budget Sheet'!$F$87:$F$87,H$24,'Master Budget Sheet'!$E$87:$E$87,$A33)</f>
        <v>0</v>
      </c>
    </row>
    <row r="34" spans="1:10" ht="10.95" customHeight="1">
      <c r="A34" s="133">
        <v>9</v>
      </c>
      <c r="B34" s="138">
        <f>SUMIFS('Master Budget Sheet'!$S$87:$S$87,'Master Budget Sheet'!$F$87:$F$87,B$24,'Master Budget Sheet'!$E$87:$E$87,$A34)</f>
        <v>0</v>
      </c>
      <c r="C34" s="138">
        <f>SUMIFS('Master Budget Sheet'!$S$87:$S$87,'Master Budget Sheet'!$F$87:$F$87,C$24,'Master Budget Sheet'!$E$87:$E$87,$A34)</f>
        <v>0</v>
      </c>
      <c r="D34" s="138">
        <f>SUMIFS('Master Budget Sheet'!$S$87:$S$87,'Master Budget Sheet'!$F$87:$F$87,D$24,'Master Budget Sheet'!$E$87:$E$87,$A34)</f>
        <v>0</v>
      </c>
      <c r="E34" s="138">
        <f>SUMIFS('Master Budget Sheet'!$S$87:$S$87,'Master Budget Sheet'!$F$87:$F$87,E$24,'Master Budget Sheet'!$E$87:$E$87,$A34)</f>
        <v>0</v>
      </c>
      <c r="F34" s="138">
        <f>SUMIFS('Master Budget Sheet'!$S$87:$S$87,'Master Budget Sheet'!$F$87:$F$87,F$24,'Master Budget Sheet'!$E$87:$E$87,$A34)</f>
        <v>0</v>
      </c>
      <c r="G34" s="138">
        <f>SUMIFS('Master Budget Sheet'!$S$87:$S$87,'Master Budget Sheet'!$F$87:$F$87,G$24,'Master Budget Sheet'!$E$87:$E$87,$A34)</f>
        <v>0</v>
      </c>
      <c r="H34" s="138">
        <f>SUMIFS('Master Budget Sheet'!$S$87:$S$87,'Master Budget Sheet'!$F$87:$F$87,H$24,'Master Budget Sheet'!$E$87:$E$87,$A34)</f>
        <v>0</v>
      </c>
    </row>
    <row r="35" spans="1:10" ht="10.95" customHeight="1">
      <c r="A35" s="133">
        <v>10</v>
      </c>
      <c r="B35" s="138">
        <f>SUMIFS('Master Budget Sheet'!$S$87:$S$87,'Master Budget Sheet'!$F$87:$F$87,B$24,'Master Budget Sheet'!$E$87:$E$87,$A35)</f>
        <v>0</v>
      </c>
      <c r="C35" s="138">
        <f>SUMIFS('Master Budget Sheet'!$S$87:$S$87,'Master Budget Sheet'!$F$87:$F$87,C$24,'Master Budget Sheet'!$E$87:$E$87,$A35)</f>
        <v>0</v>
      </c>
      <c r="D35" s="138">
        <f>SUMIFS('Master Budget Sheet'!$S$87:$S$87,'Master Budget Sheet'!$F$87:$F$87,D$24,'Master Budget Sheet'!$E$87:$E$87,$A35)</f>
        <v>0</v>
      </c>
      <c r="E35" s="138">
        <f>SUMIFS('Master Budget Sheet'!$S$87:$S$87,'Master Budget Sheet'!$F$87:$F$87,E$24,'Master Budget Sheet'!$E$87:$E$87,$A35)</f>
        <v>0</v>
      </c>
      <c r="F35" s="138">
        <f>SUMIFS('Master Budget Sheet'!$S$87:$S$87,'Master Budget Sheet'!$F$87:$F$87,F$24,'Master Budget Sheet'!$E$87:$E$87,$A35)</f>
        <v>0</v>
      </c>
      <c r="G35" s="138">
        <f>SUMIFS('Master Budget Sheet'!$S$87:$S$87,'Master Budget Sheet'!$F$87:$F$87,G$24,'Master Budget Sheet'!$E$87:$E$87,$A35)</f>
        <v>0</v>
      </c>
      <c r="H35" s="138">
        <f>SUMIFS('Master Budget Sheet'!$S$87:$S$87,'Master Budget Sheet'!$F$87:$F$87,H$24,'Master Budget Sheet'!$E$87:$E$87,$A35)</f>
        <v>0</v>
      </c>
    </row>
    <row r="36" spans="1:10" ht="10.95" customHeight="1">
      <c r="A36" s="133">
        <v>11</v>
      </c>
      <c r="B36" s="138">
        <f>SUMIFS('Master Budget Sheet'!$S$87:$S$87,'Master Budget Sheet'!$F$87:$F$87,B$24,'Master Budget Sheet'!$E$87:$E$87,$A36)</f>
        <v>0</v>
      </c>
      <c r="C36" s="138">
        <f>SUMIFS('Master Budget Sheet'!$S$87:$S$87,'Master Budget Sheet'!$F$87:$F$87,C$24,'Master Budget Sheet'!$E$87:$E$87,$A36)</f>
        <v>0</v>
      </c>
      <c r="D36" s="138">
        <f>SUMIFS('Master Budget Sheet'!$S$87:$S$87,'Master Budget Sheet'!$F$87:$F$87,D$24,'Master Budget Sheet'!$E$87:$E$87,$A36)</f>
        <v>0</v>
      </c>
      <c r="E36" s="138">
        <f>SUMIFS('Master Budget Sheet'!$S$87:$S$87,'Master Budget Sheet'!$F$87:$F$87,E$24,'Master Budget Sheet'!$E$87:$E$87,$A36)</f>
        <v>0</v>
      </c>
      <c r="F36" s="138">
        <f>SUMIFS('Master Budget Sheet'!$S$87:$S$87,'Master Budget Sheet'!$F$87:$F$87,F$24,'Master Budget Sheet'!$E$87:$E$87,$A36)</f>
        <v>0</v>
      </c>
      <c r="G36" s="138">
        <f>SUMIFS('Master Budget Sheet'!$S$87:$S$87,'Master Budget Sheet'!$F$87:$F$87,G$24,'Master Budget Sheet'!$E$87:$E$87,$A36)</f>
        <v>0</v>
      </c>
      <c r="H36" s="138">
        <f>SUMIFS('Master Budget Sheet'!$S$87:$S$87,'Master Budget Sheet'!$F$87:$F$87,H$24,'Master Budget Sheet'!$E$87:$E$87,$A36)</f>
        <v>0</v>
      </c>
    </row>
    <row r="37" spans="1:10" ht="10.95" customHeight="1">
      <c r="A37" s="133">
        <v>12</v>
      </c>
      <c r="B37" s="138">
        <f>SUMIFS('Master Budget Sheet'!$S$87:$S$87,'Master Budget Sheet'!$F$87:$F$87,B$24,'Master Budget Sheet'!$E$87:$E$87,$A37)</f>
        <v>0</v>
      </c>
      <c r="C37" s="138">
        <f>SUMIFS('Master Budget Sheet'!$S$87:$S$87,'Master Budget Sheet'!$F$87:$F$87,C$24,'Master Budget Sheet'!$E$87:$E$87,$A37)</f>
        <v>0</v>
      </c>
      <c r="D37" s="138">
        <f>SUMIFS('Master Budget Sheet'!$S$87:$S$87,'Master Budget Sheet'!$F$87:$F$87,D$24,'Master Budget Sheet'!$E$87:$E$87,$A37)</f>
        <v>0</v>
      </c>
      <c r="E37" s="138">
        <f>SUMIFS('Master Budget Sheet'!$S$87:$S$87,'Master Budget Sheet'!$F$87:$F$87,E$24,'Master Budget Sheet'!$E$87:$E$87,$A37)</f>
        <v>0</v>
      </c>
      <c r="F37" s="138">
        <f>SUMIFS('Master Budget Sheet'!$S$87:$S$87,'Master Budget Sheet'!$F$87:$F$87,F$24,'Master Budget Sheet'!$E$87:$E$87,$A37)</f>
        <v>0</v>
      </c>
      <c r="G37" s="138">
        <f>SUMIFS('Master Budget Sheet'!$S$87:$S$87,'Master Budget Sheet'!$F$87:$F$87,G$24,'Master Budget Sheet'!$E$87:$E$87,$A37)</f>
        <v>0</v>
      </c>
      <c r="H37" s="138">
        <f>SUMIFS('Master Budget Sheet'!$S$87:$S$87,'Master Budget Sheet'!$F$87:$F$87,H$24,'Master Budget Sheet'!$E$87:$E$87,$A37)</f>
        <v>0</v>
      </c>
    </row>
    <row r="38" spans="1:10" ht="10.95" customHeight="1">
      <c r="A38" s="133" t="s">
        <v>227</v>
      </c>
      <c r="B38" s="138">
        <f>SUMIFS('Master Budget Sheet'!$S$87:$S$87,'Master Budget Sheet'!$F$87:$F$87,B$24,'Master Budget Sheet'!$E$87:$E$87,"&gt;12")</f>
        <v>0</v>
      </c>
      <c r="C38" s="138">
        <f>SUMIFS('Master Budget Sheet'!$S$87:$S$87,'Master Budget Sheet'!$F$87:$F$87,C$24,'Master Budget Sheet'!$E$87:$E$87,"&gt;12")</f>
        <v>0</v>
      </c>
      <c r="D38" s="138">
        <f>SUMIFS('Master Budget Sheet'!$S$87:$S$87,'Master Budget Sheet'!$F$87:$F$87,D$24,'Master Budget Sheet'!$E$87:$E$87,"&gt;12")</f>
        <v>0</v>
      </c>
      <c r="E38" s="138">
        <f>SUMIFS('Master Budget Sheet'!$S$87:$S$87,'Master Budget Sheet'!$F$87:$F$87,E$24,'Master Budget Sheet'!$E$87:$E$87,"&gt;12")</f>
        <v>0</v>
      </c>
      <c r="F38" s="138">
        <f>SUMIFS('Master Budget Sheet'!$S$87:$S$87,'Master Budget Sheet'!$F$87:$F$87,F$24,'Master Budget Sheet'!$E$87:$E$87,"&gt;12")</f>
        <v>0</v>
      </c>
      <c r="G38" s="138">
        <f>SUMIFS('Master Budget Sheet'!$S$87:$S$87,'Master Budget Sheet'!$F$87:$F$87,G$24,'Master Budget Sheet'!$E$87:$E$87,"&gt;12")</f>
        <v>0</v>
      </c>
      <c r="H38" s="138">
        <f>SUMIFS('Master Budget Sheet'!$S$87:$S$87,'Master Budget Sheet'!$F$87:$F$87,H$24,'Master Budget Sheet'!$E$87:$E$87,"&gt;12")</f>
        <v>0</v>
      </c>
    </row>
    <row r="39" spans="1:10" s="143" customFormat="1" ht="10.95" customHeight="1">
      <c r="A39" s="140" t="s">
        <v>229</v>
      </c>
      <c r="B39" s="141">
        <f t="shared" ref="B39:H39" si="0">ROUND(SUM(B25:B38),5)</f>
        <v>0</v>
      </c>
      <c r="C39" s="141">
        <f t="shared" si="0"/>
        <v>0</v>
      </c>
      <c r="D39" s="141">
        <f t="shared" si="0"/>
        <v>0</v>
      </c>
      <c r="E39" s="141">
        <f t="shared" si="0"/>
        <v>0</v>
      </c>
      <c r="F39" s="141">
        <f t="shared" si="0"/>
        <v>0</v>
      </c>
      <c r="G39" s="141">
        <f t="shared" si="0"/>
        <v>0</v>
      </c>
      <c r="H39" s="141">
        <f t="shared" si="0"/>
        <v>1</v>
      </c>
      <c r="I39" s="142"/>
    </row>
    <row r="40" spans="1:10" ht="10.95" customHeight="1">
      <c r="A40" s="136"/>
      <c r="B40" s="129"/>
      <c r="C40" s="129"/>
      <c r="D40" s="129"/>
      <c r="E40" s="129"/>
      <c r="F40" s="144" t="s">
        <v>230</v>
      </c>
      <c r="G40" s="145" t="s">
        <v>231</v>
      </c>
      <c r="H40" s="146">
        <f>ROUND(SUM(B39:H39),5)</f>
        <v>1</v>
      </c>
    </row>
    <row r="41" spans="1:10" ht="10.95" customHeight="1">
      <c r="A41" s="136"/>
      <c r="B41" s="129"/>
      <c r="C41" s="129"/>
      <c r="D41" s="129"/>
      <c r="E41" s="147"/>
      <c r="F41" s="148"/>
      <c r="G41" s="149"/>
      <c r="H41" s="150"/>
      <c r="I41" s="147"/>
    </row>
    <row r="42" spans="1:10" ht="10.95" customHeight="1">
      <c r="A42" s="128" t="s">
        <v>232</v>
      </c>
      <c r="B42" s="128"/>
      <c r="C42" s="128"/>
      <c r="D42" s="128"/>
      <c r="E42" s="128"/>
      <c r="F42" s="128"/>
      <c r="G42" s="128"/>
      <c r="H42" s="128"/>
    </row>
    <row r="43" spans="1:10" ht="10.95" customHeight="1">
      <c r="A43" s="133"/>
      <c r="B43" s="151"/>
      <c r="C43" s="151"/>
      <c r="D43" s="151"/>
      <c r="E43" s="133" t="s">
        <v>215</v>
      </c>
      <c r="F43" s="133" t="s">
        <v>216</v>
      </c>
      <c r="G43" s="133" t="s">
        <v>217</v>
      </c>
      <c r="H43" s="133" t="s">
        <v>218</v>
      </c>
    </row>
    <row r="44" spans="1:10" ht="10.95" customHeight="1">
      <c r="A44" s="133" t="s">
        <v>219</v>
      </c>
      <c r="B44" s="133" t="s">
        <v>220</v>
      </c>
      <c r="C44" s="133" t="s">
        <v>221</v>
      </c>
      <c r="D44" s="133" t="s">
        <v>222</v>
      </c>
      <c r="E44" s="133" t="s">
        <v>223</v>
      </c>
      <c r="F44" s="133" t="s">
        <v>224</v>
      </c>
      <c r="G44" s="133" t="s">
        <v>225</v>
      </c>
      <c r="H44" s="133" t="s">
        <v>226</v>
      </c>
    </row>
    <row r="45" spans="1:10" ht="10.95" customHeight="1">
      <c r="A45" s="133">
        <v>0</v>
      </c>
      <c r="B45" s="141">
        <f t="shared" ref="B45:H58" si="1">ROUND((+B6*B25),5)</f>
        <v>0</v>
      </c>
      <c r="C45" s="141">
        <f t="shared" si="1"/>
        <v>0</v>
      </c>
      <c r="D45" s="141">
        <f t="shared" si="1"/>
        <v>0</v>
      </c>
      <c r="E45" s="141">
        <f t="shared" si="1"/>
        <v>0</v>
      </c>
      <c r="F45" s="141">
        <f t="shared" si="1"/>
        <v>0</v>
      </c>
      <c r="G45" s="141">
        <f t="shared" si="1"/>
        <v>0</v>
      </c>
      <c r="H45" s="141">
        <f t="shared" si="1"/>
        <v>0</v>
      </c>
      <c r="I45" s="142"/>
      <c r="J45" s="136"/>
    </row>
    <row r="46" spans="1:10" ht="10.95" customHeight="1">
      <c r="A46" s="133">
        <v>1</v>
      </c>
      <c r="B46" s="141">
        <f t="shared" si="1"/>
        <v>0</v>
      </c>
      <c r="C46" s="141">
        <f t="shared" si="1"/>
        <v>0</v>
      </c>
      <c r="D46" s="141">
        <f t="shared" si="1"/>
        <v>0</v>
      </c>
      <c r="E46" s="141">
        <f t="shared" si="1"/>
        <v>0</v>
      </c>
      <c r="F46" s="141">
        <f t="shared" si="1"/>
        <v>0</v>
      </c>
      <c r="G46" s="141">
        <f t="shared" si="1"/>
        <v>0</v>
      </c>
      <c r="H46" s="141">
        <f t="shared" si="1"/>
        <v>0</v>
      </c>
      <c r="I46" s="142"/>
      <c r="J46" s="136"/>
    </row>
    <row r="47" spans="1:10" ht="10.95" customHeight="1">
      <c r="A47" s="133">
        <v>2</v>
      </c>
      <c r="B47" s="141">
        <f t="shared" si="1"/>
        <v>0</v>
      </c>
      <c r="C47" s="141">
        <f t="shared" si="1"/>
        <v>0</v>
      </c>
      <c r="D47" s="141">
        <f t="shared" si="1"/>
        <v>0</v>
      </c>
      <c r="E47" s="141">
        <f t="shared" si="1"/>
        <v>0</v>
      </c>
      <c r="F47" s="141">
        <f t="shared" si="1"/>
        <v>0</v>
      </c>
      <c r="G47" s="141">
        <f t="shared" si="1"/>
        <v>0</v>
      </c>
      <c r="H47" s="141">
        <f t="shared" si="1"/>
        <v>1.3426</v>
      </c>
      <c r="I47" s="142"/>
      <c r="J47" s="136"/>
    </row>
    <row r="48" spans="1:10" ht="10.95" customHeight="1">
      <c r="A48" s="133">
        <v>3</v>
      </c>
      <c r="B48" s="141">
        <f t="shared" si="1"/>
        <v>0</v>
      </c>
      <c r="C48" s="141">
        <f t="shared" si="1"/>
        <v>0</v>
      </c>
      <c r="D48" s="141">
        <f t="shared" si="1"/>
        <v>0</v>
      </c>
      <c r="E48" s="141">
        <f t="shared" si="1"/>
        <v>0</v>
      </c>
      <c r="F48" s="141">
        <f t="shared" si="1"/>
        <v>0</v>
      </c>
      <c r="G48" s="141">
        <f t="shared" si="1"/>
        <v>0</v>
      </c>
      <c r="H48" s="141">
        <f t="shared" si="1"/>
        <v>0</v>
      </c>
      <c r="I48" s="142"/>
      <c r="J48" s="136"/>
    </row>
    <row r="49" spans="1:10" ht="10.95" customHeight="1">
      <c r="A49" s="133">
        <v>4</v>
      </c>
      <c r="B49" s="141">
        <f t="shared" si="1"/>
        <v>0</v>
      </c>
      <c r="C49" s="141">
        <f t="shared" si="1"/>
        <v>0</v>
      </c>
      <c r="D49" s="141">
        <f t="shared" si="1"/>
        <v>0</v>
      </c>
      <c r="E49" s="141">
        <f t="shared" si="1"/>
        <v>0</v>
      </c>
      <c r="F49" s="141">
        <f t="shared" si="1"/>
        <v>0</v>
      </c>
      <c r="G49" s="141">
        <f t="shared" si="1"/>
        <v>0</v>
      </c>
      <c r="H49" s="141">
        <f t="shared" si="1"/>
        <v>0</v>
      </c>
      <c r="I49" s="142"/>
      <c r="J49" s="136"/>
    </row>
    <row r="50" spans="1:10" ht="10.95" customHeight="1">
      <c r="A50" s="133">
        <v>5</v>
      </c>
      <c r="B50" s="141">
        <f t="shared" si="1"/>
        <v>0</v>
      </c>
      <c r="C50" s="141">
        <f t="shared" si="1"/>
        <v>0</v>
      </c>
      <c r="D50" s="141">
        <f t="shared" si="1"/>
        <v>0</v>
      </c>
      <c r="E50" s="141">
        <f t="shared" si="1"/>
        <v>0</v>
      </c>
      <c r="F50" s="141">
        <f t="shared" si="1"/>
        <v>0</v>
      </c>
      <c r="G50" s="141">
        <f t="shared" si="1"/>
        <v>0</v>
      </c>
      <c r="H50" s="141">
        <f t="shared" si="1"/>
        <v>0</v>
      </c>
      <c r="I50" s="142"/>
      <c r="J50" s="136"/>
    </row>
    <row r="51" spans="1:10" ht="10.95" customHeight="1">
      <c r="A51" s="133">
        <v>6</v>
      </c>
      <c r="B51" s="141">
        <f t="shared" si="1"/>
        <v>0</v>
      </c>
      <c r="C51" s="141">
        <f t="shared" si="1"/>
        <v>0</v>
      </c>
      <c r="D51" s="141">
        <f t="shared" si="1"/>
        <v>0</v>
      </c>
      <c r="E51" s="141">
        <f t="shared" si="1"/>
        <v>0</v>
      </c>
      <c r="F51" s="141">
        <f t="shared" si="1"/>
        <v>0</v>
      </c>
      <c r="G51" s="141">
        <f t="shared" si="1"/>
        <v>0</v>
      </c>
      <c r="H51" s="141">
        <f t="shared" si="1"/>
        <v>0</v>
      </c>
      <c r="I51" s="142"/>
      <c r="J51" s="136"/>
    </row>
    <row r="52" spans="1:10" ht="10.95" customHeight="1">
      <c r="A52" s="133">
        <v>7</v>
      </c>
      <c r="B52" s="141">
        <f t="shared" si="1"/>
        <v>0</v>
      </c>
      <c r="C52" s="141">
        <f t="shared" si="1"/>
        <v>0</v>
      </c>
      <c r="D52" s="141">
        <f t="shared" si="1"/>
        <v>0</v>
      </c>
      <c r="E52" s="141">
        <f t="shared" si="1"/>
        <v>0</v>
      </c>
      <c r="F52" s="141">
        <f t="shared" si="1"/>
        <v>0</v>
      </c>
      <c r="G52" s="141">
        <f t="shared" si="1"/>
        <v>0</v>
      </c>
      <c r="H52" s="141">
        <f t="shared" si="1"/>
        <v>0</v>
      </c>
      <c r="I52" s="142"/>
      <c r="J52" s="136"/>
    </row>
    <row r="53" spans="1:10" ht="10.95" customHeight="1">
      <c r="A53" s="133">
        <v>8</v>
      </c>
      <c r="B53" s="141">
        <f t="shared" si="1"/>
        <v>0</v>
      </c>
      <c r="C53" s="141">
        <f t="shared" si="1"/>
        <v>0</v>
      </c>
      <c r="D53" s="141">
        <f t="shared" si="1"/>
        <v>0</v>
      </c>
      <c r="E53" s="141">
        <f t="shared" si="1"/>
        <v>0</v>
      </c>
      <c r="F53" s="141">
        <f t="shared" si="1"/>
        <v>0</v>
      </c>
      <c r="G53" s="141">
        <f t="shared" si="1"/>
        <v>0</v>
      </c>
      <c r="H53" s="141">
        <f t="shared" si="1"/>
        <v>0</v>
      </c>
      <c r="I53" s="142"/>
      <c r="J53" s="136"/>
    </row>
    <row r="54" spans="1:10" ht="10.95" customHeight="1">
      <c r="A54" s="133">
        <v>9</v>
      </c>
      <c r="B54" s="141">
        <f t="shared" si="1"/>
        <v>0</v>
      </c>
      <c r="C54" s="141">
        <f t="shared" si="1"/>
        <v>0</v>
      </c>
      <c r="D54" s="141">
        <f t="shared" si="1"/>
        <v>0</v>
      </c>
      <c r="E54" s="141">
        <f t="shared" si="1"/>
        <v>0</v>
      </c>
      <c r="F54" s="141">
        <f t="shared" si="1"/>
        <v>0</v>
      </c>
      <c r="G54" s="141">
        <f t="shared" si="1"/>
        <v>0</v>
      </c>
      <c r="H54" s="141">
        <f t="shared" si="1"/>
        <v>0</v>
      </c>
      <c r="I54" s="142"/>
      <c r="J54" s="136"/>
    </row>
    <row r="55" spans="1:10" ht="10.95" customHeight="1">
      <c r="A55" s="133">
        <v>10</v>
      </c>
      <c r="B55" s="141">
        <f t="shared" si="1"/>
        <v>0</v>
      </c>
      <c r="C55" s="141">
        <f t="shared" si="1"/>
        <v>0</v>
      </c>
      <c r="D55" s="141">
        <f t="shared" si="1"/>
        <v>0</v>
      </c>
      <c r="E55" s="141">
        <f t="shared" si="1"/>
        <v>0</v>
      </c>
      <c r="F55" s="141">
        <f t="shared" si="1"/>
        <v>0</v>
      </c>
      <c r="G55" s="141">
        <f t="shared" si="1"/>
        <v>0</v>
      </c>
      <c r="H55" s="141">
        <f t="shared" si="1"/>
        <v>0</v>
      </c>
      <c r="I55" s="142"/>
      <c r="J55" s="136"/>
    </row>
    <row r="56" spans="1:10" ht="10.95" customHeight="1">
      <c r="A56" s="133">
        <v>11</v>
      </c>
      <c r="B56" s="141">
        <f t="shared" si="1"/>
        <v>0</v>
      </c>
      <c r="C56" s="141">
        <f t="shared" si="1"/>
        <v>0</v>
      </c>
      <c r="D56" s="141">
        <f t="shared" si="1"/>
        <v>0</v>
      </c>
      <c r="E56" s="141">
        <f t="shared" si="1"/>
        <v>0</v>
      </c>
      <c r="F56" s="141">
        <f t="shared" si="1"/>
        <v>0</v>
      </c>
      <c r="G56" s="141">
        <f t="shared" si="1"/>
        <v>0</v>
      </c>
      <c r="H56" s="141">
        <f t="shared" si="1"/>
        <v>0</v>
      </c>
      <c r="I56" s="142"/>
      <c r="J56" s="136"/>
    </row>
    <row r="57" spans="1:10" ht="10.95" customHeight="1">
      <c r="A57" s="133">
        <v>12</v>
      </c>
      <c r="B57" s="141">
        <f t="shared" si="1"/>
        <v>0</v>
      </c>
      <c r="C57" s="141">
        <f t="shared" si="1"/>
        <v>0</v>
      </c>
      <c r="D57" s="141">
        <f t="shared" si="1"/>
        <v>0</v>
      </c>
      <c r="E57" s="141">
        <f t="shared" si="1"/>
        <v>0</v>
      </c>
      <c r="F57" s="141">
        <f t="shared" si="1"/>
        <v>0</v>
      </c>
      <c r="G57" s="141">
        <f t="shared" si="1"/>
        <v>0</v>
      </c>
      <c r="H57" s="141">
        <f t="shared" si="1"/>
        <v>0</v>
      </c>
      <c r="I57" s="142"/>
      <c r="J57" s="136"/>
    </row>
    <row r="58" spans="1:10" ht="10.95" customHeight="1">
      <c r="A58" s="133" t="s">
        <v>227</v>
      </c>
      <c r="B58" s="141">
        <f t="shared" si="1"/>
        <v>0</v>
      </c>
      <c r="C58" s="141">
        <f t="shared" si="1"/>
        <v>0</v>
      </c>
      <c r="D58" s="141">
        <f t="shared" si="1"/>
        <v>0</v>
      </c>
      <c r="E58" s="141">
        <f t="shared" si="1"/>
        <v>0</v>
      </c>
      <c r="F58" s="141">
        <f t="shared" si="1"/>
        <v>0</v>
      </c>
      <c r="G58" s="141">
        <f t="shared" si="1"/>
        <v>0</v>
      </c>
      <c r="H58" s="141">
        <f t="shared" si="1"/>
        <v>0</v>
      </c>
      <c r="I58" s="142"/>
      <c r="J58" s="136"/>
    </row>
    <row r="59" spans="1:10" s="153" customFormat="1" ht="10.95" customHeight="1">
      <c r="A59" s="133" t="s">
        <v>229</v>
      </c>
      <c r="B59" s="141">
        <f t="shared" ref="B59:H59" si="2">ROUND(SUM(B45:B58),5)</f>
        <v>0</v>
      </c>
      <c r="C59" s="141">
        <f t="shared" si="2"/>
        <v>0</v>
      </c>
      <c r="D59" s="141">
        <f t="shared" si="2"/>
        <v>0</v>
      </c>
      <c r="E59" s="141">
        <f t="shared" si="2"/>
        <v>0</v>
      </c>
      <c r="F59" s="141">
        <f t="shared" si="2"/>
        <v>0</v>
      </c>
      <c r="G59" s="141">
        <f t="shared" si="2"/>
        <v>0</v>
      </c>
      <c r="H59" s="141">
        <f t="shared" si="2"/>
        <v>1.3426</v>
      </c>
      <c r="I59" s="152"/>
    </row>
    <row r="60" spans="1:10" ht="16.95" customHeight="1">
      <c r="A60" s="136"/>
      <c r="B60" s="154"/>
      <c r="C60" s="154"/>
      <c r="D60" s="154"/>
      <c r="E60" s="154"/>
      <c r="F60" s="155" t="s">
        <v>233</v>
      </c>
      <c r="G60" s="156" t="s">
        <v>234</v>
      </c>
      <c r="H60" s="157">
        <f>ROUND(SUM(B59:H59),5)</f>
        <v>1.3426</v>
      </c>
    </row>
    <row r="61" spans="1:10" ht="10.95" customHeight="1">
      <c r="A61" s="136"/>
      <c r="B61" s="158"/>
      <c r="C61" s="158"/>
      <c r="D61" s="158"/>
      <c r="E61" s="158"/>
      <c r="F61" s="159" t="s">
        <v>235</v>
      </c>
      <c r="G61" s="160" t="s">
        <v>236</v>
      </c>
      <c r="H61" s="161">
        <f>IF(H40=0,0,ROUND(H60/H40,6))</f>
        <v>1.3426</v>
      </c>
    </row>
    <row r="62" spans="1:10" ht="10.95" customHeight="1">
      <c r="A62" s="136"/>
      <c r="B62" s="129"/>
      <c r="C62" s="129"/>
      <c r="D62" s="129"/>
      <c r="E62" s="129"/>
      <c r="F62" s="129"/>
      <c r="G62" s="129"/>
      <c r="H62" s="129"/>
    </row>
    <row r="63" spans="1:10" ht="10.95" customHeight="1">
      <c r="A63" s="162"/>
      <c r="B63" s="129"/>
      <c r="C63" s="129"/>
      <c r="D63" s="129"/>
      <c r="E63" s="129"/>
      <c r="F63" s="129"/>
      <c r="G63" s="129"/>
      <c r="H63" s="129"/>
    </row>
    <row r="64" spans="1:10" ht="10.95" customHeight="1">
      <c r="A64" s="162"/>
    </row>
    <row r="65" spans="1:1" ht="10.95" customHeight="1">
      <c r="A65" s="162"/>
    </row>
    <row r="66" spans="1:1" ht="10.95" customHeight="1">
      <c r="A66" s="162"/>
    </row>
    <row r="67" spans="1:1" ht="10.95" customHeight="1">
      <c r="A67" s="162"/>
    </row>
    <row r="68" spans="1:1" ht="10.95" customHeight="1">
      <c r="A68" s="162"/>
    </row>
    <row r="69" spans="1:1" ht="10.95" customHeight="1">
      <c r="A69" s="162"/>
    </row>
    <row r="70" spans="1:1" ht="10.95" customHeight="1">
      <c r="A70" s="162"/>
    </row>
    <row r="71" spans="1:1" ht="10.95" customHeight="1">
      <c r="A71" s="162"/>
    </row>
    <row r="72" spans="1:1" ht="10.95" customHeight="1">
      <c r="A72" s="162"/>
    </row>
    <row r="73" spans="1:1" ht="10.95" customHeight="1">
      <c r="A73" s="162"/>
    </row>
    <row r="74" spans="1:1" ht="10.95" customHeight="1">
      <c r="A74" s="162"/>
    </row>
    <row r="75" spans="1:1" ht="10.95" customHeight="1">
      <c r="A75" s="162"/>
    </row>
    <row r="76" spans="1:1" ht="10.95" customHeight="1">
      <c r="A76" s="162"/>
    </row>
    <row r="77" spans="1:1" ht="10.95" customHeight="1">
      <c r="A77" s="162"/>
    </row>
    <row r="78" spans="1:1" ht="10.95" customHeight="1">
      <c r="A78" s="162"/>
    </row>
    <row r="79" spans="1:1" ht="10.95" customHeight="1">
      <c r="A79" s="162"/>
    </row>
    <row r="80" spans="1:1" ht="10.95" customHeight="1">
      <c r="A80" s="162"/>
    </row>
    <row r="81" spans="1:1" ht="10.95" customHeight="1">
      <c r="A81" s="162"/>
    </row>
    <row r="82" spans="1:1" ht="10.95" customHeight="1">
      <c r="A82" s="162"/>
    </row>
    <row r="83" spans="1:1" ht="10.95" customHeight="1">
      <c r="A83" s="162"/>
    </row>
    <row r="84" spans="1:1" ht="10.95" customHeight="1">
      <c r="A84" s="162"/>
    </row>
    <row r="85" spans="1:1" ht="10.95" customHeight="1">
      <c r="A85" s="162"/>
    </row>
    <row r="86" spans="1:1" ht="10.95" customHeight="1">
      <c r="A86" s="162"/>
    </row>
    <row r="87" spans="1:1" ht="10.95" customHeight="1">
      <c r="A87" s="162"/>
    </row>
    <row r="88" spans="1:1" ht="10.95" customHeight="1">
      <c r="A88" s="162"/>
    </row>
    <row r="89" spans="1:1" ht="10.95" customHeight="1">
      <c r="A89" s="162"/>
    </row>
    <row r="90" spans="1:1" ht="10.95" customHeight="1">
      <c r="A90" s="162"/>
    </row>
    <row r="91" spans="1:1" ht="10.95" customHeight="1">
      <c r="A91" s="162"/>
    </row>
    <row r="92" spans="1:1" ht="10.95" customHeight="1">
      <c r="A92" s="162"/>
    </row>
    <row r="93" spans="1:1" ht="10.95" customHeight="1">
      <c r="A93" s="162"/>
    </row>
    <row r="94" spans="1:1" ht="10.95" customHeight="1">
      <c r="A94" s="162"/>
    </row>
    <row r="95" spans="1:1" ht="10.95" customHeight="1">
      <c r="A95" s="162"/>
    </row>
    <row r="96" spans="1:1" ht="10.95" customHeight="1">
      <c r="A96" s="162"/>
    </row>
    <row r="97" spans="1:1" ht="10.95" customHeight="1">
      <c r="A97" s="162"/>
    </row>
    <row r="98" spans="1:1" ht="10.95" customHeight="1">
      <c r="A98" s="162"/>
    </row>
    <row r="99" spans="1:1" ht="10.95" customHeight="1">
      <c r="A99" s="162"/>
    </row>
    <row r="100" spans="1:1" ht="10.95" customHeight="1">
      <c r="A100" s="162"/>
    </row>
    <row r="101" spans="1:1" ht="10.95" customHeight="1">
      <c r="A101" s="162"/>
    </row>
    <row r="102" spans="1:1" ht="10.95" customHeight="1">
      <c r="A102" s="162"/>
    </row>
    <row r="103" spans="1:1" ht="10.95" customHeight="1">
      <c r="A103" s="162"/>
    </row>
    <row r="104" spans="1:1" ht="10.95" customHeight="1">
      <c r="A104" s="162"/>
    </row>
    <row r="105" spans="1:1" ht="10.95" customHeight="1">
      <c r="A105" s="162"/>
    </row>
    <row r="106" spans="1:1" ht="10.95" customHeight="1">
      <c r="A106" s="162"/>
    </row>
    <row r="107" spans="1:1" ht="10.95" customHeight="1">
      <c r="A107" s="162"/>
    </row>
    <row r="108" spans="1:1" ht="10.95" customHeight="1">
      <c r="A108" s="162"/>
    </row>
    <row r="109" spans="1:1" ht="10.95" customHeight="1">
      <c r="A109" s="162"/>
    </row>
    <row r="110" spans="1:1" ht="10.95" customHeight="1">
      <c r="A110" s="162"/>
    </row>
    <row r="111" spans="1:1" ht="10.95" customHeight="1">
      <c r="A111" s="162"/>
    </row>
    <row r="112" spans="1:1" ht="10.95" customHeight="1">
      <c r="A112" s="162"/>
    </row>
    <row r="113" spans="1:1" ht="10.95" customHeight="1">
      <c r="A113" s="162"/>
    </row>
    <row r="114" spans="1:1" ht="10.95" customHeight="1">
      <c r="A114" s="162"/>
    </row>
    <row r="115" spans="1:1" ht="10.95" customHeight="1">
      <c r="A115" s="162"/>
    </row>
    <row r="116" spans="1:1" ht="10.95" customHeight="1">
      <c r="A116" s="162"/>
    </row>
    <row r="117" spans="1:1" ht="10.95" customHeight="1">
      <c r="A117" s="162"/>
    </row>
    <row r="118" spans="1:1" ht="10.95" customHeight="1">
      <c r="A118" s="162"/>
    </row>
    <row r="119" spans="1:1" ht="10.95" customHeight="1">
      <c r="A119" s="162"/>
    </row>
    <row r="120" spans="1:1" ht="10.95" customHeight="1">
      <c r="A120" s="162"/>
    </row>
    <row r="121" spans="1:1" ht="10.95" customHeight="1">
      <c r="A121" s="162"/>
    </row>
    <row r="122" spans="1:1" ht="10.95" customHeight="1">
      <c r="A122" s="162"/>
    </row>
    <row r="123" spans="1:1" ht="10.95" customHeight="1">
      <c r="A123" s="162"/>
    </row>
    <row r="124" spans="1:1" ht="10.95" customHeight="1">
      <c r="A124" s="162"/>
    </row>
    <row r="125" spans="1:1" ht="10.95" customHeight="1">
      <c r="A125" s="162"/>
    </row>
    <row r="126" spans="1:1" ht="10.95" customHeight="1">
      <c r="A126" s="162"/>
    </row>
    <row r="127" spans="1:1" ht="10.95" customHeight="1">
      <c r="A127" s="162"/>
    </row>
  </sheetData>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6"/>
  <dimension ref="A1:M45"/>
  <sheetViews>
    <sheetView workbookViewId="0">
      <selection activeCell="C13" sqref="C13"/>
    </sheetView>
  </sheetViews>
  <sheetFormatPr defaultColWidth="10.44140625" defaultRowHeight="13.2"/>
  <cols>
    <col min="1" max="1" width="11" style="268" customWidth="1"/>
    <col min="2" max="2" width="12.21875" style="268" customWidth="1"/>
    <col min="3" max="3" width="11.77734375" style="268" customWidth="1"/>
    <col min="4" max="4" width="16.77734375" style="268" customWidth="1"/>
    <col min="5" max="5" width="14.44140625" style="268" customWidth="1"/>
    <col min="6" max="6" width="12.77734375" style="268" customWidth="1"/>
    <col min="7" max="7" width="6.77734375" style="268" customWidth="1"/>
    <col min="8" max="9" width="5.77734375" style="268" customWidth="1"/>
    <col min="10" max="10" width="8.77734375" style="268" customWidth="1"/>
    <col min="11" max="11" width="7.21875" style="268" customWidth="1"/>
    <col min="12" max="12" width="10.44140625" style="272"/>
    <col min="13" max="13" width="13.5546875" style="268" customWidth="1"/>
    <col min="14" max="16384" width="10.44140625" style="268"/>
  </cols>
  <sheetData>
    <row r="1" spans="1:13" ht="13.8">
      <c r="A1" s="336"/>
      <c r="E1" s="181"/>
      <c r="F1" s="181"/>
      <c r="G1" s="181"/>
      <c r="H1" s="181"/>
      <c r="I1" s="181"/>
      <c r="J1" s="181"/>
      <c r="K1" s="181"/>
    </row>
    <row r="2" spans="1:13" s="333" customFormat="1" ht="19.2" customHeight="1">
      <c r="A2" s="335" t="s">
        <v>257</v>
      </c>
      <c r="B2" s="335"/>
      <c r="C2" s="268"/>
      <c r="D2" s="268"/>
      <c r="E2" s="181"/>
      <c r="F2" s="181"/>
      <c r="G2" s="181"/>
      <c r="H2" s="181"/>
      <c r="I2" s="181"/>
      <c r="J2" s="181"/>
      <c r="K2" s="181"/>
      <c r="L2" s="334"/>
    </row>
    <row r="3" spans="1:13" s="175" customFormat="1" ht="16.2" customHeight="1">
      <c r="A3" s="329">
        <v>1</v>
      </c>
      <c r="B3" s="332" t="s">
        <v>381</v>
      </c>
      <c r="C3" s="330"/>
      <c r="D3" s="329"/>
      <c r="E3" s="181"/>
      <c r="F3" s="181"/>
      <c r="G3" s="181"/>
      <c r="H3" s="181"/>
      <c r="I3" s="181"/>
      <c r="J3" s="181"/>
      <c r="K3" s="181"/>
      <c r="L3" s="275"/>
    </row>
    <row r="4" spans="1:13" s="175" customFormat="1" ht="16.2" customHeight="1">
      <c r="A4" s="329">
        <v>2</v>
      </c>
      <c r="B4" s="331" t="s">
        <v>380</v>
      </c>
      <c r="C4" s="330"/>
      <c r="D4" s="329"/>
      <c r="E4" s="181"/>
      <c r="F4" s="181"/>
      <c r="G4" s="181"/>
      <c r="H4" s="181"/>
      <c r="I4" s="181"/>
      <c r="J4" s="181"/>
      <c r="K4" s="181"/>
      <c r="L4" s="275"/>
    </row>
    <row r="5" spans="1:13" s="175" customFormat="1" ht="16.2" customHeight="1">
      <c r="A5" s="174">
        <v>3</v>
      </c>
      <c r="B5" s="331" t="s">
        <v>379</v>
      </c>
      <c r="C5" s="330"/>
      <c r="D5" s="329"/>
      <c r="E5" s="181"/>
      <c r="F5" s="181"/>
      <c r="G5" s="181"/>
      <c r="H5" s="181"/>
      <c r="I5" s="181"/>
      <c r="J5" s="181"/>
      <c r="K5" s="181"/>
      <c r="L5" s="275"/>
    </row>
    <row r="6" spans="1:13" s="175" customFormat="1" ht="16.2" customHeight="1">
      <c r="A6" s="174">
        <v>4</v>
      </c>
      <c r="B6" s="328" t="s">
        <v>378</v>
      </c>
      <c r="C6" s="327"/>
      <c r="D6" s="174"/>
      <c r="E6" s="181"/>
      <c r="F6" s="181"/>
      <c r="G6" s="181"/>
      <c r="H6" s="181"/>
      <c r="I6" s="181"/>
      <c r="J6" s="181"/>
      <c r="K6" s="181"/>
      <c r="L6" s="275"/>
    </row>
    <row r="7" spans="1:13" s="175" customFormat="1" ht="16.2" customHeight="1">
      <c r="A7" s="174">
        <v>5</v>
      </c>
      <c r="B7" s="326" t="s">
        <v>258</v>
      </c>
      <c r="C7" s="325"/>
      <c r="D7" s="324"/>
      <c r="E7" s="181"/>
      <c r="F7" s="181"/>
      <c r="G7" s="181"/>
      <c r="H7" s="181"/>
      <c r="I7" s="181"/>
      <c r="J7" s="181"/>
      <c r="K7" s="181"/>
      <c r="L7" s="275"/>
    </row>
    <row r="8" spans="1:13" s="175" customFormat="1" ht="12.6" customHeight="1">
      <c r="E8" s="181"/>
      <c r="F8" s="181"/>
      <c r="G8" s="181"/>
      <c r="H8" s="181"/>
      <c r="I8" s="181"/>
      <c r="L8" s="275"/>
    </row>
    <row r="9" spans="1:13" s="179" customFormat="1" ht="14.4">
      <c r="A9"/>
      <c r="B9"/>
      <c r="C9"/>
      <c r="D9"/>
      <c r="E9" s="181"/>
      <c r="F9" s="181"/>
      <c r="G9" s="181"/>
      <c r="H9" s="181"/>
      <c r="I9" s="181"/>
      <c r="L9" s="275"/>
    </row>
    <row r="10" spans="1:13" s="177" customFormat="1" ht="14.4">
      <c r="A10"/>
      <c r="B10"/>
      <c r="C10"/>
      <c r="D10"/>
      <c r="E10" s="181"/>
      <c r="F10" s="181"/>
      <c r="G10" s="181"/>
      <c r="H10" s="181"/>
      <c r="I10" s="181"/>
      <c r="L10" s="306"/>
    </row>
    <row r="11" spans="1:13" s="177" customFormat="1" ht="14.4">
      <c r="A11"/>
      <c r="B11"/>
      <c r="C11"/>
      <c r="D11"/>
      <c r="E11" s="181"/>
      <c r="F11" s="181"/>
      <c r="G11" s="181"/>
      <c r="H11" s="181"/>
      <c r="I11" s="181"/>
      <c r="L11" s="306"/>
    </row>
    <row r="12" spans="1:13" s="177" customFormat="1" ht="43.95" customHeight="1">
      <c r="A12" s="320" t="s">
        <v>240</v>
      </c>
      <c r="B12" s="321" t="s">
        <v>377</v>
      </c>
      <c r="C12" s="320" t="s">
        <v>117</v>
      </c>
      <c r="D12" s="319" t="s">
        <v>376</v>
      </c>
      <c r="E12" s="181"/>
      <c r="F12" s="181"/>
      <c r="G12" s="181"/>
      <c r="H12" s="181"/>
      <c r="I12" s="181"/>
      <c r="L12" s="306"/>
    </row>
    <row r="13" spans="1:13" s="177" customFormat="1" ht="15" customHeight="1">
      <c r="A13" s="318" t="s">
        <v>241</v>
      </c>
      <c r="B13" s="317">
        <f>+'Master Budget Sheet'!S146</f>
        <v>0</v>
      </c>
      <c r="C13" s="316">
        <f>+'Master Budget Sheet'!BJ168</f>
        <v>47477</v>
      </c>
      <c r="D13" s="315">
        <f t="shared" ref="D13:D25" si="0">B13*C13</f>
        <v>0</v>
      </c>
      <c r="E13" s="181"/>
      <c r="F13" s="181"/>
      <c r="G13" s="181"/>
      <c r="H13" s="181"/>
      <c r="I13" s="181"/>
      <c r="L13" s="306"/>
    </row>
    <row r="14" spans="1:13" s="177" customFormat="1" ht="13.8">
      <c r="A14" s="312" t="s">
        <v>460</v>
      </c>
      <c r="B14" s="317">
        <f>+'Master Budget Sheet'!S147</f>
        <v>1.4</v>
      </c>
      <c r="C14" s="303">
        <f>+'Master Budget Sheet'!BJ169</f>
        <v>48347</v>
      </c>
      <c r="D14" s="313">
        <f t="shared" si="0"/>
        <v>67685.8</v>
      </c>
      <c r="E14" s="181"/>
      <c r="F14" s="181"/>
      <c r="G14" s="181"/>
      <c r="H14" s="181"/>
      <c r="I14" s="181"/>
      <c r="L14" s="306"/>
    </row>
    <row r="15" spans="1:13" s="181" customFormat="1" ht="13.8">
      <c r="A15" s="314" t="s">
        <v>461</v>
      </c>
      <c r="B15" s="317">
        <f>+'Master Budget Sheet'!S148</f>
        <v>0</v>
      </c>
      <c r="C15" s="303">
        <f>+'Master Budget Sheet'!BJ170</f>
        <v>49219</v>
      </c>
      <c r="D15" s="313">
        <f t="shared" si="0"/>
        <v>0</v>
      </c>
      <c r="J15" s="177"/>
      <c r="K15" s="177"/>
      <c r="L15" s="306"/>
      <c r="M15" s="177"/>
    </row>
    <row r="16" spans="1:13" s="181" customFormat="1" ht="13.8">
      <c r="A16" s="312" t="s">
        <v>246</v>
      </c>
      <c r="B16" s="317">
        <f>+'Master Budget Sheet'!S149</f>
        <v>2</v>
      </c>
      <c r="C16" s="303">
        <f>+'Master Budget Sheet'!BJ171</f>
        <v>50349</v>
      </c>
      <c r="D16" s="313">
        <f t="shared" si="0"/>
        <v>100698</v>
      </c>
      <c r="J16" s="177"/>
      <c r="K16" s="177"/>
      <c r="L16" s="306"/>
      <c r="M16" s="177"/>
    </row>
    <row r="17" spans="1:12" s="177" customFormat="1" ht="13.8">
      <c r="A17" s="312" t="s">
        <v>247</v>
      </c>
      <c r="B17" s="317">
        <f>+'Master Budget Sheet'!S150</f>
        <v>1.5</v>
      </c>
      <c r="C17" s="303">
        <f>+'Master Budget Sheet'!BJ172</f>
        <v>52132</v>
      </c>
      <c r="D17" s="313">
        <f t="shared" si="0"/>
        <v>78198</v>
      </c>
      <c r="H17" s="181"/>
      <c r="I17" s="181"/>
      <c r="L17" s="306"/>
    </row>
    <row r="18" spans="1:12" s="177" customFormat="1" ht="13.8">
      <c r="A18" s="312" t="s">
        <v>248</v>
      </c>
      <c r="B18" s="317">
        <f>+'Master Budget Sheet'!S151</f>
        <v>1</v>
      </c>
      <c r="C18" s="303">
        <f>+'Master Budget Sheet'!BJ173</f>
        <v>53914</v>
      </c>
      <c r="D18" s="313">
        <f t="shared" si="0"/>
        <v>53914</v>
      </c>
      <c r="H18" s="181"/>
      <c r="I18" s="181"/>
      <c r="L18" s="306"/>
    </row>
    <row r="19" spans="1:12" s="177" customFormat="1" ht="13.8">
      <c r="A19" s="312" t="s">
        <v>249</v>
      </c>
      <c r="B19" s="317">
        <f>+'Master Budget Sheet'!S152</f>
        <v>1</v>
      </c>
      <c r="C19" s="303">
        <f>+'Master Budget Sheet'!BJ174</f>
        <v>55696</v>
      </c>
      <c r="D19" s="313">
        <f t="shared" si="0"/>
        <v>55696</v>
      </c>
      <c r="H19" s="181"/>
      <c r="I19" s="181"/>
      <c r="L19" s="306"/>
    </row>
    <row r="20" spans="1:12" s="177" customFormat="1" ht="13.95" customHeight="1">
      <c r="A20" s="312" t="s">
        <v>250</v>
      </c>
      <c r="B20" s="317">
        <f>+'Master Budget Sheet'!S153</f>
        <v>2</v>
      </c>
      <c r="C20" s="303">
        <f>+'Master Budget Sheet'!BJ175</f>
        <v>57478</v>
      </c>
      <c r="D20" s="313">
        <f t="shared" si="0"/>
        <v>114956</v>
      </c>
      <c r="E20" s="175"/>
      <c r="F20" s="175"/>
      <c r="G20" s="175"/>
      <c r="H20" s="181"/>
      <c r="I20" s="181"/>
      <c r="L20" s="306"/>
    </row>
    <row r="21" spans="1:12" s="177" customFormat="1" ht="13.8">
      <c r="A21" s="312" t="s">
        <v>440</v>
      </c>
      <c r="B21" s="317">
        <f>+'Master Budget Sheet'!S154</f>
        <v>0</v>
      </c>
      <c r="C21" s="303">
        <f>+'Master Budget Sheet'!BJ176</f>
        <v>60592</v>
      </c>
      <c r="D21" s="313">
        <f t="shared" si="0"/>
        <v>0</v>
      </c>
      <c r="H21" s="181"/>
      <c r="I21" s="181"/>
      <c r="L21" s="306"/>
    </row>
    <row r="22" spans="1:12" s="177" customFormat="1" ht="13.8">
      <c r="A22" s="312" t="s">
        <v>441</v>
      </c>
      <c r="B22" s="317">
        <f>+'Master Budget Sheet'!S155</f>
        <v>1</v>
      </c>
      <c r="C22" s="303">
        <f>+'Master Budget Sheet'!BJ177</f>
        <v>62064</v>
      </c>
      <c r="D22" s="313">
        <f t="shared" si="0"/>
        <v>62064</v>
      </c>
      <c r="H22" s="181"/>
      <c r="I22" s="181"/>
      <c r="L22" s="306"/>
    </row>
    <row r="23" spans="1:12" s="177" customFormat="1" ht="13.8">
      <c r="A23" s="312" t="s">
        <v>442</v>
      </c>
      <c r="B23" s="317">
        <f>+'Master Budget Sheet'!S156</f>
        <v>1</v>
      </c>
      <c r="C23" s="303">
        <f>+'Master Budget Sheet'!BJ178</f>
        <v>63524</v>
      </c>
      <c r="D23" s="313">
        <f t="shared" si="0"/>
        <v>63524</v>
      </c>
      <c r="H23" s="181"/>
      <c r="I23" s="181"/>
      <c r="L23" s="306"/>
    </row>
    <row r="24" spans="1:12" s="177" customFormat="1" ht="13.8">
      <c r="A24" s="312" t="s">
        <v>443</v>
      </c>
      <c r="B24" s="317">
        <f>+'Master Budget Sheet'!S157</f>
        <v>2</v>
      </c>
      <c r="C24" s="303">
        <f>+'Master Budget Sheet'!BJ179</f>
        <v>64972</v>
      </c>
      <c r="D24" s="313">
        <f t="shared" si="0"/>
        <v>129944</v>
      </c>
      <c r="H24" s="181"/>
      <c r="I24" s="181"/>
      <c r="L24" s="306"/>
    </row>
    <row r="25" spans="1:12" s="177" customFormat="1" ht="13.8">
      <c r="A25" s="312" t="s">
        <v>444</v>
      </c>
      <c r="B25" s="317">
        <f>+'Master Budget Sheet'!S158</f>
        <v>0</v>
      </c>
      <c r="C25" s="303">
        <f>+'Master Budget Sheet'!BJ180</f>
        <v>0</v>
      </c>
      <c r="D25" s="311">
        <f t="shared" si="0"/>
        <v>0</v>
      </c>
      <c r="H25" s="181"/>
      <c r="I25" s="181"/>
      <c r="L25" s="306"/>
    </row>
    <row r="26" spans="1:12" s="177" customFormat="1" ht="14.4" thickBot="1">
      <c r="A26" s="271" t="s">
        <v>375</v>
      </c>
      <c r="B26" s="310">
        <f>SUM(B13:B25)</f>
        <v>12.9</v>
      </c>
      <c r="D26" s="309" t="s">
        <v>374</v>
      </c>
      <c r="E26" s="308">
        <f>SUM(D13:D25)</f>
        <v>726679.8</v>
      </c>
      <c r="H26" s="181"/>
      <c r="I26" s="181"/>
      <c r="L26" s="306"/>
    </row>
    <row r="27" spans="1:12" s="177" customFormat="1" ht="14.4" thickTop="1">
      <c r="E27" s="307"/>
      <c r="H27" s="181"/>
      <c r="I27" s="181"/>
      <c r="L27" s="306"/>
    </row>
    <row r="28" spans="1:12" s="175" customFormat="1" ht="13.8">
      <c r="A28" s="283" t="s">
        <v>260</v>
      </c>
      <c r="B28" s="283"/>
      <c r="C28" s="275"/>
      <c r="D28" s="275"/>
      <c r="E28" s="300"/>
      <c r="F28" s="275"/>
      <c r="G28" s="275"/>
      <c r="H28" s="275"/>
      <c r="I28" s="275"/>
      <c r="J28" s="182"/>
      <c r="L28" s="275"/>
    </row>
    <row r="29" spans="1:12" s="175" customFormat="1" ht="21" customHeight="1">
      <c r="A29" s="286" t="s">
        <v>373</v>
      </c>
      <c r="B29" s="286"/>
      <c r="C29" s="286"/>
      <c r="D29" s="286"/>
      <c r="E29" s="300"/>
      <c r="F29" s="275"/>
      <c r="G29" s="275"/>
      <c r="H29" s="275"/>
      <c r="I29" s="275"/>
      <c r="L29" s="275"/>
    </row>
    <row r="30" spans="1:12" s="175" customFormat="1" ht="13.8">
      <c r="A30" s="286" t="s">
        <v>261</v>
      </c>
      <c r="B30" s="285" t="s">
        <v>168</v>
      </c>
      <c r="C30" s="283" t="s">
        <v>372</v>
      </c>
      <c r="D30" s="305" t="s">
        <v>259</v>
      </c>
      <c r="E30" s="290"/>
      <c r="F30" s="283"/>
      <c r="G30" s="283"/>
      <c r="H30" s="283"/>
      <c r="I30" s="283"/>
      <c r="L30" s="275"/>
    </row>
    <row r="31" spans="1:12" s="179" customFormat="1" ht="13.8">
      <c r="A31" s="304" t="s">
        <v>262</v>
      </c>
      <c r="B31" s="317">
        <f>+'Master Budget Sheet'!S160</f>
        <v>3</v>
      </c>
      <c r="C31" s="303">
        <f>+'Master Budget Sheet'!BJ182</f>
        <v>2000</v>
      </c>
      <c r="D31" s="302">
        <f>B31*C31</f>
        <v>6000</v>
      </c>
      <c r="E31" s="300"/>
      <c r="F31" s="275"/>
      <c r="G31" s="275"/>
      <c r="H31" s="275"/>
      <c r="I31" s="275"/>
      <c r="L31" s="275"/>
    </row>
    <row r="32" spans="1:12" s="175" customFormat="1" ht="13.8">
      <c r="A32" s="304" t="s">
        <v>263</v>
      </c>
      <c r="B32" s="317">
        <f>+'Master Budget Sheet'!S161</f>
        <v>4</v>
      </c>
      <c r="C32" s="303">
        <f>+'Master Budget Sheet'!BJ183</f>
        <v>3500</v>
      </c>
      <c r="D32" s="302">
        <f>B32*C32</f>
        <v>14000</v>
      </c>
      <c r="E32" s="300"/>
      <c r="F32" s="275"/>
      <c r="G32" s="275"/>
      <c r="H32" s="275"/>
      <c r="I32" s="275"/>
      <c r="L32" s="275"/>
    </row>
    <row r="33" spans="1:12" s="175" customFormat="1" ht="13.8">
      <c r="A33" s="275"/>
      <c r="C33" s="275"/>
      <c r="D33" s="279" t="s">
        <v>264</v>
      </c>
      <c r="E33" s="277">
        <f>SUM(D31:D32)</f>
        <v>20000</v>
      </c>
      <c r="F33" s="275"/>
      <c r="G33" s="275"/>
      <c r="H33" s="275"/>
      <c r="I33" s="275"/>
      <c r="L33" s="275"/>
    </row>
    <row r="34" spans="1:12" s="175" customFormat="1" ht="23.55" customHeight="1">
      <c r="A34" s="301" t="s">
        <v>362</v>
      </c>
      <c r="C34" s="275"/>
      <c r="D34" s="275"/>
      <c r="E34" s="300"/>
      <c r="F34" s="275"/>
      <c r="G34" s="275"/>
      <c r="H34" s="275"/>
      <c r="I34" s="275"/>
      <c r="L34" s="275"/>
    </row>
    <row r="35" spans="1:12" s="175" customFormat="1" ht="13.8">
      <c r="A35" s="299" t="s">
        <v>371</v>
      </c>
      <c r="B35" s="299"/>
      <c r="C35" s="298"/>
      <c r="D35" s="298"/>
      <c r="E35" s="297"/>
      <c r="F35" s="275"/>
      <c r="G35" s="275"/>
      <c r="H35" s="275"/>
      <c r="I35" s="275"/>
      <c r="J35" s="182"/>
      <c r="L35" s="275"/>
    </row>
    <row r="36" spans="1:12" s="175" customFormat="1" ht="25.2" customHeight="1">
      <c r="A36" s="1237" t="s">
        <v>370</v>
      </c>
      <c r="B36" s="1238"/>
      <c r="C36" s="1238"/>
      <c r="D36" s="1238"/>
      <c r="E36" s="1238"/>
      <c r="F36" s="275"/>
      <c r="G36" s="275"/>
      <c r="H36" s="275"/>
      <c r="I36" s="275"/>
      <c r="L36" s="275"/>
    </row>
    <row r="37" spans="1:12" s="175" customFormat="1" ht="13.8">
      <c r="A37" s="296" t="s">
        <v>235</v>
      </c>
      <c r="B37" s="294" t="s">
        <v>168</v>
      </c>
      <c r="C37" s="295" t="s">
        <v>369</v>
      </c>
      <c r="D37" s="294" t="s">
        <v>259</v>
      </c>
      <c r="E37" s="290"/>
      <c r="F37" s="283"/>
      <c r="G37" s="283"/>
      <c r="H37" s="283"/>
      <c r="I37" s="283"/>
      <c r="L37" s="275"/>
    </row>
    <row r="38" spans="1:12" s="175" customFormat="1" ht="13.8">
      <c r="A38" s="293" t="s">
        <v>368</v>
      </c>
      <c r="B38" s="317">
        <f>+'Master Budget Sheet'!S162</f>
        <v>1</v>
      </c>
      <c r="C38" s="292">
        <v>3000</v>
      </c>
      <c r="D38" s="291">
        <f>B38*C38</f>
        <v>3000</v>
      </c>
      <c r="E38" s="290"/>
      <c r="F38" s="283"/>
      <c r="G38" s="283"/>
      <c r="H38" s="283"/>
      <c r="I38" s="283"/>
      <c r="L38" s="275"/>
    </row>
    <row r="39" spans="1:12" s="175" customFormat="1" ht="13.8">
      <c r="A39" s="286"/>
      <c r="B39" s="285"/>
      <c r="C39" s="289"/>
      <c r="D39" s="288" t="s">
        <v>367</v>
      </c>
      <c r="E39" s="287">
        <f>D38</f>
        <v>3000</v>
      </c>
      <c r="F39" s="283"/>
      <c r="G39" s="283"/>
      <c r="H39" s="283"/>
      <c r="I39" s="283"/>
      <c r="L39" s="275"/>
    </row>
    <row r="40" spans="1:12" s="175" customFormat="1" ht="13.8">
      <c r="A40" s="286"/>
      <c r="B40" s="285"/>
      <c r="C40" s="284"/>
      <c r="D40" s="279"/>
      <c r="E40" s="277"/>
      <c r="F40" s="283"/>
      <c r="G40" s="283"/>
      <c r="H40" s="283"/>
      <c r="I40" s="283"/>
      <c r="L40" s="275"/>
    </row>
    <row r="41" spans="1:12" ht="13.8">
      <c r="A41" s="175"/>
      <c r="B41" s="175"/>
      <c r="C41" s="282" t="s">
        <v>366</v>
      </c>
      <c r="D41" s="281"/>
      <c r="E41" s="280">
        <v>0</v>
      </c>
      <c r="F41" s="270" t="s">
        <v>365</v>
      </c>
      <c r="G41" s="270"/>
      <c r="H41" s="270"/>
      <c r="I41" s="175"/>
      <c r="J41" s="175"/>
      <c r="K41" s="175"/>
      <c r="L41" s="275"/>
    </row>
    <row r="42" spans="1:12" s="175" customFormat="1" ht="13.8">
      <c r="A42" s="275"/>
      <c r="B42" s="275"/>
      <c r="C42" s="279" t="s">
        <v>364</v>
      </c>
      <c r="D42" s="278"/>
      <c r="E42" s="277">
        <f>SUM(E26:E41)</f>
        <v>749679.8</v>
      </c>
      <c r="F42" s="275"/>
      <c r="G42" s="275"/>
      <c r="H42" s="275"/>
      <c r="I42" s="275"/>
      <c r="L42" s="275"/>
    </row>
    <row r="43" spans="1:12" s="175" customFormat="1" ht="14.4" thickBot="1">
      <c r="A43" s="272"/>
      <c r="B43" s="272"/>
      <c r="D43" s="275" t="s">
        <v>363</v>
      </c>
      <c r="E43" s="276">
        <f>E42/B26</f>
        <v>58114.713178294573</v>
      </c>
      <c r="F43" s="275"/>
      <c r="G43" s="275"/>
      <c r="H43" s="275"/>
      <c r="I43" s="275"/>
      <c r="L43" s="275"/>
    </row>
    <row r="44" spans="1:12" s="175" customFormat="1" ht="15" customHeight="1" thickTop="1">
      <c r="A44" s="268"/>
      <c r="B44" s="268"/>
      <c r="L44" s="275"/>
    </row>
    <row r="45" spans="1:12" s="273" customFormat="1" ht="67.95" customHeight="1">
      <c r="A45"/>
      <c r="B45"/>
      <c r="C45"/>
      <c r="D45"/>
      <c r="E45"/>
      <c r="F45"/>
      <c r="L45" s="274"/>
    </row>
  </sheetData>
  <mergeCells count="1">
    <mergeCell ref="A36:E36"/>
  </mergeCells>
  <pageMargins left="0.75" right="0.25" top="0" bottom="0" header="0.3" footer="0.3"/>
  <pageSetup orientation="portrait" horizontalDpi="1800" verticalDpi="1800"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8">
    <tabColor rgb="FF002060"/>
    <pageSetUpPr fitToPage="1"/>
  </sheetPr>
  <dimension ref="A1:O56"/>
  <sheetViews>
    <sheetView workbookViewId="0">
      <selection activeCell="K29" sqref="K29"/>
    </sheetView>
  </sheetViews>
  <sheetFormatPr defaultColWidth="10.44140625" defaultRowHeight="10.199999999999999"/>
  <cols>
    <col min="1" max="1" width="6.21875" style="185" customWidth="1"/>
    <col min="2" max="2" width="6.77734375" style="185" customWidth="1"/>
    <col min="3" max="3" width="7.44140625" style="185" customWidth="1"/>
    <col min="4" max="4" width="9.21875" style="185" customWidth="1"/>
    <col min="5" max="5" width="7.44140625" style="185" customWidth="1"/>
    <col min="6" max="6" width="8.5546875" style="185" customWidth="1"/>
    <col min="7" max="7" width="8.21875" style="185" customWidth="1"/>
    <col min="8" max="8" width="8.5546875" style="185" customWidth="1"/>
    <col min="9" max="9" width="1.44140625" style="185" customWidth="1"/>
    <col min="10" max="10" width="13.77734375" style="185" customWidth="1"/>
    <col min="11" max="11" width="11" style="185" customWidth="1"/>
    <col min="12" max="12" width="13.5546875" style="185" customWidth="1"/>
    <col min="13" max="14" width="12.77734375" style="185" customWidth="1"/>
    <col min="15" max="15" width="10.44140625" style="185"/>
    <col min="16" max="16" width="3.77734375" style="185" customWidth="1"/>
    <col min="17" max="16384" width="10.44140625" style="185"/>
  </cols>
  <sheetData>
    <row r="1" spans="1:13" s="455" customFormat="1" ht="18">
      <c r="L1" s="456"/>
    </row>
    <row r="2" spans="1:13" s="172" customFormat="1" ht="18" customHeight="1">
      <c r="A2" s="504" t="s">
        <v>470</v>
      </c>
      <c r="C2" s="171"/>
    </row>
    <row r="3" spans="1:13" s="454" customFormat="1" ht="15" customHeight="1">
      <c r="A3" s="513">
        <v>1</v>
      </c>
      <c r="B3" s="514" t="s">
        <v>466</v>
      </c>
      <c r="C3" s="515"/>
      <c r="D3" s="516"/>
      <c r="E3" s="511"/>
      <c r="F3" s="511"/>
      <c r="G3" s="173"/>
    </row>
    <row r="4" spans="1:13" s="454" customFormat="1" ht="31.95" customHeight="1">
      <c r="A4" s="517">
        <v>2</v>
      </c>
      <c r="B4" s="518" t="s">
        <v>467</v>
      </c>
      <c r="C4" s="519"/>
      <c r="D4" s="520"/>
      <c r="E4" s="511"/>
      <c r="F4" s="511"/>
      <c r="G4" s="173"/>
    </row>
    <row r="5" spans="1:13" s="454" customFormat="1" ht="15" customHeight="1">
      <c r="A5" s="517">
        <v>4</v>
      </c>
      <c r="B5" s="521" t="s">
        <v>468</v>
      </c>
      <c r="C5" s="513"/>
      <c r="D5" s="517"/>
      <c r="E5" s="512"/>
      <c r="F5" s="512"/>
      <c r="G5" s="173"/>
    </row>
    <row r="6" spans="1:13" ht="19.95" customHeight="1">
      <c r="A6" s="517">
        <v>5</v>
      </c>
      <c r="B6" s="518" t="s">
        <v>469</v>
      </c>
      <c r="C6" s="519"/>
      <c r="D6" s="520"/>
      <c r="E6" s="451"/>
      <c r="F6" s="451"/>
      <c r="G6" s="450"/>
    </row>
    <row r="9" spans="1:13" s="184" customFormat="1" ht="12">
      <c r="A9" s="371"/>
      <c r="B9" s="371"/>
      <c r="C9" s="371"/>
      <c r="D9" s="371"/>
      <c r="E9" s="371" t="s">
        <v>391</v>
      </c>
      <c r="F9" s="371"/>
      <c r="G9" s="371"/>
      <c r="H9" s="371"/>
      <c r="I9" s="371"/>
      <c r="J9" s="371"/>
      <c r="K9" s="371"/>
      <c r="L9" s="371"/>
      <c r="M9" s="371"/>
    </row>
    <row r="10" spans="1:13" s="421" customFormat="1" ht="12" customHeight="1">
      <c r="A10" s="449" t="s">
        <v>390</v>
      </c>
      <c r="B10" s="170"/>
      <c r="C10" s="170"/>
      <c r="D10" s="448"/>
      <c r="E10" s="374" t="s">
        <v>215</v>
      </c>
      <c r="F10" s="374" t="s">
        <v>216</v>
      </c>
      <c r="G10" s="374" t="s">
        <v>217</v>
      </c>
      <c r="H10" s="374" t="s">
        <v>218</v>
      </c>
      <c r="I10" s="444"/>
      <c r="J10" s="445" t="s">
        <v>304</v>
      </c>
      <c r="K10" s="445" t="s">
        <v>238</v>
      </c>
      <c r="L10" s="447" t="s">
        <v>386</v>
      </c>
      <c r="M10" s="446"/>
    </row>
    <row r="11" spans="1:13" s="421" customFormat="1" ht="24.6" customHeight="1">
      <c r="A11" s="166" t="s">
        <v>239</v>
      </c>
      <c r="B11" s="374" t="s">
        <v>220</v>
      </c>
      <c r="C11" s="374" t="s">
        <v>221</v>
      </c>
      <c r="D11" s="374" t="s">
        <v>222</v>
      </c>
      <c r="E11" s="374" t="s">
        <v>223</v>
      </c>
      <c r="F11" s="374" t="s">
        <v>224</v>
      </c>
      <c r="G11" s="374" t="s">
        <v>225</v>
      </c>
      <c r="H11" s="374" t="s">
        <v>226</v>
      </c>
      <c r="I11" s="444"/>
      <c r="J11" s="167" t="s">
        <v>240</v>
      </c>
      <c r="K11" s="167" t="s">
        <v>169</v>
      </c>
      <c r="L11" s="445" t="s">
        <v>389</v>
      </c>
      <c r="M11" s="419"/>
    </row>
    <row r="12" spans="1:13" s="421" customFormat="1" ht="12">
      <c r="A12" s="164"/>
      <c r="B12" s="164"/>
      <c r="C12" s="164"/>
      <c r="D12" s="164"/>
      <c r="E12" s="164"/>
      <c r="F12" s="164"/>
      <c r="G12" s="164"/>
      <c r="H12" s="164"/>
      <c r="I12" s="444"/>
      <c r="J12" s="443" t="s">
        <v>241</v>
      </c>
      <c r="K12" s="443" t="s">
        <v>242</v>
      </c>
      <c r="L12" s="442">
        <v>33400</v>
      </c>
      <c r="M12" s="419"/>
    </row>
    <row r="13" spans="1:13" s="421" customFormat="1" ht="12">
      <c r="A13" s="166">
        <v>0</v>
      </c>
      <c r="B13" s="430" t="s">
        <v>243</v>
      </c>
      <c r="C13" s="430" t="s">
        <v>243</v>
      </c>
      <c r="D13" s="430" t="s">
        <v>243</v>
      </c>
      <c r="E13" s="430" t="s">
        <v>243</v>
      </c>
      <c r="F13" s="430" t="s">
        <v>243</v>
      </c>
      <c r="G13" s="430" t="s">
        <v>243</v>
      </c>
      <c r="H13" s="430" t="s">
        <v>243</v>
      </c>
      <c r="I13" s="165"/>
      <c r="J13" s="441"/>
      <c r="K13" s="440">
        <v>1</v>
      </c>
      <c r="L13" s="439"/>
      <c r="M13" s="419"/>
    </row>
    <row r="14" spans="1:13" s="421" customFormat="1" ht="12">
      <c r="A14" s="166">
        <v>1</v>
      </c>
      <c r="B14" s="430" t="s">
        <v>243</v>
      </c>
      <c r="C14" s="430" t="s">
        <v>243</v>
      </c>
      <c r="D14" s="430" t="s">
        <v>243</v>
      </c>
      <c r="E14" s="430" t="s">
        <v>243</v>
      </c>
      <c r="F14" s="430" t="s">
        <v>243</v>
      </c>
      <c r="G14" s="430" t="s">
        <v>243</v>
      </c>
      <c r="H14" s="430" t="s">
        <v>243</v>
      </c>
      <c r="I14" s="165"/>
      <c r="J14" s="438" t="s">
        <v>243</v>
      </c>
      <c r="K14" s="437" t="s">
        <v>244</v>
      </c>
      <c r="L14" s="436">
        <v>34250</v>
      </c>
      <c r="M14" s="419"/>
    </row>
    <row r="15" spans="1:13" s="421" customFormat="1" ht="12">
      <c r="A15" s="166">
        <v>2</v>
      </c>
      <c r="B15" s="430" t="s">
        <v>243</v>
      </c>
      <c r="C15" s="430" t="s">
        <v>243</v>
      </c>
      <c r="D15" s="430" t="s">
        <v>243</v>
      </c>
      <c r="E15" s="430" t="s">
        <v>243</v>
      </c>
      <c r="F15" s="430" t="s">
        <v>243</v>
      </c>
      <c r="G15" s="430" t="s">
        <v>243</v>
      </c>
      <c r="H15" s="430" t="s">
        <v>243</v>
      </c>
      <c r="I15" s="165"/>
      <c r="J15" s="168" t="s">
        <v>235</v>
      </c>
      <c r="K15" s="435">
        <v>1.3426</v>
      </c>
      <c r="L15" s="168"/>
      <c r="M15" s="419"/>
    </row>
    <row r="16" spans="1:13" s="421" customFormat="1" ht="12">
      <c r="A16" s="166">
        <v>3</v>
      </c>
      <c r="B16" s="430" t="s">
        <v>243</v>
      </c>
      <c r="C16" s="430" t="s">
        <v>243</v>
      </c>
      <c r="D16" s="430" t="s">
        <v>243</v>
      </c>
      <c r="E16" s="430" t="s">
        <v>243</v>
      </c>
      <c r="F16" s="430" t="s">
        <v>243</v>
      </c>
      <c r="G16" s="430" t="s">
        <v>245</v>
      </c>
      <c r="H16" s="423" t="s">
        <v>245</v>
      </c>
      <c r="I16" s="165"/>
      <c r="J16" s="398" t="s">
        <v>245</v>
      </c>
      <c r="K16" s="434">
        <v>1.3929</v>
      </c>
      <c r="L16" s="398">
        <v>35117</v>
      </c>
      <c r="M16" s="419"/>
    </row>
    <row r="17" spans="1:13" s="421" customFormat="1" ht="12">
      <c r="A17" s="166">
        <v>4</v>
      </c>
      <c r="B17" s="430" t="s">
        <v>243</v>
      </c>
      <c r="C17" s="430" t="s">
        <v>243</v>
      </c>
      <c r="D17" s="430" t="s">
        <v>243</v>
      </c>
      <c r="E17" s="430" t="s">
        <v>243</v>
      </c>
      <c r="F17" s="430" t="s">
        <v>243</v>
      </c>
      <c r="G17" s="423" t="s">
        <v>245</v>
      </c>
      <c r="H17" s="391" t="s">
        <v>246</v>
      </c>
      <c r="I17" s="165"/>
      <c r="J17" s="391" t="s">
        <v>246</v>
      </c>
      <c r="K17" s="429">
        <v>1.4451000000000001</v>
      </c>
      <c r="L17" s="391">
        <v>37249</v>
      </c>
      <c r="M17" s="419"/>
    </row>
    <row r="18" spans="1:13" s="421" customFormat="1" ht="12">
      <c r="A18" s="166">
        <v>5</v>
      </c>
      <c r="B18" s="430" t="s">
        <v>243</v>
      </c>
      <c r="C18" s="430" t="s">
        <v>243</v>
      </c>
      <c r="D18" s="430" t="s">
        <v>243</v>
      </c>
      <c r="E18" s="430" t="s">
        <v>243</v>
      </c>
      <c r="F18" s="423" t="s">
        <v>245</v>
      </c>
      <c r="G18" s="391" t="s">
        <v>246</v>
      </c>
      <c r="H18" s="396" t="s">
        <v>247</v>
      </c>
      <c r="I18" s="165"/>
      <c r="J18" s="396" t="s">
        <v>247</v>
      </c>
      <c r="K18" s="433">
        <v>1.4993000000000001</v>
      </c>
      <c r="L18" s="396">
        <v>38758</v>
      </c>
      <c r="M18" s="419"/>
    </row>
    <row r="19" spans="1:13" s="421" customFormat="1" ht="12">
      <c r="A19" s="166">
        <v>6</v>
      </c>
      <c r="B19" s="430" t="s">
        <v>243</v>
      </c>
      <c r="C19" s="430" t="s">
        <v>243</v>
      </c>
      <c r="D19" s="430" t="s">
        <v>243</v>
      </c>
      <c r="E19" s="423" t="s">
        <v>245</v>
      </c>
      <c r="F19" s="391" t="s">
        <v>246</v>
      </c>
      <c r="G19" s="396" t="s">
        <v>247</v>
      </c>
      <c r="H19" s="395" t="s">
        <v>248</v>
      </c>
      <c r="I19" s="165"/>
      <c r="J19" s="395" t="s">
        <v>248</v>
      </c>
      <c r="K19" s="432">
        <v>1.5555000000000001</v>
      </c>
      <c r="L19" s="395">
        <v>39546</v>
      </c>
      <c r="M19" s="419"/>
    </row>
    <row r="20" spans="1:13" s="421" customFormat="1" ht="12">
      <c r="A20" s="166">
        <v>7</v>
      </c>
      <c r="B20" s="430" t="s">
        <v>243</v>
      </c>
      <c r="C20" s="430" t="s">
        <v>243</v>
      </c>
      <c r="D20" s="423" t="s">
        <v>245</v>
      </c>
      <c r="E20" s="391" t="s">
        <v>246</v>
      </c>
      <c r="F20" s="396" t="s">
        <v>247</v>
      </c>
      <c r="G20" s="395" t="s">
        <v>248</v>
      </c>
      <c r="H20" s="394" t="s">
        <v>249</v>
      </c>
      <c r="I20" s="165"/>
      <c r="J20" s="394" t="s">
        <v>249</v>
      </c>
      <c r="K20" s="431">
        <v>1.6137999999999999</v>
      </c>
      <c r="L20" s="394">
        <v>41113</v>
      </c>
      <c r="M20" s="419"/>
    </row>
    <row r="21" spans="1:13" s="421" customFormat="1" ht="12">
      <c r="A21" s="166">
        <v>8</v>
      </c>
      <c r="B21" s="430" t="s">
        <v>243</v>
      </c>
      <c r="C21" s="423" t="s">
        <v>245</v>
      </c>
      <c r="D21" s="391" t="s">
        <v>246</v>
      </c>
      <c r="E21" s="396" t="s">
        <v>247</v>
      </c>
      <c r="F21" s="395" t="s">
        <v>248</v>
      </c>
      <c r="G21" s="394" t="s">
        <v>249</v>
      </c>
      <c r="H21" s="427" t="s">
        <v>250</v>
      </c>
      <c r="I21" s="165"/>
      <c r="J21" s="391" t="s">
        <v>250</v>
      </c>
      <c r="K21" s="429">
        <v>1.6742999999999999</v>
      </c>
      <c r="L21" s="391">
        <v>41961</v>
      </c>
      <c r="M21" s="419"/>
    </row>
    <row r="22" spans="1:13" s="421" customFormat="1" ht="12">
      <c r="A22" s="166">
        <v>9</v>
      </c>
      <c r="B22" s="423" t="s">
        <v>245</v>
      </c>
      <c r="C22" s="391" t="s">
        <v>246</v>
      </c>
      <c r="D22" s="396" t="s">
        <v>247</v>
      </c>
      <c r="E22" s="395" t="s">
        <v>248</v>
      </c>
      <c r="F22" s="394" t="s">
        <v>249</v>
      </c>
      <c r="G22" s="427" t="s">
        <v>250</v>
      </c>
      <c r="H22" s="390" t="s">
        <v>251</v>
      </c>
      <c r="I22" s="165"/>
      <c r="J22" s="390" t="s">
        <v>251</v>
      </c>
      <c r="K22" s="428">
        <v>1.7371000000000001</v>
      </c>
      <c r="L22" s="390">
        <v>43591</v>
      </c>
      <c r="M22" s="419"/>
    </row>
    <row r="23" spans="1:13" s="421" customFormat="1" ht="12">
      <c r="A23" s="166">
        <v>10</v>
      </c>
      <c r="B23" s="423" t="s">
        <v>245</v>
      </c>
      <c r="C23" s="396" t="s">
        <v>247</v>
      </c>
      <c r="D23" s="395" t="s">
        <v>248</v>
      </c>
      <c r="E23" s="394" t="s">
        <v>249</v>
      </c>
      <c r="F23" s="427" t="s">
        <v>250</v>
      </c>
      <c r="G23" s="390" t="s">
        <v>251</v>
      </c>
      <c r="H23" s="391" t="s">
        <v>252</v>
      </c>
      <c r="I23" s="165"/>
      <c r="J23" s="388" t="s">
        <v>252</v>
      </c>
      <c r="K23" s="426">
        <v>1.8022</v>
      </c>
      <c r="L23" s="388">
        <v>44503</v>
      </c>
      <c r="M23" s="419"/>
    </row>
    <row r="24" spans="1:13" s="421" customFormat="1" ht="12">
      <c r="A24" s="166">
        <v>11</v>
      </c>
      <c r="B24" s="423" t="s">
        <v>245</v>
      </c>
      <c r="C24" s="396" t="s">
        <v>247</v>
      </c>
      <c r="D24" s="395" t="s">
        <v>248</v>
      </c>
      <c r="E24" s="394" t="s">
        <v>249</v>
      </c>
      <c r="F24" s="390" t="s">
        <v>251</v>
      </c>
      <c r="G24" s="391" t="s">
        <v>252</v>
      </c>
      <c r="H24" s="386" t="s">
        <v>253</v>
      </c>
      <c r="I24" s="165"/>
      <c r="J24" s="386" t="s">
        <v>253</v>
      </c>
      <c r="K24" s="425">
        <v>1.8697999999999999</v>
      </c>
      <c r="L24" s="386">
        <v>46201</v>
      </c>
      <c r="M24" s="419"/>
    </row>
    <row r="25" spans="1:13" s="421" customFormat="1" ht="12">
      <c r="A25" s="166">
        <v>12</v>
      </c>
      <c r="B25" s="423" t="s">
        <v>245</v>
      </c>
      <c r="C25" s="396" t="s">
        <v>247</v>
      </c>
      <c r="D25" s="395" t="s">
        <v>248</v>
      </c>
      <c r="E25" s="394" t="s">
        <v>249</v>
      </c>
      <c r="F25" s="390" t="s">
        <v>251</v>
      </c>
      <c r="G25" s="386" t="s">
        <v>253</v>
      </c>
      <c r="H25" s="384" t="s">
        <v>254</v>
      </c>
      <c r="I25" s="165"/>
      <c r="J25" s="384" t="s">
        <v>254</v>
      </c>
      <c r="K25" s="424">
        <v>1.9399</v>
      </c>
      <c r="L25" s="384">
        <v>47183</v>
      </c>
      <c r="M25" s="419"/>
    </row>
    <row r="26" spans="1:13" s="421" customFormat="1" ht="12">
      <c r="A26" s="166" t="s">
        <v>255</v>
      </c>
      <c r="B26" s="423" t="s">
        <v>245</v>
      </c>
      <c r="C26" s="396" t="s">
        <v>247</v>
      </c>
      <c r="D26" s="395" t="s">
        <v>248</v>
      </c>
      <c r="E26" s="394" t="s">
        <v>249</v>
      </c>
      <c r="F26" s="390" t="s">
        <v>251</v>
      </c>
      <c r="G26" s="386" t="s">
        <v>253</v>
      </c>
      <c r="H26" s="376" t="s">
        <v>256</v>
      </c>
      <c r="I26" s="165"/>
      <c r="J26" s="376" t="s">
        <v>256</v>
      </c>
      <c r="K26" s="422">
        <v>2.0125999999999999</v>
      </c>
      <c r="L26" s="376">
        <v>48202</v>
      </c>
      <c r="M26" s="419"/>
    </row>
    <row r="27" spans="1:13" ht="6" customHeight="1">
      <c r="A27" s="420"/>
      <c r="B27" s="163"/>
      <c r="C27" s="163"/>
      <c r="D27" s="163"/>
      <c r="E27" s="163"/>
      <c r="F27" s="163"/>
      <c r="G27" s="163"/>
      <c r="H27" s="163"/>
      <c r="I27" s="163"/>
      <c r="J27" s="163"/>
      <c r="K27" s="163"/>
      <c r="L27" s="419"/>
      <c r="M27" s="419"/>
    </row>
    <row r="28" spans="1:13" ht="34.950000000000003" customHeight="1" thickBot="1">
      <c r="A28" s="169" t="s">
        <v>388</v>
      </c>
      <c r="B28" s="170"/>
      <c r="C28" s="418"/>
      <c r="D28" s="417"/>
      <c r="E28" s="374" t="s">
        <v>215</v>
      </c>
      <c r="F28" s="374" t="s">
        <v>216</v>
      </c>
      <c r="G28" s="374" t="s">
        <v>217</v>
      </c>
      <c r="H28" s="374" t="s">
        <v>218</v>
      </c>
      <c r="I28" s="163"/>
      <c r="J28" s="416" t="s">
        <v>462</v>
      </c>
      <c r="K28" s="414" t="s">
        <v>463</v>
      </c>
      <c r="L28" s="415" t="s">
        <v>464</v>
      </c>
      <c r="M28" s="414" t="s">
        <v>465</v>
      </c>
    </row>
    <row r="29" spans="1:13" ht="12.6" customHeight="1" thickBot="1">
      <c r="A29" s="166" t="s">
        <v>239</v>
      </c>
      <c r="B29" s="374" t="s">
        <v>220</v>
      </c>
      <c r="C29" s="374" t="s">
        <v>221</v>
      </c>
      <c r="D29" s="374" t="s">
        <v>222</v>
      </c>
      <c r="E29" s="374" t="s">
        <v>223</v>
      </c>
      <c r="F29" s="374" t="s">
        <v>224</v>
      </c>
      <c r="G29" s="374" t="s">
        <v>225</v>
      </c>
      <c r="H29" s="374" t="s">
        <v>226</v>
      </c>
      <c r="I29" s="163"/>
      <c r="J29" s="413" t="s">
        <v>265</v>
      </c>
      <c r="K29" s="412">
        <f>'Master Budget Sheet'!BJ168</f>
        <v>47477</v>
      </c>
      <c r="L29" s="411">
        <f>+'Master Budget Sheet'!S174</f>
        <v>0</v>
      </c>
      <c r="M29" s="410">
        <f>K29*L29</f>
        <v>0</v>
      </c>
    </row>
    <row r="30" spans="1:13" s="405" customFormat="1" ht="15.6" customHeight="1" thickBot="1">
      <c r="A30" s="393">
        <v>0</v>
      </c>
      <c r="B30" s="392"/>
      <c r="C30" s="392"/>
      <c r="D30" s="392"/>
      <c r="E30" s="392"/>
      <c r="F30" s="392"/>
      <c r="G30" s="392"/>
      <c r="H30" s="392"/>
      <c r="I30" s="163"/>
      <c r="J30" s="409"/>
      <c r="K30" s="408"/>
      <c r="L30" s="407"/>
      <c r="M30" s="406"/>
    </row>
    <row r="31" spans="1:13" ht="12.6" thickBot="1">
      <c r="A31" s="393">
        <v>1</v>
      </c>
      <c r="B31" s="392"/>
      <c r="C31" s="392"/>
      <c r="D31" s="392"/>
      <c r="E31" s="392"/>
      <c r="F31" s="392"/>
      <c r="G31" s="392"/>
      <c r="H31" s="392"/>
      <c r="I31" s="163"/>
      <c r="J31" s="404" t="s">
        <v>243</v>
      </c>
      <c r="K31" s="412">
        <f>'Master Budget Sheet'!BJ169</f>
        <v>48347</v>
      </c>
      <c r="L31" s="411">
        <f>+'Master Budget Sheet'!S175</f>
        <v>0</v>
      </c>
      <c r="M31" s="402">
        <f>K31*L31</f>
        <v>0</v>
      </c>
    </row>
    <row r="32" spans="1:13" ht="12.6" thickBot="1">
      <c r="A32" s="393">
        <v>2</v>
      </c>
      <c r="B32" s="392"/>
      <c r="C32" s="392"/>
      <c r="D32" s="392"/>
      <c r="E32" s="392"/>
      <c r="F32" s="392"/>
      <c r="G32" s="392"/>
      <c r="H32" s="392"/>
      <c r="I32" s="163"/>
      <c r="J32" s="400"/>
      <c r="K32" s="401"/>
      <c r="L32" s="400"/>
      <c r="M32" s="399"/>
    </row>
    <row r="33" spans="1:14" ht="12.6" thickBot="1">
      <c r="A33" s="393">
        <v>3</v>
      </c>
      <c r="B33" s="392"/>
      <c r="C33" s="392"/>
      <c r="D33" s="392"/>
      <c r="E33" s="392"/>
      <c r="F33" s="392"/>
      <c r="G33" s="392"/>
      <c r="H33" s="383"/>
      <c r="I33" s="163"/>
      <c r="J33" s="398" t="s">
        <v>245</v>
      </c>
      <c r="K33" s="398">
        <f>'Master Budget Sheet'!BJ170</f>
        <v>49219</v>
      </c>
      <c r="L33" s="411">
        <f>+'Master Budget Sheet'!S176</f>
        <v>0</v>
      </c>
      <c r="M33" s="397">
        <f t="shared" ref="M33:M43" si="0">K33*L33</f>
        <v>0</v>
      </c>
    </row>
    <row r="34" spans="1:14" ht="12.6" thickBot="1">
      <c r="A34" s="393">
        <v>4</v>
      </c>
      <c r="B34" s="392"/>
      <c r="C34" s="392"/>
      <c r="D34" s="392"/>
      <c r="E34" s="392"/>
      <c r="F34" s="392"/>
      <c r="G34" s="383"/>
      <c r="H34" s="387"/>
      <c r="I34" s="163"/>
      <c r="J34" s="391" t="s">
        <v>246</v>
      </c>
      <c r="K34" s="391">
        <f>'Master Budget Sheet'!BJ171</f>
        <v>50349</v>
      </c>
      <c r="L34" s="411">
        <f>+'Master Budget Sheet'!S177</f>
        <v>0</v>
      </c>
      <c r="M34" s="375">
        <f t="shared" si="0"/>
        <v>0</v>
      </c>
    </row>
    <row r="35" spans="1:14" ht="12.6" thickBot="1">
      <c r="A35" s="393">
        <v>5</v>
      </c>
      <c r="B35" s="392"/>
      <c r="C35" s="392"/>
      <c r="D35" s="392"/>
      <c r="E35" s="392"/>
      <c r="F35" s="383"/>
      <c r="G35" s="387"/>
      <c r="H35" s="382"/>
      <c r="I35" s="163"/>
      <c r="J35" s="396" t="s">
        <v>247</v>
      </c>
      <c r="K35" s="396">
        <f>'Master Budget Sheet'!BJ172</f>
        <v>52132</v>
      </c>
      <c r="L35" s="411">
        <f>+'Master Budget Sheet'!S178</f>
        <v>0</v>
      </c>
      <c r="M35" s="375">
        <f t="shared" si="0"/>
        <v>0</v>
      </c>
    </row>
    <row r="36" spans="1:14" ht="12.6" thickBot="1">
      <c r="A36" s="393">
        <v>6</v>
      </c>
      <c r="B36" s="392"/>
      <c r="C36" s="392"/>
      <c r="D36" s="392"/>
      <c r="E36" s="383"/>
      <c r="F36" s="387"/>
      <c r="G36" s="382"/>
      <c r="H36" s="381"/>
      <c r="I36" s="163"/>
      <c r="J36" s="395" t="s">
        <v>248</v>
      </c>
      <c r="K36" s="395">
        <f>'Master Budget Sheet'!BJ173</f>
        <v>53914</v>
      </c>
      <c r="L36" s="411">
        <f>+'Master Budget Sheet'!S179</f>
        <v>1</v>
      </c>
      <c r="M36" s="375">
        <f t="shared" si="0"/>
        <v>53914</v>
      </c>
    </row>
    <row r="37" spans="1:14" ht="12.6" thickBot="1">
      <c r="A37" s="393">
        <v>7</v>
      </c>
      <c r="B37" s="392"/>
      <c r="C37" s="392"/>
      <c r="D37" s="383"/>
      <c r="E37" s="387"/>
      <c r="F37" s="382"/>
      <c r="G37" s="381"/>
      <c r="H37" s="380"/>
      <c r="I37" s="163"/>
      <c r="J37" s="394" t="s">
        <v>249</v>
      </c>
      <c r="K37" s="394">
        <f>'Master Budget Sheet'!BJ174</f>
        <v>55696</v>
      </c>
      <c r="L37" s="411">
        <f>+'Master Budget Sheet'!S180</f>
        <v>0</v>
      </c>
      <c r="M37" s="375">
        <f t="shared" si="0"/>
        <v>0</v>
      </c>
    </row>
    <row r="38" spans="1:14" ht="12.6" thickBot="1">
      <c r="A38" s="393">
        <v>8</v>
      </c>
      <c r="B38" s="392"/>
      <c r="C38" s="383"/>
      <c r="D38" s="387"/>
      <c r="E38" s="382"/>
      <c r="F38" s="381"/>
      <c r="G38" s="380">
        <v>0</v>
      </c>
      <c r="H38" s="389"/>
      <c r="I38" s="163"/>
      <c r="J38" s="391" t="s">
        <v>250</v>
      </c>
      <c r="K38" s="391">
        <f>'Master Budget Sheet'!BJ175</f>
        <v>57478</v>
      </c>
      <c r="L38" s="411">
        <f>+'Master Budget Sheet'!S181</f>
        <v>0</v>
      </c>
      <c r="M38" s="375">
        <f t="shared" si="0"/>
        <v>0</v>
      </c>
    </row>
    <row r="39" spans="1:14" ht="12.6" thickBot="1">
      <c r="A39" s="166">
        <v>9</v>
      </c>
      <c r="B39" s="383"/>
      <c r="C39" s="387"/>
      <c r="D39" s="382"/>
      <c r="E39" s="381"/>
      <c r="F39" s="380"/>
      <c r="G39" s="389"/>
      <c r="H39" s="379"/>
      <c r="I39" s="163"/>
      <c r="J39" s="390" t="s">
        <v>251</v>
      </c>
      <c r="K39" s="390">
        <f>'Master Budget Sheet'!BJ176</f>
        <v>60592</v>
      </c>
      <c r="L39" s="411">
        <f>+'Master Budget Sheet'!S182</f>
        <v>0</v>
      </c>
      <c r="M39" s="375">
        <f t="shared" si="0"/>
        <v>0</v>
      </c>
    </row>
    <row r="40" spans="1:14" ht="12.6" thickBot="1">
      <c r="A40" s="166">
        <v>10</v>
      </c>
      <c r="B40" s="383"/>
      <c r="C40" s="382"/>
      <c r="D40" s="381"/>
      <c r="E40" s="380"/>
      <c r="F40" s="389"/>
      <c r="G40" s="379"/>
      <c r="H40" s="387"/>
      <c r="I40" s="163"/>
      <c r="J40" s="388" t="s">
        <v>252</v>
      </c>
      <c r="K40" s="388">
        <f>'Master Budget Sheet'!BJ177</f>
        <v>62064</v>
      </c>
      <c r="L40" s="411">
        <f>+'Master Budget Sheet'!S183</f>
        <v>0</v>
      </c>
      <c r="M40" s="375">
        <f t="shared" si="0"/>
        <v>0</v>
      </c>
    </row>
    <row r="41" spans="1:14" ht="12.6" thickBot="1">
      <c r="A41" s="166">
        <v>11</v>
      </c>
      <c r="B41" s="383"/>
      <c r="C41" s="382"/>
      <c r="D41" s="381"/>
      <c r="E41" s="380"/>
      <c r="F41" s="379"/>
      <c r="G41" s="387"/>
      <c r="H41" s="378"/>
      <c r="I41" s="163"/>
      <c r="J41" s="386" t="s">
        <v>253</v>
      </c>
      <c r="K41" s="386">
        <f>'Master Budget Sheet'!BJ178</f>
        <v>63524</v>
      </c>
      <c r="L41" s="411">
        <f>+'Master Budget Sheet'!S184</f>
        <v>0</v>
      </c>
      <c r="M41" s="375">
        <f t="shared" si="0"/>
        <v>0</v>
      </c>
    </row>
    <row r="42" spans="1:14" ht="12.6" thickBot="1">
      <c r="A42" s="166">
        <v>12</v>
      </c>
      <c r="B42" s="383"/>
      <c r="C42" s="382"/>
      <c r="D42" s="381"/>
      <c r="E42" s="380"/>
      <c r="F42" s="379"/>
      <c r="G42" s="378"/>
      <c r="H42" s="385"/>
      <c r="I42" s="163"/>
      <c r="J42" s="384" t="s">
        <v>254</v>
      </c>
      <c r="K42" s="384">
        <f>'Master Budget Sheet'!BJ179</f>
        <v>64972</v>
      </c>
      <c r="L42" s="411">
        <f>+'Master Budget Sheet'!S185</f>
        <v>0</v>
      </c>
      <c r="M42" s="375">
        <f t="shared" si="0"/>
        <v>0</v>
      </c>
    </row>
    <row r="43" spans="1:14" ht="12.6" thickBot="1">
      <c r="A43" s="166" t="s">
        <v>255</v>
      </c>
      <c r="B43" s="383"/>
      <c r="C43" s="382"/>
      <c r="D43" s="381"/>
      <c r="E43" s="380"/>
      <c r="F43" s="379"/>
      <c r="G43" s="378">
        <v>0</v>
      </c>
      <c r="H43" s="377"/>
      <c r="I43" s="163"/>
      <c r="J43" s="376" t="s">
        <v>256</v>
      </c>
      <c r="K43" s="376">
        <f>'Master Budget Sheet'!BJ180</f>
        <v>0</v>
      </c>
      <c r="L43" s="411">
        <f>+'Master Budget Sheet'!S186</f>
        <v>0</v>
      </c>
      <c r="M43" s="375">
        <f t="shared" si="0"/>
        <v>0</v>
      </c>
    </row>
    <row r="44" spans="1:14" s="184" customFormat="1" ht="12.6" thickBot="1">
      <c r="B44" s="163"/>
      <c r="C44" s="163"/>
      <c r="D44" s="163"/>
      <c r="E44" s="163"/>
      <c r="F44" s="163"/>
      <c r="G44" s="374" t="s">
        <v>53</v>
      </c>
      <c r="H44" s="373">
        <f>SUM(B30:H43)</f>
        <v>0</v>
      </c>
      <c r="I44" s="372"/>
      <c r="J44" s="371"/>
      <c r="K44" s="163"/>
      <c r="L44" s="370">
        <f>SUM(L29:L43)</f>
        <v>1</v>
      </c>
      <c r="M44" s="369">
        <f>SUM(M29:M43)</f>
        <v>53914</v>
      </c>
    </row>
    <row r="45" spans="1:14" ht="4.95" customHeight="1" thickTop="1" thickBot="1">
      <c r="A45" s="163"/>
      <c r="B45" s="163"/>
      <c r="C45" s="163"/>
      <c r="D45" s="163"/>
      <c r="E45" s="163"/>
      <c r="F45" s="163"/>
      <c r="G45" s="350"/>
      <c r="H45" s="163"/>
      <c r="I45" s="163"/>
      <c r="J45" s="163"/>
      <c r="K45" s="163"/>
      <c r="L45" s="163"/>
      <c r="M45" s="163"/>
    </row>
    <row r="46" spans="1:14" s="344" customFormat="1" ht="9.6" customHeight="1">
      <c r="A46" s="163"/>
      <c r="B46" s="163"/>
      <c r="C46" s="163"/>
      <c r="D46" s="163"/>
      <c r="E46" s="163"/>
      <c r="F46" s="163"/>
      <c r="G46" s="368"/>
      <c r="H46" s="163"/>
      <c r="J46" s="367" t="s">
        <v>260</v>
      </c>
      <c r="K46" s="366"/>
      <c r="L46" s="365"/>
      <c r="M46" s="364"/>
      <c r="N46" s="338"/>
    </row>
    <row r="47" spans="1:14" s="344" customFormat="1" ht="12">
      <c r="A47" s="163"/>
      <c r="B47" s="362"/>
      <c r="C47" s="362"/>
      <c r="D47" s="362"/>
      <c r="E47" s="362"/>
      <c r="F47" s="362"/>
      <c r="G47" s="350"/>
      <c r="H47" s="362"/>
      <c r="J47" s="348" t="s">
        <v>385</v>
      </c>
      <c r="K47" s="343"/>
      <c r="L47" s="343"/>
      <c r="M47" s="363"/>
      <c r="N47" s="338"/>
    </row>
    <row r="48" spans="1:14" s="356" customFormat="1" ht="12">
      <c r="A48" s="362"/>
      <c r="B48" s="163"/>
      <c r="C48" s="163"/>
      <c r="D48" s="163"/>
      <c r="E48" s="163"/>
      <c r="F48" s="163"/>
      <c r="G48" s="350"/>
      <c r="H48" s="163"/>
      <c r="J48" s="361" t="s">
        <v>261</v>
      </c>
      <c r="K48" s="360" t="s">
        <v>168</v>
      </c>
      <c r="L48" s="359" t="s">
        <v>372</v>
      </c>
      <c r="M48" s="358" t="s">
        <v>259</v>
      </c>
      <c r="N48" s="357"/>
    </row>
    <row r="49" spans="1:15" s="344" customFormat="1" ht="12">
      <c r="A49" s="163"/>
      <c r="B49" s="163"/>
      <c r="C49" s="163"/>
      <c r="D49" s="163"/>
      <c r="E49" s="163"/>
      <c r="F49" s="163"/>
      <c r="G49" s="350"/>
      <c r="H49" s="163"/>
      <c r="J49" s="355" t="s">
        <v>262</v>
      </c>
      <c r="K49" s="354">
        <f>+'Master Budget Sheet'!S188</f>
        <v>1</v>
      </c>
      <c r="L49" s="458">
        <f>'Master Budget Sheet'!BJ182</f>
        <v>2000</v>
      </c>
      <c r="M49" s="352">
        <f>K49*L49</f>
        <v>2000</v>
      </c>
      <c r="N49" s="338"/>
    </row>
    <row r="50" spans="1:15" s="344" customFormat="1" ht="12">
      <c r="A50" s="163"/>
      <c r="B50" s="163"/>
      <c r="C50" s="163"/>
      <c r="D50" s="163"/>
      <c r="E50" s="163"/>
      <c r="F50" s="163"/>
      <c r="G50" s="350"/>
      <c r="H50" s="163"/>
      <c r="J50" s="355" t="s">
        <v>263</v>
      </c>
      <c r="K50" s="354">
        <f>+'Master Budget Sheet'!S189</f>
        <v>1</v>
      </c>
      <c r="L50" s="458">
        <f>'Master Budget Sheet'!BJ183</f>
        <v>3500</v>
      </c>
      <c r="M50" s="352">
        <f>K50*L50</f>
        <v>3500</v>
      </c>
      <c r="N50" s="338"/>
    </row>
    <row r="51" spans="1:15" s="344" customFormat="1" ht="12">
      <c r="A51" s="163"/>
      <c r="B51" s="163"/>
      <c r="C51" s="163"/>
      <c r="D51" s="163"/>
      <c r="E51" s="163"/>
      <c r="F51" s="163"/>
      <c r="G51" s="350"/>
      <c r="H51" s="163"/>
      <c r="I51" s="343"/>
      <c r="J51" s="349"/>
      <c r="K51" s="351"/>
      <c r="L51" s="346" t="s">
        <v>264</v>
      </c>
      <c r="M51" s="345">
        <f>SUM(M49:M50)</f>
        <v>5500</v>
      </c>
      <c r="N51" s="338"/>
    </row>
    <row r="52" spans="1:15" s="344" customFormat="1" ht="13.8">
      <c r="A52" s="163"/>
      <c r="B52" s="163"/>
      <c r="C52" s="163"/>
      <c r="D52" s="163"/>
      <c r="E52" s="163"/>
      <c r="F52" s="163"/>
      <c r="G52" s="350"/>
      <c r="H52" s="163"/>
      <c r="I52" s="343"/>
      <c r="J52" s="349"/>
      <c r="K52" s="282" t="s">
        <v>366</v>
      </c>
      <c r="L52" s="346"/>
      <c r="M52" s="345"/>
      <c r="N52" s="270" t="s">
        <v>384</v>
      </c>
    </row>
    <row r="53" spans="1:15" s="344" customFormat="1" ht="12">
      <c r="A53" s="163"/>
      <c r="B53" s="163"/>
      <c r="C53" s="163"/>
      <c r="D53" s="163"/>
      <c r="E53" s="163"/>
      <c r="F53" s="163"/>
      <c r="G53" s="163"/>
      <c r="H53" s="163"/>
      <c r="I53" s="343"/>
      <c r="J53" s="348"/>
      <c r="K53" s="347"/>
      <c r="L53" s="346" t="s">
        <v>383</v>
      </c>
      <c r="M53" s="345">
        <f>M44+M51</f>
        <v>59414</v>
      </c>
      <c r="N53" s="338"/>
    </row>
    <row r="54" spans="1:15" ht="12.6" thickBot="1">
      <c r="A54" s="163"/>
      <c r="B54" s="163"/>
      <c r="C54" s="163"/>
      <c r="D54" s="163"/>
      <c r="E54" s="163"/>
      <c r="F54" s="163"/>
      <c r="G54" s="163"/>
      <c r="H54" s="163"/>
      <c r="I54" s="343"/>
      <c r="J54" s="342"/>
      <c r="K54" s="341"/>
      <c r="L54" s="340" t="s">
        <v>363</v>
      </c>
      <c r="M54" s="339">
        <f>IF(L44&gt;0, M53/L44,0)</f>
        <v>59414</v>
      </c>
      <c r="N54" s="338"/>
    </row>
    <row r="55" spans="1:15" ht="10.199999999999999" customHeight="1" thickBot="1">
      <c r="A55" s="163"/>
      <c r="I55" s="163"/>
      <c r="J55" s="163"/>
      <c r="K55" s="163"/>
      <c r="L55" s="163"/>
      <c r="M55" s="163"/>
    </row>
    <row r="56" spans="1:15" s="337" customFormat="1" ht="47.55" customHeight="1" thickBot="1">
      <c r="A56" s="1239" t="s">
        <v>382</v>
      </c>
      <c r="B56" s="1240"/>
      <c r="C56" s="1240"/>
      <c r="D56" s="1240"/>
      <c r="E56" s="1240"/>
      <c r="F56" s="1240"/>
      <c r="G56" s="1240"/>
      <c r="H56" s="1240"/>
      <c r="I56" s="1240"/>
      <c r="J56" s="1240"/>
      <c r="K56" s="1240"/>
      <c r="L56" s="1240"/>
      <c r="M56" s="1240"/>
      <c r="N56" s="1240"/>
      <c r="O56" s="1241"/>
    </row>
  </sheetData>
  <mergeCells count="1">
    <mergeCell ref="A56:O56"/>
  </mergeCells>
  <pageMargins left="0.75" right="0.25" top="0" bottom="0" header="0.3" footer="0.3"/>
  <pageSetup scale="76"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70">
    <tabColor rgb="FFFFFF00"/>
    <pageSetUpPr fitToPage="1"/>
  </sheetPr>
  <dimension ref="C1:M27"/>
  <sheetViews>
    <sheetView showGridLines="0" zoomScale="85" workbookViewId="0">
      <selection activeCell="D21" sqref="D21"/>
    </sheetView>
  </sheetViews>
  <sheetFormatPr defaultColWidth="10.44140625" defaultRowHeight="13.2"/>
  <cols>
    <col min="1" max="2" width="5.44140625" style="260" customWidth="1"/>
    <col min="3" max="3" width="33.44140625" style="63" customWidth="1"/>
    <col min="4" max="4" width="24.5546875" style="64" customWidth="1"/>
    <col min="5" max="5" width="10.44140625" style="63"/>
    <col min="6" max="10" width="10.44140625" style="260"/>
    <col min="11" max="11" width="11.5546875" style="260" customWidth="1"/>
    <col min="12" max="12" width="12.44140625" style="260" customWidth="1"/>
    <col min="13" max="16384" width="10.44140625" style="260"/>
  </cols>
  <sheetData>
    <row r="1" spans="3:13" ht="13.8" thickBot="1"/>
    <row r="2" spans="3:13">
      <c r="C2" s="65"/>
      <c r="D2" s="66"/>
      <c r="E2" s="67"/>
      <c r="F2" s="267"/>
      <c r="G2" s="267"/>
      <c r="H2" s="267"/>
      <c r="I2" s="267"/>
      <c r="J2" s="267"/>
      <c r="K2" s="267"/>
      <c r="L2" s="267"/>
      <c r="M2" s="266"/>
    </row>
    <row r="3" spans="3:13">
      <c r="C3" s="68" t="s">
        <v>119</v>
      </c>
      <c r="D3" s="69"/>
      <c r="E3" s="70"/>
      <c r="F3" s="264"/>
      <c r="G3" s="264"/>
      <c r="H3" s="264"/>
      <c r="I3" s="264"/>
      <c r="J3" s="264"/>
      <c r="K3" s="264"/>
      <c r="M3" s="263"/>
    </row>
    <row r="4" spans="3:13">
      <c r="C4" s="68" t="s">
        <v>120</v>
      </c>
      <c r="D4" s="69"/>
      <c r="E4" s="70"/>
      <c r="F4" s="264"/>
      <c r="G4" s="264"/>
      <c r="H4" s="264"/>
      <c r="I4" s="264"/>
      <c r="J4" s="264"/>
      <c r="K4" s="264"/>
      <c r="M4" s="263"/>
    </row>
    <row r="5" spans="3:13">
      <c r="C5" s="68" t="s">
        <v>355</v>
      </c>
      <c r="D5" s="71"/>
      <c r="E5" s="72"/>
      <c r="F5" s="265"/>
      <c r="G5" s="265"/>
      <c r="H5" s="265"/>
      <c r="I5" s="264"/>
      <c r="J5" s="264"/>
      <c r="K5" s="264"/>
      <c r="M5" s="263"/>
    </row>
    <row r="6" spans="3:13">
      <c r="C6" s="68"/>
      <c r="D6" s="69"/>
      <c r="E6" s="70"/>
      <c r="F6" s="264"/>
      <c r="G6" s="264"/>
      <c r="H6" s="264"/>
      <c r="I6" s="264"/>
      <c r="J6" s="264"/>
      <c r="K6" s="264"/>
      <c r="M6" s="263"/>
    </row>
    <row r="7" spans="3:13" ht="25.05" customHeight="1">
      <c r="C7" s="73" t="s">
        <v>121</v>
      </c>
      <c r="D7" s="74"/>
      <c r="E7" s="64" t="s">
        <v>122</v>
      </c>
      <c r="M7" s="263"/>
    </row>
    <row r="8" spans="3:13" ht="25.05" customHeight="1">
      <c r="C8" s="73" t="s">
        <v>123</v>
      </c>
      <c r="D8" s="74"/>
      <c r="E8" s="64" t="s">
        <v>122</v>
      </c>
      <c r="M8" s="263"/>
    </row>
    <row r="9" spans="3:13" ht="25.05" customHeight="1">
      <c r="C9" s="73" t="s">
        <v>124</v>
      </c>
      <c r="D9" s="75">
        <f>+'Master Budget Sheet'!Y19</f>
        <v>10.67</v>
      </c>
      <c r="E9" s="64" t="s">
        <v>125</v>
      </c>
      <c r="M9" s="263"/>
    </row>
    <row r="10" spans="3:13" ht="25.05" customHeight="1">
      <c r="C10" s="76" t="s">
        <v>126</v>
      </c>
      <c r="D10" s="77" t="s">
        <v>127</v>
      </c>
      <c r="E10" s="78" t="s">
        <v>128</v>
      </c>
      <c r="M10" s="263"/>
    </row>
    <row r="11" spans="3:13" ht="25.05" customHeight="1">
      <c r="C11" s="73" t="s">
        <v>129</v>
      </c>
      <c r="D11" s="79">
        <f>'AdminIndex (2)'!H61</f>
        <v>1.3426</v>
      </c>
      <c r="E11" s="80" t="s">
        <v>130</v>
      </c>
      <c r="M11" s="263"/>
    </row>
    <row r="12" spans="3:13" ht="25.05" customHeight="1">
      <c r="C12" s="73" t="s">
        <v>131</v>
      </c>
      <c r="D12" s="81">
        <f>'Instructional fte (2)'!E43</f>
        <v>56318.453227931488</v>
      </c>
      <c r="E12" s="80" t="s">
        <v>353</v>
      </c>
      <c r="M12" s="263"/>
    </row>
    <row r="13" spans="3:13" ht="25.05" customHeight="1">
      <c r="C13" s="73" t="s">
        <v>354</v>
      </c>
      <c r="D13" s="269">
        <f>'Pupil Services fte (2)'!M54</f>
        <v>59414</v>
      </c>
      <c r="E13" s="80" t="s">
        <v>352</v>
      </c>
      <c r="M13" s="263"/>
    </row>
    <row r="14" spans="3:13" ht="25.05" customHeight="1">
      <c r="C14" s="73" t="s">
        <v>132</v>
      </c>
      <c r="D14" s="79">
        <f>'AdminIndex (2)'!H40</f>
        <v>1</v>
      </c>
      <c r="E14" s="80" t="s">
        <v>130</v>
      </c>
      <c r="M14" s="263"/>
    </row>
    <row r="15" spans="3:13" ht="22.2" customHeight="1">
      <c r="C15" s="73" t="s">
        <v>133</v>
      </c>
      <c r="D15" s="82">
        <f>'Instructional fte (2)'!B26</f>
        <v>7.59</v>
      </c>
      <c r="E15" s="80" t="s">
        <v>353</v>
      </c>
      <c r="M15" s="263"/>
    </row>
    <row r="16" spans="3:13" ht="25.05" customHeight="1">
      <c r="C16" s="73" t="s">
        <v>134</v>
      </c>
      <c r="D16" s="79">
        <f>'Pupil Services fte (2)'!L44</f>
        <v>1</v>
      </c>
      <c r="E16" s="80" t="s">
        <v>352</v>
      </c>
      <c r="M16" s="263"/>
    </row>
    <row r="17" spans="3:13" ht="25.05" customHeight="1">
      <c r="C17" s="73" t="s">
        <v>135</v>
      </c>
      <c r="D17" s="83">
        <f>+'Master Budget Sheet'!X193</f>
        <v>7.25</v>
      </c>
      <c r="E17" s="64" t="s">
        <v>122</v>
      </c>
      <c r="M17" s="263"/>
    </row>
    <row r="18" spans="3:13" ht="25.05" customHeight="1">
      <c r="C18" s="73" t="s">
        <v>136</v>
      </c>
      <c r="D18" s="84">
        <f>+'Master Budget Sheet'!Y90</f>
        <v>146346</v>
      </c>
      <c r="E18" s="64" t="s">
        <v>122</v>
      </c>
      <c r="M18" s="263"/>
    </row>
    <row r="19" spans="3:13" ht="25.05" customHeight="1">
      <c r="C19" s="73" t="s">
        <v>137</v>
      </c>
      <c r="D19" s="84">
        <f>+'Master Budget Sheet'!Y163</f>
        <v>465554.99129999999</v>
      </c>
      <c r="E19" s="64" t="s">
        <v>122</v>
      </c>
      <c r="M19" s="263"/>
    </row>
    <row r="20" spans="3:13" ht="25.05" customHeight="1">
      <c r="C20" s="73" t="s">
        <v>138</v>
      </c>
      <c r="D20" s="84">
        <f>+'Master Budget Sheet'!Y191</f>
        <v>61475</v>
      </c>
      <c r="E20" s="64" t="s">
        <v>122</v>
      </c>
      <c r="M20" s="263"/>
    </row>
    <row r="21" spans="3:13" ht="25.05" customHeight="1">
      <c r="C21" s="73" t="s">
        <v>139</v>
      </c>
      <c r="D21" s="84">
        <f>+'Master Budget Sheet'!Y193</f>
        <v>168782</v>
      </c>
      <c r="E21" s="64" t="s">
        <v>122</v>
      </c>
      <c r="M21" s="263"/>
    </row>
    <row r="22" spans="3:13" ht="20.100000000000001" customHeight="1">
      <c r="C22" s="73" t="s">
        <v>140</v>
      </c>
      <c r="D22" s="85"/>
      <c r="M22" s="263"/>
    </row>
    <row r="23" spans="3:13" ht="20.100000000000001" customHeight="1">
      <c r="C23" s="86" t="s">
        <v>141</v>
      </c>
      <c r="M23" s="263"/>
    </row>
    <row r="24" spans="3:13" ht="20.100000000000001" customHeight="1">
      <c r="C24" s="87" t="s">
        <v>142</v>
      </c>
      <c r="M24" s="263"/>
    </row>
    <row r="25" spans="3:13" ht="20.100000000000001" customHeight="1">
      <c r="C25" s="87"/>
      <c r="M25" s="263"/>
    </row>
    <row r="26" spans="3:13" ht="20.100000000000001" customHeight="1">
      <c r="C26" s="73" t="s">
        <v>143</v>
      </c>
      <c r="M26" s="263"/>
    </row>
    <row r="27" spans="3:13" ht="13.8" thickBot="1">
      <c r="C27" s="88" t="s">
        <v>144</v>
      </c>
      <c r="D27" s="89"/>
      <c r="E27" s="90"/>
      <c r="F27" s="262"/>
      <c r="G27" s="262"/>
      <c r="H27" s="262"/>
      <c r="I27" s="262"/>
      <c r="J27" s="262"/>
      <c r="K27" s="262"/>
      <c r="L27" s="262"/>
      <c r="M27" s="261"/>
    </row>
  </sheetData>
  <printOptions horizontalCentered="1" verticalCentered="1"/>
  <pageMargins left="0.47" right="0.2" top="0.52" bottom="0.25" header="0.5" footer="0.22"/>
  <pageSetup scale="81" orientation="landscape"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71">
    <pageSetUpPr fitToPage="1"/>
  </sheetPr>
  <dimension ref="A1:AA53"/>
  <sheetViews>
    <sheetView topLeftCell="E1" zoomScaleNormal="100" workbookViewId="0">
      <selection activeCell="Y24" sqref="Y24"/>
    </sheetView>
  </sheetViews>
  <sheetFormatPr defaultColWidth="10.44140625" defaultRowHeight="13.8"/>
  <cols>
    <col min="1" max="1" width="8.21875" style="91" customWidth="1"/>
    <col min="2" max="2" width="4.44140625" style="91" customWidth="1"/>
    <col min="3" max="3" width="13.77734375" style="91" customWidth="1"/>
    <col min="4" max="4" width="2" style="91" customWidth="1"/>
    <col min="5" max="5" width="13.77734375" style="91" customWidth="1"/>
    <col min="6" max="6" width="2" style="91" customWidth="1"/>
    <col min="7" max="7" width="13.77734375" style="91" customWidth="1"/>
    <col min="8" max="8" width="1.21875" style="91" customWidth="1"/>
    <col min="9" max="9" width="13.77734375" style="91" customWidth="1"/>
    <col min="10" max="10" width="2.21875" style="91" customWidth="1"/>
    <col min="11" max="11" width="13.77734375" style="91" customWidth="1"/>
    <col min="12" max="12" width="1.21875" style="91" customWidth="1"/>
    <col min="13" max="13" width="14.77734375" style="91" customWidth="1"/>
    <col min="14" max="14" width="1.21875" style="91" customWidth="1"/>
    <col min="15" max="15" width="13.77734375" style="91" customWidth="1"/>
    <col min="16" max="16" width="1.21875" style="91" customWidth="1"/>
    <col min="17" max="17" width="13.77734375" style="91" customWidth="1"/>
    <col min="18" max="18" width="1.21875" style="91" customWidth="1"/>
    <col min="19" max="19" width="13.77734375" style="91" customWidth="1"/>
    <col min="20" max="20" width="1.21875" style="91" customWidth="1"/>
    <col min="21" max="21" width="13.77734375" style="91" customWidth="1"/>
    <col min="22" max="22" width="1.21875" style="91" customWidth="1"/>
    <col min="23" max="23" width="13.77734375" style="91" customWidth="1"/>
    <col min="24" max="24" width="1.21875" style="91" customWidth="1"/>
    <col min="25" max="25" width="13.77734375" style="91" customWidth="1"/>
    <col min="26" max="26" width="1.21875" style="91" customWidth="1"/>
    <col min="27" max="16384" width="10.44140625" style="91"/>
  </cols>
  <sheetData>
    <row r="1" spans="1:25">
      <c r="A1" s="1233"/>
      <c r="B1" s="1233"/>
      <c r="C1" s="1233"/>
      <c r="D1" s="1233"/>
      <c r="E1" s="1233"/>
      <c r="F1" s="1233"/>
      <c r="G1" s="1233"/>
      <c r="H1" s="1233"/>
      <c r="I1" s="1233"/>
      <c r="J1" s="1233"/>
      <c r="K1" s="1233"/>
      <c r="L1" s="1233"/>
      <c r="M1" s="1233"/>
      <c r="N1" s="1233"/>
      <c r="O1" s="1233"/>
      <c r="P1" s="1233"/>
      <c r="Q1" s="1233"/>
      <c r="R1" s="1233"/>
      <c r="S1" s="1233"/>
      <c r="T1" s="1233"/>
      <c r="U1" s="1233"/>
      <c r="V1" s="1233"/>
      <c r="W1" s="1233"/>
      <c r="X1" s="1233"/>
      <c r="Y1" s="1233"/>
    </row>
    <row r="2" spans="1:25">
      <c r="A2" s="1233" t="s">
        <v>145</v>
      </c>
      <c r="B2" s="1233"/>
      <c r="C2" s="1233"/>
      <c r="D2" s="1233"/>
      <c r="E2" s="1233"/>
      <c r="F2" s="1233"/>
      <c r="G2" s="1233"/>
      <c r="H2" s="1233"/>
      <c r="I2" s="1233"/>
      <c r="J2" s="1233"/>
      <c r="K2" s="1233"/>
      <c r="L2" s="1233"/>
      <c r="M2" s="1233"/>
      <c r="N2" s="1233"/>
      <c r="O2" s="1233"/>
      <c r="P2" s="1233"/>
      <c r="Q2" s="1233"/>
      <c r="R2" s="1233"/>
      <c r="S2" s="1233"/>
      <c r="T2" s="1233"/>
      <c r="U2" s="1233"/>
      <c r="V2" s="1233"/>
      <c r="W2" s="1233"/>
      <c r="X2" s="1233"/>
      <c r="Y2" s="1233"/>
    </row>
    <row r="3" spans="1:25">
      <c r="A3" s="1233" t="s">
        <v>146</v>
      </c>
      <c r="B3" s="1233"/>
      <c r="C3" s="1233"/>
      <c r="D3" s="1233"/>
      <c r="E3" s="1233"/>
      <c r="F3" s="1233"/>
      <c r="G3" s="1233"/>
      <c r="H3" s="1233"/>
      <c r="I3" s="1233"/>
      <c r="J3" s="1233"/>
      <c r="K3" s="1233"/>
      <c r="L3" s="1233"/>
      <c r="M3" s="1233"/>
      <c r="N3" s="1233"/>
      <c r="O3" s="1233"/>
      <c r="P3" s="1233"/>
      <c r="Q3" s="1233"/>
      <c r="R3" s="1233"/>
      <c r="S3" s="1233"/>
      <c r="T3" s="1233"/>
      <c r="U3" s="1233"/>
      <c r="V3" s="1233"/>
      <c r="W3" s="1233"/>
      <c r="X3" s="1233"/>
      <c r="Y3" s="1233"/>
    </row>
    <row r="4" spans="1:25">
      <c r="A4" s="1233" t="s">
        <v>147</v>
      </c>
      <c r="B4" s="1233"/>
      <c r="C4" s="1233"/>
      <c r="D4" s="1233"/>
      <c r="E4" s="1233"/>
      <c r="F4" s="1233"/>
      <c r="G4" s="1233"/>
      <c r="H4" s="1233"/>
      <c r="I4" s="1233"/>
      <c r="J4" s="1233"/>
      <c r="K4" s="1233"/>
      <c r="L4" s="1233"/>
      <c r="M4" s="1233"/>
      <c r="N4" s="1233"/>
      <c r="O4" s="1233"/>
      <c r="P4" s="1233"/>
      <c r="Q4" s="1233"/>
      <c r="R4" s="1233"/>
      <c r="S4" s="1233"/>
      <c r="T4" s="1233"/>
      <c r="U4" s="1233"/>
      <c r="V4" s="1233"/>
      <c r="W4" s="1233"/>
      <c r="X4" s="1233"/>
      <c r="Y4" s="1233"/>
    </row>
    <row r="5" spans="1:25">
      <c r="A5" s="91" t="s">
        <v>360</v>
      </c>
    </row>
    <row r="7" spans="1:25">
      <c r="A7" s="91" t="s">
        <v>148</v>
      </c>
      <c r="B7" s="92">
        <f>'Enter Data Elements (2)'!D7</f>
        <v>0</v>
      </c>
      <c r="C7" s="93">
        <f>'Enter Data Elements (2)'!D8</f>
        <v>0</v>
      </c>
      <c r="D7" s="94"/>
      <c r="E7" s="94"/>
    </row>
    <row r="9" spans="1:25">
      <c r="A9" s="91" t="s">
        <v>149</v>
      </c>
      <c r="P9" s="91" t="s">
        <v>150</v>
      </c>
      <c r="W9" s="94"/>
    </row>
    <row r="10" spans="1:25">
      <c r="A10" s="91" t="s">
        <v>151</v>
      </c>
      <c r="I10" s="95">
        <v>1.84399</v>
      </c>
      <c r="J10" s="95"/>
      <c r="P10" s="91" t="s">
        <v>151</v>
      </c>
      <c r="W10" s="96">
        <f>'Enter Data Elements (2)'!D11</f>
        <v>1.3426</v>
      </c>
    </row>
    <row r="11" spans="1:25">
      <c r="A11" s="91" t="s">
        <v>152</v>
      </c>
      <c r="I11" s="97">
        <v>1.86643</v>
      </c>
      <c r="J11" s="95"/>
      <c r="K11" s="98">
        <f>IF(I10&gt;I11,ROUND(I11/I10,4),1)</f>
        <v>1</v>
      </c>
      <c r="P11" s="91" t="s">
        <v>153</v>
      </c>
      <c r="W11" s="99">
        <f>W10*K11</f>
        <v>1.3426</v>
      </c>
    </row>
    <row r="12" spans="1:25">
      <c r="A12" s="91" t="s">
        <v>154</v>
      </c>
      <c r="I12" s="100">
        <f>0.0765+0.1194</f>
        <v>0.19590000000000002</v>
      </c>
      <c r="P12" s="91" t="s">
        <v>155</v>
      </c>
      <c r="W12" s="101">
        <f>'Enter Data Elements (2)'!D9</f>
        <v>10.67</v>
      </c>
    </row>
    <row r="13" spans="1:25">
      <c r="I13" s="97"/>
      <c r="J13" s="95"/>
      <c r="K13" s="98"/>
    </row>
    <row r="14" spans="1:25">
      <c r="J14" s="102"/>
      <c r="W14" s="103"/>
    </row>
    <row r="16" spans="1:25" ht="16.2" customHeight="1">
      <c r="C16" s="112" t="s">
        <v>156</v>
      </c>
      <c r="D16" s="112"/>
      <c r="E16" s="112" t="s">
        <v>156</v>
      </c>
      <c r="F16" s="112"/>
      <c r="G16" s="1234" t="s">
        <v>157</v>
      </c>
      <c r="H16" s="1235"/>
      <c r="I16" s="1236"/>
      <c r="J16" s="104"/>
      <c r="K16" s="112" t="s">
        <v>158</v>
      </c>
      <c r="L16" s="112"/>
      <c r="M16" s="112" t="s">
        <v>159</v>
      </c>
      <c r="N16" s="112"/>
      <c r="O16" s="112" t="s">
        <v>160</v>
      </c>
      <c r="P16" s="112"/>
      <c r="Q16" s="112" t="s">
        <v>156</v>
      </c>
      <c r="R16" s="112"/>
      <c r="S16" s="112" t="s">
        <v>156</v>
      </c>
      <c r="T16" s="112"/>
      <c r="U16" s="112" t="s">
        <v>161</v>
      </c>
      <c r="V16" s="112"/>
      <c r="W16" s="112" t="s">
        <v>162</v>
      </c>
      <c r="Y16" s="112" t="s">
        <v>163</v>
      </c>
    </row>
    <row r="17" spans="1:25">
      <c r="C17" s="112" t="s">
        <v>164</v>
      </c>
      <c r="D17" s="112"/>
      <c r="E17" s="112" t="s">
        <v>164</v>
      </c>
      <c r="F17" s="112"/>
      <c r="G17" s="104" t="s">
        <v>165</v>
      </c>
      <c r="H17" s="104"/>
      <c r="I17" s="104" t="s">
        <v>166</v>
      </c>
      <c r="J17" s="112"/>
      <c r="K17" s="112" t="s">
        <v>167</v>
      </c>
      <c r="L17" s="112"/>
      <c r="M17" s="112" t="s">
        <v>156</v>
      </c>
      <c r="N17" s="112"/>
      <c r="O17" s="112" t="s">
        <v>168</v>
      </c>
      <c r="P17" s="112"/>
      <c r="Q17" s="112" t="s">
        <v>164</v>
      </c>
      <c r="S17" s="112" t="s">
        <v>169</v>
      </c>
      <c r="U17" s="112" t="s">
        <v>170</v>
      </c>
      <c r="V17" s="112"/>
      <c r="W17" s="112" t="s">
        <v>170</v>
      </c>
      <c r="Y17" s="112" t="s">
        <v>171</v>
      </c>
    </row>
    <row r="18" spans="1:25">
      <c r="C18" s="112" t="s">
        <v>172</v>
      </c>
      <c r="E18" s="112" t="s">
        <v>168</v>
      </c>
      <c r="G18" s="112" t="s">
        <v>173</v>
      </c>
      <c r="H18" s="112"/>
      <c r="I18" s="112" t="s">
        <v>173</v>
      </c>
      <c r="K18" s="112" t="s">
        <v>164</v>
      </c>
      <c r="L18" s="112"/>
      <c r="M18" s="112" t="s">
        <v>164</v>
      </c>
      <c r="Q18" s="112" t="s">
        <v>168</v>
      </c>
      <c r="Y18" s="112" t="s">
        <v>174</v>
      </c>
    </row>
    <row r="19" spans="1:25">
      <c r="G19" s="112"/>
      <c r="I19" s="112"/>
      <c r="K19" s="112" t="s">
        <v>168</v>
      </c>
      <c r="L19" s="112"/>
      <c r="M19" s="112" t="s">
        <v>168</v>
      </c>
      <c r="Y19" s="112" t="s">
        <v>175</v>
      </c>
    </row>
    <row r="20" spans="1:25">
      <c r="E20" s="112" t="s">
        <v>176</v>
      </c>
      <c r="F20" s="112"/>
      <c r="L20" s="112"/>
      <c r="M20" s="112" t="s">
        <v>177</v>
      </c>
      <c r="Q20" s="105" t="s">
        <v>178</v>
      </c>
      <c r="W20" s="112" t="s">
        <v>179</v>
      </c>
      <c r="Y20" s="112" t="s">
        <v>180</v>
      </c>
    </row>
    <row r="21" spans="1:25">
      <c r="C21" s="112" t="s">
        <v>181</v>
      </c>
      <c r="D21" s="112"/>
      <c r="E21" s="112" t="s">
        <v>182</v>
      </c>
      <c r="F21" s="112"/>
      <c r="G21" s="112" t="s">
        <v>183</v>
      </c>
      <c r="H21" s="112"/>
      <c r="I21" s="112" t="s">
        <v>184</v>
      </c>
      <c r="J21" s="112"/>
      <c r="K21" s="112" t="s">
        <v>185</v>
      </c>
      <c r="L21" s="112"/>
      <c r="M21" s="112" t="s">
        <v>186</v>
      </c>
      <c r="N21" s="112"/>
      <c r="O21" s="112" t="s">
        <v>187</v>
      </c>
      <c r="P21" s="112"/>
      <c r="Q21" s="112" t="s">
        <v>188</v>
      </c>
      <c r="R21" s="112"/>
      <c r="S21" s="104" t="str">
        <f>LOWER("I")</f>
        <v>i</v>
      </c>
      <c r="T21" s="112"/>
      <c r="U21" s="112" t="s">
        <v>189</v>
      </c>
      <c r="V21" s="112"/>
      <c r="W21" s="112" t="s">
        <v>190</v>
      </c>
      <c r="X21" s="112"/>
      <c r="Y21" s="112" t="s">
        <v>191</v>
      </c>
    </row>
    <row r="22" spans="1:25">
      <c r="O22" s="94"/>
    </row>
    <row r="23" spans="1:25">
      <c r="A23" s="91" t="s">
        <v>192</v>
      </c>
      <c r="C23" s="106">
        <v>7.4999999999999997E-2</v>
      </c>
      <c r="D23" s="107"/>
      <c r="E23" s="108">
        <f>$W$12*C23</f>
        <v>0.80025000000000002</v>
      </c>
      <c r="G23" s="109"/>
      <c r="I23" s="109"/>
      <c r="K23" s="109"/>
      <c r="M23" s="108">
        <f>E23+G23</f>
        <v>0.80025000000000002</v>
      </c>
      <c r="O23" s="96">
        <f>'Enter Data Elements (2)'!D14</f>
        <v>1</v>
      </c>
      <c r="Q23" s="108">
        <f>M23</f>
        <v>0.80025000000000002</v>
      </c>
      <c r="S23" s="108">
        <f>W11</f>
        <v>1.3426</v>
      </c>
      <c r="U23" s="110">
        <f>+'Master Budget Sheet'!Y13</f>
        <v>43151</v>
      </c>
      <c r="W23" s="111">
        <f>S23*U23</f>
        <v>57934.532599999999</v>
      </c>
      <c r="Y23" s="111">
        <f>Q23*W23</f>
        <v>46362.109713149999</v>
      </c>
    </row>
    <row r="24" spans="1:25">
      <c r="O24" s="94"/>
      <c r="Q24" s="105"/>
    </row>
    <row r="25" spans="1:25">
      <c r="A25" s="91" t="s">
        <v>193</v>
      </c>
      <c r="C25" s="106">
        <v>1.0209999999999999</v>
      </c>
      <c r="D25" s="107"/>
      <c r="E25" s="108">
        <f>$W$12*C25</f>
        <v>10.894069999999999</v>
      </c>
      <c r="G25" s="109"/>
      <c r="I25" s="109"/>
      <c r="K25" s="109"/>
      <c r="M25" s="108">
        <f>E25+G25+I25+K25</f>
        <v>10.894069999999999</v>
      </c>
      <c r="O25" s="96">
        <f>'Enter Data Elements (2)'!D15</f>
        <v>7.59</v>
      </c>
      <c r="Q25" s="108">
        <f>M25</f>
        <v>10.894069999999999</v>
      </c>
      <c r="S25" s="109"/>
      <c r="U25" s="109"/>
      <c r="W25" s="101">
        <f>'Enter Data Elements (2)'!D12</f>
        <v>56318.453227931488</v>
      </c>
      <c r="Y25" s="111">
        <f>Q25*W25</f>
        <v>613537.17175681156</v>
      </c>
    </row>
    <row r="26" spans="1:25" ht="12.75" customHeight="1">
      <c r="O26" s="94"/>
      <c r="Q26" s="105"/>
      <c r="S26" s="112"/>
    </row>
    <row r="27" spans="1:25">
      <c r="A27" s="91" t="s">
        <v>194</v>
      </c>
      <c r="C27" s="106">
        <v>7.9000000000000001E-2</v>
      </c>
      <c r="D27" s="107"/>
      <c r="E27" s="108">
        <f>$W$12*C27</f>
        <v>0.84292999999999996</v>
      </c>
      <c r="G27" s="109"/>
      <c r="I27" s="109"/>
      <c r="K27" s="109"/>
      <c r="M27" s="108">
        <f>E27+G27+I27+K27</f>
        <v>0.84292999999999996</v>
      </c>
      <c r="O27" s="96">
        <f>'Enter Data Elements (2)'!D16</f>
        <v>1</v>
      </c>
      <c r="Q27" s="108">
        <f>M27</f>
        <v>0.84292999999999996</v>
      </c>
      <c r="S27" s="109"/>
      <c r="U27" s="109"/>
      <c r="W27" s="101">
        <f>IF('Enter Data Elements (2)'!D13&gt;0,'Enter Data Elements (2)'!D13, W25)</f>
        <v>59414</v>
      </c>
      <c r="Y27" s="111">
        <f>Q27*W27</f>
        <v>50081.84302</v>
      </c>
    </row>
    <row r="28" spans="1:25" ht="12.75" customHeight="1">
      <c r="O28" s="94"/>
      <c r="Q28" s="105"/>
      <c r="S28" s="112"/>
    </row>
    <row r="29" spans="1:25">
      <c r="A29" s="91" t="s">
        <v>195</v>
      </c>
      <c r="C29" s="106">
        <v>0.375</v>
      </c>
      <c r="D29" s="107"/>
      <c r="E29" s="108">
        <f>$W$12*C29</f>
        <v>4.0012499999999998</v>
      </c>
      <c r="G29" s="109"/>
      <c r="I29" s="109"/>
      <c r="K29" s="109"/>
      <c r="M29" s="113">
        <f>E29</f>
        <v>4.0012499999999998</v>
      </c>
      <c r="O29" s="96">
        <f>'Enter Data Elements (2)'!D17</f>
        <v>7.25</v>
      </c>
      <c r="Q29" s="108">
        <f>M29</f>
        <v>4.0012499999999998</v>
      </c>
      <c r="S29" s="109"/>
      <c r="U29" s="110">
        <f>+'Master Budget Sheet'!Y15</f>
        <v>38802</v>
      </c>
      <c r="W29" s="109"/>
      <c r="Y29" s="109"/>
    </row>
    <row r="30" spans="1:25">
      <c r="O30" s="94"/>
    </row>
    <row r="31" spans="1:25">
      <c r="A31" s="91" t="s">
        <v>196</v>
      </c>
      <c r="M31" s="108">
        <f>M23+M25+M27+M29</f>
        <v>16.538499999999999</v>
      </c>
      <c r="O31" s="108">
        <f>O23+O25+O27+O29</f>
        <v>16.84</v>
      </c>
      <c r="Q31" s="108">
        <f>Q23+Q25+Q27+Q29</f>
        <v>16.538499999999999</v>
      </c>
    </row>
    <row r="36" spans="1:27">
      <c r="C36" s="112" t="s">
        <v>195</v>
      </c>
      <c r="G36" s="112" t="s">
        <v>171</v>
      </c>
      <c r="I36" s="112" t="s">
        <v>160</v>
      </c>
      <c r="K36" s="112" t="s">
        <v>174</v>
      </c>
      <c r="M36" s="114" t="s">
        <v>197</v>
      </c>
      <c r="O36" s="112" t="s">
        <v>198</v>
      </c>
      <c r="Q36" s="112" t="s">
        <v>199</v>
      </c>
      <c r="S36" s="112" t="s">
        <v>174</v>
      </c>
      <c r="U36" s="112" t="s">
        <v>200</v>
      </c>
      <c r="W36" s="114" t="s">
        <v>174</v>
      </c>
    </row>
    <row r="37" spans="1:27">
      <c r="C37" s="112" t="s">
        <v>171</v>
      </c>
      <c r="G37" s="112" t="s">
        <v>174</v>
      </c>
      <c r="I37" s="112" t="s">
        <v>170</v>
      </c>
      <c r="K37" s="112" t="s">
        <v>175</v>
      </c>
      <c r="M37" s="115" t="s">
        <v>175</v>
      </c>
      <c r="O37" s="112" t="s">
        <v>164</v>
      </c>
      <c r="Q37" s="112" t="s">
        <v>164</v>
      </c>
      <c r="S37" s="112" t="s">
        <v>175</v>
      </c>
      <c r="U37" s="112" t="s">
        <v>170</v>
      </c>
      <c r="W37" s="115" t="s">
        <v>175</v>
      </c>
    </row>
    <row r="38" spans="1:27">
      <c r="C38" s="112" t="s">
        <v>174</v>
      </c>
      <c r="G38" s="112" t="s">
        <v>175</v>
      </c>
      <c r="K38" s="112" t="s">
        <v>201</v>
      </c>
      <c r="M38" s="116"/>
      <c r="S38" s="112" t="s">
        <v>202</v>
      </c>
      <c r="U38" s="112" t="s">
        <v>175</v>
      </c>
      <c r="W38" s="117"/>
    </row>
    <row r="39" spans="1:27">
      <c r="C39" s="112" t="s">
        <v>175</v>
      </c>
      <c r="G39" s="112"/>
      <c r="K39" s="112" t="s">
        <v>203</v>
      </c>
      <c r="M39" s="116"/>
      <c r="S39" s="118"/>
      <c r="U39" s="105"/>
      <c r="W39" s="117"/>
    </row>
    <row r="40" spans="1:27">
      <c r="C40" s="112" t="s">
        <v>204</v>
      </c>
      <c r="G40" s="112" t="s">
        <v>359</v>
      </c>
      <c r="K40" s="91" t="s">
        <v>358</v>
      </c>
      <c r="M40" s="115" t="s">
        <v>455</v>
      </c>
      <c r="O40" s="112" t="s">
        <v>205</v>
      </c>
      <c r="S40" s="112"/>
      <c r="U40" s="112"/>
      <c r="W40" s="117" t="s">
        <v>357</v>
      </c>
    </row>
    <row r="41" spans="1:27">
      <c r="C41" s="112" t="s">
        <v>206</v>
      </c>
      <c r="G41" s="112" t="s">
        <v>207</v>
      </c>
      <c r="I41" s="112" t="s">
        <v>208</v>
      </c>
      <c r="K41" s="112" t="s">
        <v>356</v>
      </c>
      <c r="M41" s="115" t="s">
        <v>209</v>
      </c>
      <c r="O41" s="112" t="s">
        <v>210</v>
      </c>
      <c r="Q41" s="112" t="s">
        <v>211</v>
      </c>
      <c r="S41" s="112" t="s">
        <v>212</v>
      </c>
      <c r="U41" s="112" t="s">
        <v>213</v>
      </c>
      <c r="W41" s="115" t="s">
        <v>214</v>
      </c>
      <c r="AA41" s="112"/>
    </row>
    <row r="42" spans="1:27">
      <c r="F42" s="94"/>
      <c r="G42" s="94"/>
      <c r="H42" s="94"/>
      <c r="I42" s="94"/>
      <c r="M42" s="116"/>
      <c r="U42" s="112"/>
      <c r="W42" s="115"/>
    </row>
    <row r="43" spans="1:27">
      <c r="A43" s="91" t="s">
        <v>192</v>
      </c>
      <c r="C43" s="109"/>
      <c r="F43" s="94"/>
      <c r="G43" s="119">
        <f>Y23</f>
        <v>46362.109713149999</v>
      </c>
      <c r="H43" s="94"/>
      <c r="I43" s="101">
        <f>'Enter Data Elements (2)'!D18</f>
        <v>146346</v>
      </c>
      <c r="K43" s="120"/>
      <c r="M43" s="121">
        <f>IF($G$51&gt;$I$51,ROUND(G43/$G$51*$M$51,2),ROUND(I43/$I$51*$M$51,2))</f>
        <v>8840.07</v>
      </c>
      <c r="O43" s="122"/>
      <c r="Q43" s="122"/>
      <c r="S43" s="122"/>
      <c r="U43" s="122"/>
      <c r="V43" s="123"/>
      <c r="W43" s="124">
        <f>G43</f>
        <v>46362.109713149999</v>
      </c>
      <c r="AA43" s="111"/>
    </row>
    <row r="44" spans="1:27">
      <c r="F44" s="94"/>
      <c r="G44" s="94"/>
      <c r="H44" s="94"/>
      <c r="I44" s="125"/>
      <c r="M44" s="116"/>
      <c r="S44" s="112"/>
      <c r="U44" s="105"/>
      <c r="W44" s="117"/>
    </row>
    <row r="45" spans="1:27">
      <c r="A45" s="91" t="s">
        <v>193</v>
      </c>
      <c r="C45" s="109"/>
      <c r="F45" s="118"/>
      <c r="G45" s="119">
        <f>Y25</f>
        <v>613537.17175681156</v>
      </c>
      <c r="H45" s="94"/>
      <c r="I45" s="101">
        <f>'Enter Data Elements (2)'!D19</f>
        <v>465554.99129999999</v>
      </c>
      <c r="K45" s="120"/>
      <c r="M45" s="121">
        <f>IF($G$51&gt;$I$51,ROUND(G45/$G$51*$M$51,2),ROUND(I45/$I$51*$M$51,2))</f>
        <v>116985.89</v>
      </c>
      <c r="O45" s="122"/>
      <c r="Q45" s="122"/>
      <c r="S45" s="122"/>
      <c r="U45" s="122"/>
      <c r="W45" s="124">
        <f>G45</f>
        <v>613537.17175681156</v>
      </c>
      <c r="AA45" s="111"/>
    </row>
    <row r="46" spans="1:27">
      <c r="F46" s="118"/>
      <c r="G46" s="119" t="s">
        <v>235</v>
      </c>
      <c r="H46" s="94"/>
      <c r="I46" s="125"/>
      <c r="M46" s="116"/>
      <c r="S46" s="112"/>
      <c r="U46" s="105"/>
      <c r="W46" s="117"/>
    </row>
    <row r="47" spans="1:27">
      <c r="A47" s="91" t="s">
        <v>194</v>
      </c>
      <c r="C47" s="109"/>
      <c r="F47" s="94"/>
      <c r="G47" s="119">
        <f>Y27</f>
        <v>50081.84302</v>
      </c>
      <c r="H47" s="94"/>
      <c r="I47" s="101">
        <f>'Enter Data Elements (2)'!D20</f>
        <v>61475</v>
      </c>
      <c r="K47" s="120"/>
      <c r="M47" s="121">
        <f>IF($G$51&gt;$I$51,ROUND(G47/$G$51*$M$51,2),ROUND(I47/$I$51*$M$51,2))</f>
        <v>9549.33</v>
      </c>
      <c r="O47" s="122"/>
      <c r="Q47" s="122"/>
      <c r="S47" s="122"/>
      <c r="U47" s="122"/>
      <c r="W47" s="124">
        <f>G47</f>
        <v>50081.84302</v>
      </c>
    </row>
    <row r="48" spans="1:27">
      <c r="F48" s="94"/>
      <c r="G48" s="94"/>
      <c r="H48" s="94"/>
      <c r="I48" s="125"/>
      <c r="M48" s="116"/>
      <c r="S48" s="112"/>
      <c r="U48" s="105"/>
      <c r="W48" s="117"/>
    </row>
    <row r="49" spans="1:27">
      <c r="A49" s="91" t="s">
        <v>195</v>
      </c>
      <c r="C49" s="111">
        <f>Q29*U29</f>
        <v>155256.5025</v>
      </c>
      <c r="F49" s="118"/>
      <c r="G49" s="119">
        <f>C49</f>
        <v>155256.5025</v>
      </c>
      <c r="H49" s="94"/>
      <c r="I49" s="101">
        <f>'Enter Data Elements (2)'!D21</f>
        <v>168782</v>
      </c>
      <c r="K49" s="120"/>
      <c r="M49" s="121">
        <f>IF($G$51&gt;$I$51,ROUND(G49/$G$51*$M$51,2),ROUND(I49/$I$51*$M$51,2))</f>
        <v>29603.46</v>
      </c>
      <c r="O49" s="122"/>
      <c r="Q49" s="122"/>
      <c r="S49" s="122"/>
      <c r="U49" s="122"/>
      <c r="W49" s="124">
        <f>G49</f>
        <v>155256.5025</v>
      </c>
      <c r="AA49" s="111"/>
    </row>
    <row r="50" spans="1:27">
      <c r="I50" s="105"/>
      <c r="K50" s="126">
        <f>SUM(K43:K49)</f>
        <v>0</v>
      </c>
      <c r="M50" s="116"/>
      <c r="S50" s="112"/>
      <c r="U50" s="105"/>
      <c r="W50" s="117"/>
    </row>
    <row r="51" spans="1:27">
      <c r="A51" s="91" t="s">
        <v>196</v>
      </c>
      <c r="G51" s="111">
        <f>G43+G45+G47+G49</f>
        <v>865237.6269899616</v>
      </c>
      <c r="I51" s="111">
        <f>I43+I45+I47+I49</f>
        <v>842157.99129999999</v>
      </c>
      <c r="K51" s="111">
        <f>MIN(G51,I51)</f>
        <v>842157.99129999999</v>
      </c>
      <c r="M51" s="127">
        <f>ROUND(K51*$I$12,2)</f>
        <v>164978.75</v>
      </c>
      <c r="O51" s="111"/>
      <c r="Q51" s="111"/>
      <c r="W51" s="127">
        <f>W43+W45+W47+W49</f>
        <v>865237.6269899616</v>
      </c>
    </row>
    <row r="53" spans="1:27">
      <c r="I53" s="111"/>
    </row>
  </sheetData>
  <mergeCells count="5">
    <mergeCell ref="A1:Y1"/>
    <mergeCell ref="A2:Y2"/>
    <mergeCell ref="A3:Y3"/>
    <mergeCell ref="A4:Y4"/>
    <mergeCell ref="G16:I16"/>
  </mergeCells>
  <pageMargins left="0.25" right="0.25" top="0.75" bottom="0.75" header="0.3" footer="0.3"/>
  <pageSetup scale="68" orientation="landscape" horizontalDpi="1800" verticalDpi="1800"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72"/>
  <dimension ref="A1:J127"/>
  <sheetViews>
    <sheetView workbookViewId="0">
      <selection activeCell="B38" sqref="B38"/>
    </sheetView>
  </sheetViews>
  <sheetFormatPr defaultColWidth="10.44140625" defaultRowHeight="10.95" customHeight="1"/>
  <cols>
    <col min="1" max="1" width="10.44140625" style="139" customWidth="1"/>
    <col min="2" max="5" width="9.21875" style="139" customWidth="1"/>
    <col min="6" max="6" width="10.5546875" style="139" customWidth="1"/>
    <col min="7" max="8" width="9.21875" style="139" customWidth="1"/>
    <col min="9" max="9" width="8.77734375" style="129" customWidth="1"/>
    <col min="10" max="16384" width="10.44140625" style="139"/>
  </cols>
  <sheetData>
    <row r="1" spans="1:8" ht="10.95" customHeight="1">
      <c r="A1" s="128"/>
      <c r="B1" s="128"/>
      <c r="C1" s="128"/>
      <c r="D1" s="128"/>
      <c r="E1" s="128"/>
      <c r="F1" s="128"/>
      <c r="G1" s="128"/>
      <c r="H1" s="128"/>
    </row>
    <row r="2" spans="1:8" ht="10.95" customHeight="1">
      <c r="A2" s="130" t="s">
        <v>361</v>
      </c>
      <c r="B2" s="128"/>
      <c r="C2" s="128"/>
      <c r="D2" s="128"/>
      <c r="E2" s="128"/>
      <c r="F2" s="128"/>
      <c r="G2" s="128"/>
      <c r="H2" s="128"/>
    </row>
    <row r="3" spans="1:8" ht="10.95" customHeight="1">
      <c r="A3" s="130"/>
      <c r="B3" s="128"/>
      <c r="C3" s="128"/>
      <c r="D3" s="128"/>
      <c r="E3" s="128"/>
      <c r="F3" s="128"/>
      <c r="G3" s="128"/>
      <c r="H3" s="128"/>
    </row>
    <row r="4" spans="1:8" ht="10.95" customHeight="1">
      <c r="A4" s="131"/>
      <c r="B4" s="132"/>
      <c r="C4" s="132"/>
      <c r="D4" s="132"/>
      <c r="E4" s="133" t="s">
        <v>215</v>
      </c>
      <c r="F4" s="133" t="s">
        <v>216</v>
      </c>
      <c r="G4" s="133" t="s">
        <v>217</v>
      </c>
      <c r="H4" s="133" t="s">
        <v>218</v>
      </c>
    </row>
    <row r="5" spans="1:8" ht="10.95" customHeight="1">
      <c r="A5" s="134" t="s">
        <v>219</v>
      </c>
      <c r="B5" s="134" t="s">
        <v>220</v>
      </c>
      <c r="C5" s="134" t="s">
        <v>221</v>
      </c>
      <c r="D5" s="134" t="s">
        <v>222</v>
      </c>
      <c r="E5" s="133" t="s">
        <v>223</v>
      </c>
      <c r="F5" s="133" t="s">
        <v>224</v>
      </c>
      <c r="G5" s="133" t="s">
        <v>225</v>
      </c>
      <c r="H5" s="133" t="s">
        <v>226</v>
      </c>
    </row>
    <row r="6" spans="1:8" ht="10.95" customHeight="1">
      <c r="A6" s="133">
        <v>0</v>
      </c>
      <c r="B6" s="135">
        <v>1</v>
      </c>
      <c r="C6" s="135">
        <v>1.0375000000000001</v>
      </c>
      <c r="D6" s="135">
        <v>1.0764</v>
      </c>
      <c r="E6" s="135">
        <v>1.1168</v>
      </c>
      <c r="F6" s="135">
        <v>1.1587000000000001</v>
      </c>
      <c r="G6" s="135">
        <v>1.2021999999999999</v>
      </c>
      <c r="H6" s="135">
        <v>1.2473000000000001</v>
      </c>
    </row>
    <row r="7" spans="1:8" ht="10.95" customHeight="1">
      <c r="A7" s="133">
        <v>1</v>
      </c>
      <c r="B7" s="135">
        <v>1.0375000000000001</v>
      </c>
      <c r="C7" s="135">
        <v>1.0764</v>
      </c>
      <c r="D7" s="135">
        <v>1.1168</v>
      </c>
      <c r="E7" s="135">
        <v>1.1587000000000001</v>
      </c>
      <c r="F7" s="135">
        <v>1.2021999999999999</v>
      </c>
      <c r="G7" s="135">
        <v>1.2473000000000001</v>
      </c>
      <c r="H7" s="135">
        <v>1.2941</v>
      </c>
    </row>
    <row r="8" spans="1:8" ht="10.95" customHeight="1">
      <c r="A8" s="133">
        <v>2</v>
      </c>
      <c r="B8" s="135">
        <v>1.0764</v>
      </c>
      <c r="C8" s="135">
        <v>1.1168</v>
      </c>
      <c r="D8" s="135">
        <v>1.1587000000000001</v>
      </c>
      <c r="E8" s="135">
        <v>1.2021999999999999</v>
      </c>
      <c r="F8" s="135">
        <v>1.2473000000000001</v>
      </c>
      <c r="G8" s="135">
        <v>1.2941</v>
      </c>
      <c r="H8" s="135">
        <v>1.3426</v>
      </c>
    </row>
    <row r="9" spans="1:8" ht="10.95" customHeight="1">
      <c r="A9" s="133">
        <v>3</v>
      </c>
      <c r="B9" s="135">
        <v>1.1168</v>
      </c>
      <c r="C9" s="135">
        <v>1.1587000000000001</v>
      </c>
      <c r="D9" s="135">
        <v>1.2021999999999999</v>
      </c>
      <c r="E9" s="135">
        <v>1.2473000000000001</v>
      </c>
      <c r="F9" s="135">
        <v>1.2941</v>
      </c>
      <c r="G9" s="135">
        <v>1.3426</v>
      </c>
      <c r="H9" s="135">
        <v>1.3929</v>
      </c>
    </row>
    <row r="10" spans="1:8" ht="10.95" customHeight="1">
      <c r="A10" s="133">
        <v>4</v>
      </c>
      <c r="B10" s="135">
        <v>1.1587000000000001</v>
      </c>
      <c r="C10" s="135">
        <v>1.2021999999999999</v>
      </c>
      <c r="D10" s="135">
        <v>1.2473000000000001</v>
      </c>
      <c r="E10" s="135">
        <v>1.2941</v>
      </c>
      <c r="F10" s="135">
        <v>1.3426</v>
      </c>
      <c r="G10" s="135">
        <v>1.3929</v>
      </c>
      <c r="H10" s="135">
        <v>1.4451000000000001</v>
      </c>
    </row>
    <row r="11" spans="1:8" ht="10.95" customHeight="1">
      <c r="A11" s="133">
        <v>5</v>
      </c>
      <c r="B11" s="135">
        <v>1.2021999999999999</v>
      </c>
      <c r="C11" s="135">
        <v>1.2473000000000001</v>
      </c>
      <c r="D11" s="135">
        <v>1.2941</v>
      </c>
      <c r="E11" s="135">
        <v>1.3426</v>
      </c>
      <c r="F11" s="135">
        <v>1.3929</v>
      </c>
      <c r="G11" s="135">
        <v>1.4451000000000001</v>
      </c>
      <c r="H11" s="135">
        <v>1.4993000000000001</v>
      </c>
    </row>
    <row r="12" spans="1:8" ht="10.95" customHeight="1">
      <c r="A12" s="133">
        <v>6</v>
      </c>
      <c r="B12" s="135">
        <v>1.2473000000000001</v>
      </c>
      <c r="C12" s="135">
        <v>1.2941</v>
      </c>
      <c r="D12" s="135">
        <v>1.3426</v>
      </c>
      <c r="E12" s="135">
        <v>1.3929</v>
      </c>
      <c r="F12" s="135">
        <v>1.4451000000000001</v>
      </c>
      <c r="G12" s="135">
        <v>1.4993000000000001</v>
      </c>
      <c r="H12" s="135">
        <v>1.5555000000000001</v>
      </c>
    </row>
    <row r="13" spans="1:8" ht="10.95" customHeight="1">
      <c r="A13" s="133">
        <v>7</v>
      </c>
      <c r="B13" s="135">
        <v>1.2941</v>
      </c>
      <c r="C13" s="135">
        <v>1.3426</v>
      </c>
      <c r="D13" s="135">
        <v>1.3929</v>
      </c>
      <c r="E13" s="135">
        <v>1.4451000000000001</v>
      </c>
      <c r="F13" s="135">
        <v>1.4993000000000001</v>
      </c>
      <c r="G13" s="135">
        <v>1.5555000000000001</v>
      </c>
      <c r="H13" s="135">
        <v>1.6137999999999999</v>
      </c>
    </row>
    <row r="14" spans="1:8" ht="10.95" customHeight="1">
      <c r="A14" s="133">
        <v>8</v>
      </c>
      <c r="B14" s="135">
        <v>1.3426</v>
      </c>
      <c r="C14" s="135">
        <v>1.3929</v>
      </c>
      <c r="D14" s="135">
        <v>1.4451000000000001</v>
      </c>
      <c r="E14" s="135">
        <v>1.4993000000000001</v>
      </c>
      <c r="F14" s="135">
        <v>1.5555000000000001</v>
      </c>
      <c r="G14" s="135">
        <v>1.6137999999999999</v>
      </c>
      <c r="H14" s="135">
        <v>1.6742999999999999</v>
      </c>
    </row>
    <row r="15" spans="1:8" ht="10.95" customHeight="1">
      <c r="A15" s="133">
        <v>9</v>
      </c>
      <c r="B15" s="135">
        <v>1.3929</v>
      </c>
      <c r="C15" s="135">
        <v>1.4451000000000001</v>
      </c>
      <c r="D15" s="135">
        <v>1.4993000000000001</v>
      </c>
      <c r="E15" s="135">
        <v>1.5555000000000001</v>
      </c>
      <c r="F15" s="135">
        <v>1.6137999999999999</v>
      </c>
      <c r="G15" s="135">
        <v>1.6742999999999999</v>
      </c>
      <c r="H15" s="135">
        <v>1.7371000000000001</v>
      </c>
    </row>
    <row r="16" spans="1:8" ht="10.95" customHeight="1">
      <c r="A16" s="133">
        <v>10</v>
      </c>
      <c r="B16" s="135">
        <v>1.3929</v>
      </c>
      <c r="C16" s="135">
        <v>1.4993000000000001</v>
      </c>
      <c r="D16" s="135">
        <v>1.5555000000000001</v>
      </c>
      <c r="E16" s="135">
        <v>1.6137999999999999</v>
      </c>
      <c r="F16" s="135">
        <v>1.6742999999999999</v>
      </c>
      <c r="G16" s="135">
        <v>1.7371000000000001</v>
      </c>
      <c r="H16" s="135">
        <v>1.8022</v>
      </c>
    </row>
    <row r="17" spans="1:8" ht="10.95" customHeight="1">
      <c r="A17" s="133">
        <v>11</v>
      </c>
      <c r="B17" s="135">
        <v>1.3929</v>
      </c>
      <c r="C17" s="135">
        <v>1.4993000000000001</v>
      </c>
      <c r="D17" s="135">
        <v>1.5555000000000001</v>
      </c>
      <c r="E17" s="135">
        <v>1.6137999999999999</v>
      </c>
      <c r="F17" s="135">
        <v>1.7371000000000001</v>
      </c>
      <c r="G17" s="135">
        <v>1.8022</v>
      </c>
      <c r="H17" s="135">
        <v>1.8697999999999999</v>
      </c>
    </row>
    <row r="18" spans="1:8" ht="10.95" customHeight="1">
      <c r="A18" s="133">
        <v>12</v>
      </c>
      <c r="B18" s="135">
        <v>1.3929</v>
      </c>
      <c r="C18" s="135">
        <v>1.4993000000000001</v>
      </c>
      <c r="D18" s="135">
        <v>1.5555000000000001</v>
      </c>
      <c r="E18" s="135">
        <v>1.6137999999999999</v>
      </c>
      <c r="F18" s="135">
        <v>1.7371000000000001</v>
      </c>
      <c r="G18" s="135">
        <v>1.8697999999999999</v>
      </c>
      <c r="H18" s="135">
        <v>1.9399</v>
      </c>
    </row>
    <row r="19" spans="1:8" ht="10.95" customHeight="1">
      <c r="A19" s="133" t="s">
        <v>227</v>
      </c>
      <c r="B19" s="135">
        <v>1.3929</v>
      </c>
      <c r="C19" s="135">
        <v>1.4993000000000001</v>
      </c>
      <c r="D19" s="135">
        <v>1.5555000000000001</v>
      </c>
      <c r="E19" s="135">
        <v>1.6137999999999999</v>
      </c>
      <c r="F19" s="135">
        <v>1.7371000000000001</v>
      </c>
      <c r="G19" s="135">
        <v>1.8697999999999999</v>
      </c>
      <c r="H19" s="135">
        <v>2.0125999999999999</v>
      </c>
    </row>
    <row r="20" spans="1:8" ht="10.95" customHeight="1">
      <c r="A20" s="136"/>
      <c r="B20" s="137"/>
      <c r="C20" s="137"/>
      <c r="D20" s="137"/>
      <c r="E20" s="137"/>
      <c r="F20" s="137"/>
      <c r="G20" s="137"/>
      <c r="H20" s="137"/>
    </row>
    <row r="21" spans="1:8" ht="10.95" customHeight="1">
      <c r="A21" s="136"/>
      <c r="B21" s="129"/>
      <c r="C21" s="129"/>
      <c r="D21" s="129"/>
      <c r="E21" s="129"/>
      <c r="F21" s="129"/>
      <c r="G21" s="129"/>
      <c r="H21" s="129"/>
    </row>
    <row r="22" spans="1:8" ht="10.95" customHeight="1">
      <c r="A22" s="128" t="s">
        <v>228</v>
      </c>
      <c r="B22" s="128"/>
      <c r="C22" s="128"/>
      <c r="D22" s="128"/>
      <c r="E22" s="128"/>
      <c r="F22" s="128"/>
      <c r="G22" s="128"/>
      <c r="H22" s="128"/>
    </row>
    <row r="23" spans="1:8" ht="10.95" customHeight="1">
      <c r="A23" s="131"/>
      <c r="B23" s="132"/>
      <c r="C23" s="132"/>
      <c r="D23" s="132"/>
      <c r="E23" s="133" t="s">
        <v>215</v>
      </c>
      <c r="F23" s="133" t="s">
        <v>216</v>
      </c>
      <c r="G23" s="133" t="s">
        <v>217</v>
      </c>
      <c r="H23" s="133" t="s">
        <v>218</v>
      </c>
    </row>
    <row r="24" spans="1:8" ht="10.95" customHeight="1">
      <c r="A24" s="134" t="s">
        <v>219</v>
      </c>
      <c r="B24" s="134" t="s">
        <v>220</v>
      </c>
      <c r="C24" s="134" t="s">
        <v>221</v>
      </c>
      <c r="D24" s="134" t="s">
        <v>222</v>
      </c>
      <c r="E24" s="133" t="s">
        <v>336</v>
      </c>
      <c r="F24" s="133" t="s">
        <v>337</v>
      </c>
      <c r="G24" s="133" t="s">
        <v>339</v>
      </c>
      <c r="H24" s="133" t="s">
        <v>338</v>
      </c>
    </row>
    <row r="25" spans="1:8" ht="10.95" customHeight="1">
      <c r="A25" s="133">
        <v>0</v>
      </c>
      <c r="B25" s="138">
        <f>SUMIFS('Master Budget Sheet'!$X$87:$X$87,'Master Budget Sheet'!$F$87:$F$87,B$24,'Master Budget Sheet'!$E$87:$E$87,$A25)</f>
        <v>0</v>
      </c>
      <c r="C25" s="138">
        <f>SUMIFS('Master Budget Sheet'!$X$87:$X$87,'Master Budget Sheet'!$F$87:$F$87,C$24,'Master Budget Sheet'!$E$87:$E$87,$A25)</f>
        <v>0</v>
      </c>
      <c r="D25" s="138">
        <f>SUMIFS('Master Budget Sheet'!$X$87:$X$87,'Master Budget Sheet'!$F$87:$F$87,D$24,'Master Budget Sheet'!$E$87:$E$87,$A25)</f>
        <v>0</v>
      </c>
      <c r="E25" s="138">
        <f>SUMIFS('Master Budget Sheet'!$X$87:$X$87,'Master Budget Sheet'!$F$87:$F$87,E$24,'Master Budget Sheet'!$E$87:$E$87,$A25)</f>
        <v>0</v>
      </c>
      <c r="F25" s="138">
        <f>SUMIFS('Master Budget Sheet'!$X$87:$X$87,'Master Budget Sheet'!$F$87:$F$87,F$24,'Master Budget Sheet'!$E$87:$E$87,$A25)</f>
        <v>0</v>
      </c>
      <c r="G25" s="138">
        <f>SUMIFS('Master Budget Sheet'!$X$87:$X$87,'Master Budget Sheet'!$F$87:$F$87,G$24,'Master Budget Sheet'!$E$87:$E$87,$A25)</f>
        <v>0</v>
      </c>
      <c r="H25" s="138">
        <f>SUMIFS('Master Budget Sheet'!$X$87:$X$87,'Master Budget Sheet'!$F$87:$F$87,H$24,'Master Budget Sheet'!$E$87:$E$87,$A25)</f>
        <v>0</v>
      </c>
    </row>
    <row r="26" spans="1:8" ht="10.95" customHeight="1">
      <c r="A26" s="133">
        <v>1</v>
      </c>
      <c r="B26" s="138">
        <f>SUMIFS('Master Budget Sheet'!$X$87:$X$87,'Master Budget Sheet'!$F$87:$F$87,B$24,'Master Budget Sheet'!$E$87:$E$87,$A26)</f>
        <v>0</v>
      </c>
      <c r="C26" s="138">
        <f>SUMIFS('Master Budget Sheet'!$X$87:$X$87,'Master Budget Sheet'!$F$87:$F$87,C$24,'Master Budget Sheet'!$E$87:$E$87,$A26)</f>
        <v>0</v>
      </c>
      <c r="D26" s="138">
        <f>SUMIFS('Master Budget Sheet'!$X$87:$X$87,'Master Budget Sheet'!$F$87:$F$87,D$24,'Master Budget Sheet'!$E$87:$E$87,$A26)</f>
        <v>0</v>
      </c>
      <c r="E26" s="138">
        <f>SUMIFS('Master Budget Sheet'!$X$87:$X$87,'Master Budget Sheet'!$F$87:$F$87,E$24,'Master Budget Sheet'!$E$87:$E$87,$A26)</f>
        <v>0</v>
      </c>
      <c r="F26" s="138">
        <f>SUMIFS('Master Budget Sheet'!$X$87:$X$87,'Master Budget Sheet'!$F$87:$F$87,F$24,'Master Budget Sheet'!$E$87:$E$87,$A26)</f>
        <v>0</v>
      </c>
      <c r="G26" s="138">
        <f>SUMIFS('Master Budget Sheet'!$X$87:$X$87,'Master Budget Sheet'!$F$87:$F$87,G$24,'Master Budget Sheet'!$E$87:$E$87,$A26)</f>
        <v>0</v>
      </c>
      <c r="H26" s="138">
        <f>SUMIFS('Master Budget Sheet'!$X$87:$X$87,'Master Budget Sheet'!$F$87:$F$87,H$24,'Master Budget Sheet'!$E$87:$E$87,$A26)</f>
        <v>0</v>
      </c>
    </row>
    <row r="27" spans="1:8" ht="10.95" customHeight="1">
      <c r="A27" s="133">
        <v>2</v>
      </c>
      <c r="B27" s="138">
        <f>SUMIFS('Master Budget Sheet'!$X$87:$X$87,'Master Budget Sheet'!$F$87:$F$87,B$24,'Master Budget Sheet'!$E$87:$E$87,$A27)</f>
        <v>0</v>
      </c>
      <c r="C27" s="138">
        <f>SUMIFS('Master Budget Sheet'!$X$87:$X$87,'Master Budget Sheet'!$F$87:$F$87,C$24,'Master Budget Sheet'!$E$87:$E$87,$A27)</f>
        <v>0</v>
      </c>
      <c r="D27" s="138">
        <f>SUMIFS('Master Budget Sheet'!$X$87:$X$87,'Master Budget Sheet'!$F$87:$F$87,D$24,'Master Budget Sheet'!$E$87:$E$87,$A27)</f>
        <v>0</v>
      </c>
      <c r="E27" s="138">
        <f>SUMIFS('Master Budget Sheet'!$X$87:$X$87,'Master Budget Sheet'!$F$87:$F$87,E$24,'Master Budget Sheet'!$E$87:$E$87,$A27)</f>
        <v>0</v>
      </c>
      <c r="F27" s="138">
        <f>SUMIFS('Master Budget Sheet'!$X$87:$X$87,'Master Budget Sheet'!$F$87:$F$87,F$24,'Master Budget Sheet'!$E$87:$E$87,$A27)</f>
        <v>0</v>
      </c>
      <c r="G27" s="138">
        <f>SUMIFS('Master Budget Sheet'!$X$87:$X$87,'Master Budget Sheet'!$F$87:$F$87,G$24,'Master Budget Sheet'!$E$87:$E$87,$A27)</f>
        <v>0</v>
      </c>
      <c r="H27" s="138">
        <f>SUMIFS('Master Budget Sheet'!$X$87:$X$87,'Master Budget Sheet'!$F$87:$F$87,H$24,'Master Budget Sheet'!$E$87:$E$87,$A27)</f>
        <v>1</v>
      </c>
    </row>
    <row r="28" spans="1:8" ht="10.95" customHeight="1">
      <c r="A28" s="133">
        <v>3</v>
      </c>
      <c r="B28" s="138">
        <f>SUMIFS('Master Budget Sheet'!$X$87:$X$87,'Master Budget Sheet'!$F$87:$F$87,B$24,'Master Budget Sheet'!$E$87:$E$87,$A28)</f>
        <v>0</v>
      </c>
      <c r="C28" s="138">
        <f>SUMIFS('Master Budget Sheet'!$X$87:$X$87,'Master Budget Sheet'!$F$87:$F$87,C$24,'Master Budget Sheet'!$E$87:$E$87,$A28)</f>
        <v>0</v>
      </c>
      <c r="D28" s="138">
        <f>SUMIFS('Master Budget Sheet'!$X$87:$X$87,'Master Budget Sheet'!$F$87:$F$87,D$24,'Master Budget Sheet'!$E$87:$E$87,$A28)</f>
        <v>0</v>
      </c>
      <c r="E28" s="138">
        <f>SUMIFS('Master Budget Sheet'!$X$87:$X$87,'Master Budget Sheet'!$F$87:$F$87,E$24,'Master Budget Sheet'!$E$87:$E$87,$A28)</f>
        <v>0</v>
      </c>
      <c r="F28" s="138">
        <f>SUMIFS('Master Budget Sheet'!$X$87:$X$87,'Master Budget Sheet'!$F$87:$F$87,F$24,'Master Budget Sheet'!$E$87:$E$87,$A28)</f>
        <v>0</v>
      </c>
      <c r="G28" s="138">
        <f>SUMIFS('Master Budget Sheet'!$X$87:$X$87,'Master Budget Sheet'!$F$87:$F$87,G$24,'Master Budget Sheet'!$E$87:$E$87,$A28)</f>
        <v>0</v>
      </c>
      <c r="H28" s="138">
        <f>SUMIFS('Master Budget Sheet'!$X$87:$X$87,'Master Budget Sheet'!$F$87:$F$87,H$24,'Master Budget Sheet'!$E$87:$E$87,$A28)</f>
        <v>0</v>
      </c>
    </row>
    <row r="29" spans="1:8" ht="10.95" customHeight="1">
      <c r="A29" s="133">
        <v>4</v>
      </c>
      <c r="B29" s="138">
        <f>SUMIFS('Master Budget Sheet'!$X$87:$X$87,'Master Budget Sheet'!$F$87:$F$87,B$24,'Master Budget Sheet'!$E$87:$E$87,$A29)</f>
        <v>0</v>
      </c>
      <c r="C29" s="138">
        <f>SUMIFS('Master Budget Sheet'!$X$87:$X$87,'Master Budget Sheet'!$F$87:$F$87,C$24,'Master Budget Sheet'!$E$87:$E$87,$A29)</f>
        <v>0</v>
      </c>
      <c r="D29" s="138">
        <f>SUMIFS('Master Budget Sheet'!$X$87:$X$87,'Master Budget Sheet'!$F$87:$F$87,D$24,'Master Budget Sheet'!$E$87:$E$87,$A29)</f>
        <v>0</v>
      </c>
      <c r="E29" s="138">
        <f>SUMIFS('Master Budget Sheet'!$X$87:$X$87,'Master Budget Sheet'!$F$87:$F$87,E$24,'Master Budget Sheet'!$E$87:$E$87,$A29)</f>
        <v>0</v>
      </c>
      <c r="F29" s="138">
        <f>SUMIFS('Master Budget Sheet'!$X$87:$X$87,'Master Budget Sheet'!$F$87:$F$87,F$24,'Master Budget Sheet'!$E$87:$E$87,$A29)</f>
        <v>0</v>
      </c>
      <c r="G29" s="138">
        <f>SUMIFS('Master Budget Sheet'!$X$87:$X$87,'Master Budget Sheet'!$F$87:$F$87,G$24,'Master Budget Sheet'!$E$87:$E$87,$A29)</f>
        <v>0</v>
      </c>
      <c r="H29" s="138">
        <f>SUMIFS('Master Budget Sheet'!$X$87:$X$87,'Master Budget Sheet'!$F$87:$F$87,H$24,'Master Budget Sheet'!$E$87:$E$87,$A29)</f>
        <v>0</v>
      </c>
    </row>
    <row r="30" spans="1:8" ht="10.95" customHeight="1">
      <c r="A30" s="133">
        <v>5</v>
      </c>
      <c r="B30" s="138">
        <f>SUMIFS('Master Budget Sheet'!$X$87:$X$87,'Master Budget Sheet'!$F$87:$F$87,B$24,'Master Budget Sheet'!$E$87:$E$87,$A30)</f>
        <v>0</v>
      </c>
      <c r="C30" s="138">
        <f>SUMIFS('Master Budget Sheet'!$X$87:$X$87,'Master Budget Sheet'!$F$87:$F$87,C$24,'Master Budget Sheet'!$E$87:$E$87,$A30)</f>
        <v>0</v>
      </c>
      <c r="D30" s="138">
        <f>SUMIFS('Master Budget Sheet'!$X$87:$X$87,'Master Budget Sheet'!$F$87:$F$87,D$24,'Master Budget Sheet'!$E$87:$E$87,$A30)</f>
        <v>0</v>
      </c>
      <c r="E30" s="138">
        <f>SUMIFS('Master Budget Sheet'!$X$87:$X$87,'Master Budget Sheet'!$F$87:$F$87,E$24,'Master Budget Sheet'!$E$87:$E$87,$A30)</f>
        <v>0</v>
      </c>
      <c r="F30" s="138">
        <f>SUMIFS('Master Budget Sheet'!$X$87:$X$87,'Master Budget Sheet'!$F$87:$F$87,F$24,'Master Budget Sheet'!$E$87:$E$87,$A30)</f>
        <v>0</v>
      </c>
      <c r="G30" s="138">
        <f>SUMIFS('Master Budget Sheet'!$X$87:$X$87,'Master Budget Sheet'!$F$87:$F$87,G$24,'Master Budget Sheet'!$E$87:$E$87,$A30)</f>
        <v>0</v>
      </c>
      <c r="H30" s="138">
        <f>SUMIFS('Master Budget Sheet'!$X$87:$X$87,'Master Budget Sheet'!$F$87:$F$87,H$24,'Master Budget Sheet'!$E$87:$E$87,$A30)</f>
        <v>0</v>
      </c>
    </row>
    <row r="31" spans="1:8" ht="10.95" customHeight="1">
      <c r="A31" s="133">
        <v>6</v>
      </c>
      <c r="B31" s="138">
        <f>SUMIFS('Master Budget Sheet'!$X$87:$X$87,'Master Budget Sheet'!$F$87:$F$87,B$24,'Master Budget Sheet'!$E$87:$E$87,$A31)</f>
        <v>0</v>
      </c>
      <c r="C31" s="138">
        <f>SUMIFS('Master Budget Sheet'!$X$87:$X$87,'Master Budget Sheet'!$F$87:$F$87,C$24,'Master Budget Sheet'!$E$87:$E$87,$A31)</f>
        <v>0</v>
      </c>
      <c r="D31" s="138">
        <f>SUMIFS('Master Budget Sheet'!$X$87:$X$87,'Master Budget Sheet'!$F$87:$F$87,D$24,'Master Budget Sheet'!$E$87:$E$87,$A31)</f>
        <v>0</v>
      </c>
      <c r="E31" s="138">
        <f>SUMIFS('Master Budget Sheet'!$X$87:$X$87,'Master Budget Sheet'!$F$87:$F$87,E$24,'Master Budget Sheet'!$E$87:$E$87,$A31)</f>
        <v>0</v>
      </c>
      <c r="F31" s="138">
        <f>SUMIFS('Master Budget Sheet'!$X$87:$X$87,'Master Budget Sheet'!$F$87:$F$87,F$24,'Master Budget Sheet'!$E$87:$E$87,$A31)</f>
        <v>0</v>
      </c>
      <c r="G31" s="138">
        <f>SUMIFS('Master Budget Sheet'!$X$87:$X$87,'Master Budget Sheet'!$F$87:$F$87,G$24,'Master Budget Sheet'!$E$87:$E$87,$A31)</f>
        <v>0</v>
      </c>
      <c r="H31" s="138">
        <f>SUMIFS('Master Budget Sheet'!$X$87:$X$87,'Master Budget Sheet'!$F$87:$F$87,H$24,'Master Budget Sheet'!$E$87:$E$87,$A31)</f>
        <v>0</v>
      </c>
    </row>
    <row r="32" spans="1:8" ht="10.95" customHeight="1">
      <c r="A32" s="133">
        <v>7</v>
      </c>
      <c r="B32" s="138">
        <f>SUMIFS('Master Budget Sheet'!$X$87:$X$87,'Master Budget Sheet'!$F$87:$F$87,B$24,'Master Budget Sheet'!$E$87:$E$87,$A32)</f>
        <v>0</v>
      </c>
      <c r="C32" s="138">
        <f>SUMIFS('Master Budget Sheet'!$X$87:$X$87,'Master Budget Sheet'!$F$87:$F$87,C$24,'Master Budget Sheet'!$E$87:$E$87,$A32)</f>
        <v>0</v>
      </c>
      <c r="D32" s="138">
        <f>SUMIFS('Master Budget Sheet'!$X$87:$X$87,'Master Budget Sheet'!$F$87:$F$87,D$24,'Master Budget Sheet'!$E$87:$E$87,$A32)</f>
        <v>0</v>
      </c>
      <c r="E32" s="138">
        <f>SUMIFS('Master Budget Sheet'!$X$87:$X$87,'Master Budget Sheet'!$F$87:$F$87,E$24,'Master Budget Sheet'!$E$87:$E$87,$A32)</f>
        <v>0</v>
      </c>
      <c r="F32" s="138">
        <f>SUMIFS('Master Budget Sheet'!$X$87:$X$87,'Master Budget Sheet'!$F$87:$F$87,F$24,'Master Budget Sheet'!$E$87:$E$87,$A32)</f>
        <v>0</v>
      </c>
      <c r="G32" s="138">
        <f>SUMIFS('Master Budget Sheet'!$X$87:$X$87,'Master Budget Sheet'!$F$87:$F$87,G$24,'Master Budget Sheet'!$E$87:$E$87,$A32)</f>
        <v>0</v>
      </c>
      <c r="H32" s="138">
        <f>SUMIFS('Master Budget Sheet'!$X$87:$X$87,'Master Budget Sheet'!$F$87:$F$87,H$24,'Master Budget Sheet'!$E$87:$E$87,$A32)</f>
        <v>0</v>
      </c>
    </row>
    <row r="33" spans="1:10" ht="10.95" customHeight="1">
      <c r="A33" s="133">
        <v>8</v>
      </c>
      <c r="B33" s="138">
        <f>SUMIFS('Master Budget Sheet'!$X$87:$X$87,'Master Budget Sheet'!$F$87:$F$87,B$24,'Master Budget Sheet'!$E$87:$E$87,$A33)</f>
        <v>0</v>
      </c>
      <c r="C33" s="138">
        <f>SUMIFS('Master Budget Sheet'!$X$87:$X$87,'Master Budget Sheet'!$F$87:$F$87,C$24,'Master Budget Sheet'!$E$87:$E$87,$A33)</f>
        <v>0</v>
      </c>
      <c r="D33" s="138">
        <f>SUMIFS('Master Budget Sheet'!$X$87:$X$87,'Master Budget Sheet'!$F$87:$F$87,D$24,'Master Budget Sheet'!$E$87:$E$87,$A33)</f>
        <v>0</v>
      </c>
      <c r="E33" s="138">
        <f>SUMIFS('Master Budget Sheet'!$X$87:$X$87,'Master Budget Sheet'!$F$87:$F$87,E$24,'Master Budget Sheet'!$E$87:$E$87,$A33)</f>
        <v>0</v>
      </c>
      <c r="F33" s="138">
        <f>SUMIFS('Master Budget Sheet'!$X$87:$X$87,'Master Budget Sheet'!$F$87:$F$87,F$24,'Master Budget Sheet'!$E$87:$E$87,$A33)</f>
        <v>0</v>
      </c>
      <c r="G33" s="138">
        <f>SUMIFS('Master Budget Sheet'!$X$87:$X$87,'Master Budget Sheet'!$F$87:$F$87,G$24,'Master Budget Sheet'!$E$87:$E$87,$A33)</f>
        <v>0</v>
      </c>
      <c r="H33" s="138">
        <f>SUMIFS('Master Budget Sheet'!$X$87:$X$87,'Master Budget Sheet'!$F$87:$F$87,H$24,'Master Budget Sheet'!$E$87:$E$87,$A33)</f>
        <v>0</v>
      </c>
    </row>
    <row r="34" spans="1:10" ht="10.95" customHeight="1">
      <c r="A34" s="133">
        <v>9</v>
      </c>
      <c r="B34" s="138">
        <f>SUMIFS('Master Budget Sheet'!$X$87:$X$87,'Master Budget Sheet'!$F$87:$F$87,B$24,'Master Budget Sheet'!$E$87:$E$87,$A34)</f>
        <v>0</v>
      </c>
      <c r="C34" s="138">
        <f>SUMIFS('Master Budget Sheet'!$X$87:$X$87,'Master Budget Sheet'!$F$87:$F$87,C$24,'Master Budget Sheet'!$E$87:$E$87,$A34)</f>
        <v>0</v>
      </c>
      <c r="D34" s="138">
        <f>SUMIFS('Master Budget Sheet'!$X$87:$X$87,'Master Budget Sheet'!$F$87:$F$87,D$24,'Master Budget Sheet'!$E$87:$E$87,$A34)</f>
        <v>0</v>
      </c>
      <c r="E34" s="138">
        <f>SUMIFS('Master Budget Sheet'!$X$87:$X$87,'Master Budget Sheet'!$F$87:$F$87,E$24,'Master Budget Sheet'!$E$87:$E$87,$A34)</f>
        <v>0</v>
      </c>
      <c r="F34" s="138">
        <f>SUMIFS('Master Budget Sheet'!$X$87:$X$87,'Master Budget Sheet'!$F$87:$F$87,F$24,'Master Budget Sheet'!$E$87:$E$87,$A34)</f>
        <v>0</v>
      </c>
      <c r="G34" s="138">
        <f>SUMIFS('Master Budget Sheet'!$X$87:$X$87,'Master Budget Sheet'!$F$87:$F$87,G$24,'Master Budget Sheet'!$E$87:$E$87,$A34)</f>
        <v>0</v>
      </c>
      <c r="H34" s="138">
        <f>SUMIFS('Master Budget Sheet'!$X$87:$X$87,'Master Budget Sheet'!$F$87:$F$87,H$24,'Master Budget Sheet'!$E$87:$E$87,$A34)</f>
        <v>0</v>
      </c>
    </row>
    <row r="35" spans="1:10" ht="10.95" customHeight="1">
      <c r="A35" s="133">
        <v>10</v>
      </c>
      <c r="B35" s="138">
        <f>SUMIFS('Master Budget Sheet'!$X$87:$X$87,'Master Budget Sheet'!$F$87:$F$87,B$24,'Master Budget Sheet'!$E$87:$E$87,$A35)</f>
        <v>0</v>
      </c>
      <c r="C35" s="138">
        <f>SUMIFS('Master Budget Sheet'!$X$87:$X$87,'Master Budget Sheet'!$F$87:$F$87,C$24,'Master Budget Sheet'!$E$87:$E$87,$A35)</f>
        <v>0</v>
      </c>
      <c r="D35" s="138">
        <f>SUMIFS('Master Budget Sheet'!$X$87:$X$87,'Master Budget Sheet'!$F$87:$F$87,D$24,'Master Budget Sheet'!$E$87:$E$87,$A35)</f>
        <v>0</v>
      </c>
      <c r="E35" s="138">
        <f>SUMIFS('Master Budget Sheet'!$X$87:$X$87,'Master Budget Sheet'!$F$87:$F$87,E$24,'Master Budget Sheet'!$E$87:$E$87,$A35)</f>
        <v>0</v>
      </c>
      <c r="F35" s="138">
        <f>SUMIFS('Master Budget Sheet'!$X$87:$X$87,'Master Budget Sheet'!$F$87:$F$87,F$24,'Master Budget Sheet'!$E$87:$E$87,$A35)</f>
        <v>0</v>
      </c>
      <c r="G35" s="138">
        <f>SUMIFS('Master Budget Sheet'!$X$87:$X$87,'Master Budget Sheet'!$F$87:$F$87,G$24,'Master Budget Sheet'!$E$87:$E$87,$A35)</f>
        <v>0</v>
      </c>
      <c r="H35" s="138">
        <f>SUMIFS('Master Budget Sheet'!$X$87:$X$87,'Master Budget Sheet'!$F$87:$F$87,H$24,'Master Budget Sheet'!$E$87:$E$87,$A35)</f>
        <v>0</v>
      </c>
    </row>
    <row r="36" spans="1:10" ht="10.95" customHeight="1">
      <c r="A36" s="133">
        <v>11</v>
      </c>
      <c r="B36" s="138">
        <f>SUMIFS('Master Budget Sheet'!$X$87:$X$87,'Master Budget Sheet'!$F$87:$F$87,B$24,'Master Budget Sheet'!$E$87:$E$87,$A36)</f>
        <v>0</v>
      </c>
      <c r="C36" s="138">
        <f>SUMIFS('Master Budget Sheet'!$X$87:$X$87,'Master Budget Sheet'!$F$87:$F$87,C$24,'Master Budget Sheet'!$E$87:$E$87,$A36)</f>
        <v>0</v>
      </c>
      <c r="D36" s="138">
        <f>SUMIFS('Master Budget Sheet'!$X$87:$X$87,'Master Budget Sheet'!$F$87:$F$87,D$24,'Master Budget Sheet'!$E$87:$E$87,$A36)</f>
        <v>0</v>
      </c>
      <c r="E36" s="138">
        <f>SUMIFS('Master Budget Sheet'!$X$87:$X$87,'Master Budget Sheet'!$F$87:$F$87,E$24,'Master Budget Sheet'!$E$87:$E$87,$A36)</f>
        <v>0</v>
      </c>
      <c r="F36" s="138">
        <f>SUMIFS('Master Budget Sheet'!$X$87:$X$87,'Master Budget Sheet'!$F$87:$F$87,F$24,'Master Budget Sheet'!$E$87:$E$87,$A36)</f>
        <v>0</v>
      </c>
      <c r="G36" s="138">
        <f>SUMIFS('Master Budget Sheet'!$X$87:$X$87,'Master Budget Sheet'!$F$87:$F$87,G$24,'Master Budget Sheet'!$E$87:$E$87,$A36)</f>
        <v>0</v>
      </c>
      <c r="H36" s="138">
        <f>SUMIFS('Master Budget Sheet'!$X$87:$X$87,'Master Budget Sheet'!$F$87:$F$87,H$24,'Master Budget Sheet'!$E$87:$E$87,$A36)</f>
        <v>0</v>
      </c>
    </row>
    <row r="37" spans="1:10" ht="10.95" customHeight="1">
      <c r="A37" s="133">
        <v>12</v>
      </c>
      <c r="B37" s="138">
        <f>SUMIFS('Master Budget Sheet'!$X$87:$X$87,'Master Budget Sheet'!$F$87:$F$87,B$24,'Master Budget Sheet'!$E$87:$E$87,$A37)</f>
        <v>0</v>
      </c>
      <c r="C37" s="138">
        <f>SUMIFS('Master Budget Sheet'!$X$87:$X$87,'Master Budget Sheet'!$F$87:$F$87,C$24,'Master Budget Sheet'!$E$87:$E$87,$A37)</f>
        <v>0</v>
      </c>
      <c r="D37" s="138">
        <f>SUMIFS('Master Budget Sheet'!$X$87:$X$87,'Master Budget Sheet'!$F$87:$F$87,D$24,'Master Budget Sheet'!$E$87:$E$87,$A37)</f>
        <v>0</v>
      </c>
      <c r="E37" s="138">
        <f>SUMIFS('Master Budget Sheet'!$X$87:$X$87,'Master Budget Sheet'!$F$87:$F$87,E$24,'Master Budget Sheet'!$E$87:$E$87,$A37)</f>
        <v>0</v>
      </c>
      <c r="F37" s="138">
        <f>SUMIFS('Master Budget Sheet'!$X$87:$X$87,'Master Budget Sheet'!$F$87:$F$87,F$24,'Master Budget Sheet'!$E$87:$E$87,$A37)</f>
        <v>0</v>
      </c>
      <c r="G37" s="138">
        <f>SUMIFS('Master Budget Sheet'!$X$87:$X$87,'Master Budget Sheet'!$F$87:$F$87,G$24,'Master Budget Sheet'!$E$87:$E$87,$A37)</f>
        <v>0</v>
      </c>
      <c r="H37" s="138">
        <f>SUMIFS('Master Budget Sheet'!$X$87:$X$87,'Master Budget Sheet'!$F$87:$F$87,H$24,'Master Budget Sheet'!$E$87:$E$87,$A37)</f>
        <v>0</v>
      </c>
    </row>
    <row r="38" spans="1:10" ht="10.95" customHeight="1">
      <c r="A38" s="133" t="s">
        <v>227</v>
      </c>
      <c r="B38" s="138">
        <f>SUMIFS('Master Budget Sheet'!$X$87:$X$87,'Master Budget Sheet'!$F$87:$F$87,B$24,'Master Budget Sheet'!$E$87:$E$87,"&gt;12")</f>
        <v>0</v>
      </c>
      <c r="C38" s="138">
        <f>SUMIFS('Master Budget Sheet'!$X$87:$X$87,'Master Budget Sheet'!$F$87:$F$87,C$24,'Master Budget Sheet'!$E$87:$E$87,"&gt;12")</f>
        <v>0</v>
      </c>
      <c r="D38" s="138">
        <f>SUMIFS('Master Budget Sheet'!$X$87:$X$87,'Master Budget Sheet'!$F$87:$F$87,D$24,'Master Budget Sheet'!$E$87:$E$87,"&gt;12")</f>
        <v>0</v>
      </c>
      <c r="E38" s="138">
        <f>SUMIFS('Master Budget Sheet'!$X$87:$X$87,'Master Budget Sheet'!$F$87:$F$87,E$24,'Master Budget Sheet'!$E$87:$E$87,"&gt;12")</f>
        <v>0</v>
      </c>
      <c r="F38" s="138">
        <f>SUMIFS('Master Budget Sheet'!$X$87:$X$87,'Master Budget Sheet'!$F$87:$F$87,F$24,'Master Budget Sheet'!$E$87:$E$87,"&gt;12")</f>
        <v>0</v>
      </c>
      <c r="G38" s="138">
        <f>SUMIFS('Master Budget Sheet'!$X$87:$X$87,'Master Budget Sheet'!$F$87:$F$87,G$24,'Master Budget Sheet'!$E$87:$E$87,"&gt;12")</f>
        <v>0</v>
      </c>
      <c r="H38" s="138">
        <f>SUMIFS('Master Budget Sheet'!$X$87:$X$87,'Master Budget Sheet'!$F$87:$F$87,H$24,'Master Budget Sheet'!$E$87:$E$87,"&gt;12")</f>
        <v>0</v>
      </c>
    </row>
    <row r="39" spans="1:10" s="143" customFormat="1" ht="10.95" customHeight="1">
      <c r="A39" s="140" t="s">
        <v>229</v>
      </c>
      <c r="B39" s="141">
        <f t="shared" ref="B39:H39" si="0">ROUND(SUM(B25:B38),5)</f>
        <v>0</v>
      </c>
      <c r="C39" s="141">
        <f t="shared" si="0"/>
        <v>0</v>
      </c>
      <c r="D39" s="141">
        <f t="shared" si="0"/>
        <v>0</v>
      </c>
      <c r="E39" s="141">
        <f t="shared" si="0"/>
        <v>0</v>
      </c>
      <c r="F39" s="141">
        <f t="shared" si="0"/>
        <v>0</v>
      </c>
      <c r="G39" s="141">
        <f t="shared" si="0"/>
        <v>0</v>
      </c>
      <c r="H39" s="141">
        <f t="shared" si="0"/>
        <v>1</v>
      </c>
      <c r="I39" s="142"/>
    </row>
    <row r="40" spans="1:10" ht="10.95" customHeight="1">
      <c r="A40" s="136"/>
      <c r="B40" s="129"/>
      <c r="C40" s="129"/>
      <c r="D40" s="129"/>
      <c r="E40" s="129"/>
      <c r="F40" s="144" t="s">
        <v>230</v>
      </c>
      <c r="G40" s="145" t="s">
        <v>231</v>
      </c>
      <c r="H40" s="146">
        <f>ROUND(SUM(B39:H39),5)</f>
        <v>1</v>
      </c>
    </row>
    <row r="41" spans="1:10" ht="10.95" customHeight="1">
      <c r="A41" s="136"/>
      <c r="B41" s="129"/>
      <c r="C41" s="129"/>
      <c r="D41" s="129"/>
      <c r="E41" s="147"/>
      <c r="F41" s="148"/>
      <c r="G41" s="149"/>
      <c r="H41" s="150"/>
      <c r="I41" s="147"/>
    </row>
    <row r="42" spans="1:10" ht="10.95" customHeight="1">
      <c r="A42" s="128" t="s">
        <v>232</v>
      </c>
      <c r="B42" s="128"/>
      <c r="C42" s="128"/>
      <c r="D42" s="128"/>
      <c r="E42" s="128"/>
      <c r="F42" s="128"/>
      <c r="G42" s="128"/>
      <c r="H42" s="128"/>
    </row>
    <row r="43" spans="1:10" ht="10.95" customHeight="1">
      <c r="A43" s="133"/>
      <c r="B43" s="151"/>
      <c r="C43" s="151"/>
      <c r="D43" s="151"/>
      <c r="E43" s="133" t="s">
        <v>215</v>
      </c>
      <c r="F43" s="133" t="s">
        <v>216</v>
      </c>
      <c r="G43" s="133" t="s">
        <v>217</v>
      </c>
      <c r="H43" s="133" t="s">
        <v>218</v>
      </c>
    </row>
    <row r="44" spans="1:10" ht="10.95" customHeight="1">
      <c r="A44" s="133" t="s">
        <v>219</v>
      </c>
      <c r="B44" s="133" t="s">
        <v>220</v>
      </c>
      <c r="C44" s="133" t="s">
        <v>221</v>
      </c>
      <c r="D44" s="133" t="s">
        <v>222</v>
      </c>
      <c r="E44" s="133" t="s">
        <v>223</v>
      </c>
      <c r="F44" s="133" t="s">
        <v>224</v>
      </c>
      <c r="G44" s="133" t="s">
        <v>225</v>
      </c>
      <c r="H44" s="133" t="s">
        <v>226</v>
      </c>
    </row>
    <row r="45" spans="1:10" ht="10.95" customHeight="1">
      <c r="A45" s="133">
        <v>0</v>
      </c>
      <c r="B45" s="141">
        <f t="shared" ref="B45:H58" si="1">ROUND((+B6*B25),5)</f>
        <v>0</v>
      </c>
      <c r="C45" s="141">
        <f t="shared" si="1"/>
        <v>0</v>
      </c>
      <c r="D45" s="141">
        <f t="shared" si="1"/>
        <v>0</v>
      </c>
      <c r="E45" s="141">
        <f t="shared" si="1"/>
        <v>0</v>
      </c>
      <c r="F45" s="141">
        <f t="shared" si="1"/>
        <v>0</v>
      </c>
      <c r="G45" s="141">
        <f t="shared" si="1"/>
        <v>0</v>
      </c>
      <c r="H45" s="141">
        <f t="shared" si="1"/>
        <v>0</v>
      </c>
      <c r="I45" s="142"/>
      <c r="J45" s="136"/>
    </row>
    <row r="46" spans="1:10" ht="10.95" customHeight="1">
      <c r="A46" s="133">
        <v>1</v>
      </c>
      <c r="B46" s="141">
        <f t="shared" si="1"/>
        <v>0</v>
      </c>
      <c r="C46" s="141">
        <f t="shared" si="1"/>
        <v>0</v>
      </c>
      <c r="D46" s="141">
        <f t="shared" si="1"/>
        <v>0</v>
      </c>
      <c r="E46" s="141">
        <f t="shared" si="1"/>
        <v>0</v>
      </c>
      <c r="F46" s="141">
        <f t="shared" si="1"/>
        <v>0</v>
      </c>
      <c r="G46" s="141">
        <f t="shared" si="1"/>
        <v>0</v>
      </c>
      <c r="H46" s="141">
        <f t="shared" si="1"/>
        <v>0</v>
      </c>
      <c r="I46" s="142"/>
      <c r="J46" s="136"/>
    </row>
    <row r="47" spans="1:10" ht="10.95" customHeight="1">
      <c r="A47" s="133">
        <v>2</v>
      </c>
      <c r="B47" s="141">
        <f t="shared" si="1"/>
        <v>0</v>
      </c>
      <c r="C47" s="141">
        <f t="shared" si="1"/>
        <v>0</v>
      </c>
      <c r="D47" s="141">
        <f t="shared" si="1"/>
        <v>0</v>
      </c>
      <c r="E47" s="141">
        <f t="shared" si="1"/>
        <v>0</v>
      </c>
      <c r="F47" s="141">
        <f t="shared" si="1"/>
        <v>0</v>
      </c>
      <c r="G47" s="141">
        <f t="shared" si="1"/>
        <v>0</v>
      </c>
      <c r="H47" s="141">
        <f t="shared" si="1"/>
        <v>1.3426</v>
      </c>
      <c r="I47" s="142"/>
      <c r="J47" s="136"/>
    </row>
    <row r="48" spans="1:10" ht="10.95" customHeight="1">
      <c r="A48" s="133">
        <v>3</v>
      </c>
      <c r="B48" s="141">
        <f t="shared" si="1"/>
        <v>0</v>
      </c>
      <c r="C48" s="141">
        <f t="shared" si="1"/>
        <v>0</v>
      </c>
      <c r="D48" s="141">
        <f t="shared" si="1"/>
        <v>0</v>
      </c>
      <c r="E48" s="141">
        <f t="shared" si="1"/>
        <v>0</v>
      </c>
      <c r="F48" s="141">
        <f t="shared" si="1"/>
        <v>0</v>
      </c>
      <c r="G48" s="141">
        <f t="shared" si="1"/>
        <v>0</v>
      </c>
      <c r="H48" s="141">
        <f t="shared" si="1"/>
        <v>0</v>
      </c>
      <c r="I48" s="142"/>
      <c r="J48" s="136"/>
    </row>
    <row r="49" spans="1:10" ht="10.95" customHeight="1">
      <c r="A49" s="133">
        <v>4</v>
      </c>
      <c r="B49" s="141">
        <f t="shared" si="1"/>
        <v>0</v>
      </c>
      <c r="C49" s="141">
        <f t="shared" si="1"/>
        <v>0</v>
      </c>
      <c r="D49" s="141">
        <f t="shared" si="1"/>
        <v>0</v>
      </c>
      <c r="E49" s="141">
        <f t="shared" si="1"/>
        <v>0</v>
      </c>
      <c r="F49" s="141">
        <f t="shared" si="1"/>
        <v>0</v>
      </c>
      <c r="G49" s="141">
        <f t="shared" si="1"/>
        <v>0</v>
      </c>
      <c r="H49" s="141">
        <f t="shared" si="1"/>
        <v>0</v>
      </c>
      <c r="I49" s="142"/>
      <c r="J49" s="136"/>
    </row>
    <row r="50" spans="1:10" ht="10.95" customHeight="1">
      <c r="A50" s="133">
        <v>5</v>
      </c>
      <c r="B50" s="141">
        <f t="shared" si="1"/>
        <v>0</v>
      </c>
      <c r="C50" s="141">
        <f t="shared" si="1"/>
        <v>0</v>
      </c>
      <c r="D50" s="141">
        <f t="shared" si="1"/>
        <v>0</v>
      </c>
      <c r="E50" s="141">
        <f t="shared" si="1"/>
        <v>0</v>
      </c>
      <c r="F50" s="141">
        <f t="shared" si="1"/>
        <v>0</v>
      </c>
      <c r="G50" s="141">
        <f t="shared" si="1"/>
        <v>0</v>
      </c>
      <c r="H50" s="141">
        <f t="shared" si="1"/>
        <v>0</v>
      </c>
      <c r="I50" s="142"/>
      <c r="J50" s="136"/>
    </row>
    <row r="51" spans="1:10" ht="10.95" customHeight="1">
      <c r="A51" s="133">
        <v>6</v>
      </c>
      <c r="B51" s="141">
        <f t="shared" si="1"/>
        <v>0</v>
      </c>
      <c r="C51" s="141">
        <f t="shared" si="1"/>
        <v>0</v>
      </c>
      <c r="D51" s="141">
        <f t="shared" si="1"/>
        <v>0</v>
      </c>
      <c r="E51" s="141">
        <f t="shared" si="1"/>
        <v>0</v>
      </c>
      <c r="F51" s="141">
        <f t="shared" si="1"/>
        <v>0</v>
      </c>
      <c r="G51" s="141">
        <f t="shared" si="1"/>
        <v>0</v>
      </c>
      <c r="H51" s="141">
        <f t="shared" si="1"/>
        <v>0</v>
      </c>
      <c r="I51" s="142"/>
      <c r="J51" s="136"/>
    </row>
    <row r="52" spans="1:10" ht="10.95" customHeight="1">
      <c r="A52" s="133">
        <v>7</v>
      </c>
      <c r="B52" s="141">
        <f t="shared" si="1"/>
        <v>0</v>
      </c>
      <c r="C52" s="141">
        <f t="shared" si="1"/>
        <v>0</v>
      </c>
      <c r="D52" s="141">
        <f t="shared" si="1"/>
        <v>0</v>
      </c>
      <c r="E52" s="141">
        <f t="shared" si="1"/>
        <v>0</v>
      </c>
      <c r="F52" s="141">
        <f t="shared" si="1"/>
        <v>0</v>
      </c>
      <c r="G52" s="141">
        <f t="shared" si="1"/>
        <v>0</v>
      </c>
      <c r="H52" s="141">
        <f t="shared" si="1"/>
        <v>0</v>
      </c>
      <c r="I52" s="142"/>
      <c r="J52" s="136"/>
    </row>
    <row r="53" spans="1:10" ht="10.95" customHeight="1">
      <c r="A53" s="133">
        <v>8</v>
      </c>
      <c r="B53" s="141">
        <f t="shared" si="1"/>
        <v>0</v>
      </c>
      <c r="C53" s="141">
        <f t="shared" si="1"/>
        <v>0</v>
      </c>
      <c r="D53" s="141">
        <f t="shared" si="1"/>
        <v>0</v>
      </c>
      <c r="E53" s="141">
        <f t="shared" si="1"/>
        <v>0</v>
      </c>
      <c r="F53" s="141">
        <f t="shared" si="1"/>
        <v>0</v>
      </c>
      <c r="G53" s="141">
        <f t="shared" si="1"/>
        <v>0</v>
      </c>
      <c r="H53" s="141">
        <f t="shared" si="1"/>
        <v>0</v>
      </c>
      <c r="I53" s="142"/>
      <c r="J53" s="136"/>
    </row>
    <row r="54" spans="1:10" ht="10.95" customHeight="1">
      <c r="A54" s="133">
        <v>9</v>
      </c>
      <c r="B54" s="141">
        <f t="shared" si="1"/>
        <v>0</v>
      </c>
      <c r="C54" s="141">
        <f t="shared" si="1"/>
        <v>0</v>
      </c>
      <c r="D54" s="141">
        <f t="shared" si="1"/>
        <v>0</v>
      </c>
      <c r="E54" s="141">
        <f t="shared" si="1"/>
        <v>0</v>
      </c>
      <c r="F54" s="141">
        <f t="shared" si="1"/>
        <v>0</v>
      </c>
      <c r="G54" s="141">
        <f t="shared" si="1"/>
        <v>0</v>
      </c>
      <c r="H54" s="141">
        <f t="shared" si="1"/>
        <v>0</v>
      </c>
      <c r="I54" s="142"/>
      <c r="J54" s="136"/>
    </row>
    <row r="55" spans="1:10" ht="10.95" customHeight="1">
      <c r="A55" s="133">
        <v>10</v>
      </c>
      <c r="B55" s="141">
        <f t="shared" si="1"/>
        <v>0</v>
      </c>
      <c r="C55" s="141">
        <f t="shared" si="1"/>
        <v>0</v>
      </c>
      <c r="D55" s="141">
        <f t="shared" si="1"/>
        <v>0</v>
      </c>
      <c r="E55" s="141">
        <f t="shared" si="1"/>
        <v>0</v>
      </c>
      <c r="F55" s="141">
        <f t="shared" si="1"/>
        <v>0</v>
      </c>
      <c r="G55" s="141">
        <f t="shared" si="1"/>
        <v>0</v>
      </c>
      <c r="H55" s="141">
        <f t="shared" si="1"/>
        <v>0</v>
      </c>
      <c r="I55" s="142"/>
      <c r="J55" s="136"/>
    </row>
    <row r="56" spans="1:10" ht="10.95" customHeight="1">
      <c r="A56" s="133">
        <v>11</v>
      </c>
      <c r="B56" s="141">
        <f t="shared" si="1"/>
        <v>0</v>
      </c>
      <c r="C56" s="141">
        <f t="shared" si="1"/>
        <v>0</v>
      </c>
      <c r="D56" s="141">
        <f t="shared" si="1"/>
        <v>0</v>
      </c>
      <c r="E56" s="141">
        <f t="shared" si="1"/>
        <v>0</v>
      </c>
      <c r="F56" s="141">
        <f t="shared" si="1"/>
        <v>0</v>
      </c>
      <c r="G56" s="141">
        <f t="shared" si="1"/>
        <v>0</v>
      </c>
      <c r="H56" s="141">
        <f t="shared" si="1"/>
        <v>0</v>
      </c>
      <c r="I56" s="142"/>
      <c r="J56" s="136"/>
    </row>
    <row r="57" spans="1:10" ht="10.95" customHeight="1">
      <c r="A57" s="133">
        <v>12</v>
      </c>
      <c r="B57" s="141">
        <f t="shared" si="1"/>
        <v>0</v>
      </c>
      <c r="C57" s="141">
        <f t="shared" si="1"/>
        <v>0</v>
      </c>
      <c r="D57" s="141">
        <f t="shared" si="1"/>
        <v>0</v>
      </c>
      <c r="E57" s="141">
        <f t="shared" si="1"/>
        <v>0</v>
      </c>
      <c r="F57" s="141">
        <f t="shared" si="1"/>
        <v>0</v>
      </c>
      <c r="G57" s="141">
        <f t="shared" si="1"/>
        <v>0</v>
      </c>
      <c r="H57" s="141">
        <f t="shared" si="1"/>
        <v>0</v>
      </c>
      <c r="I57" s="142"/>
      <c r="J57" s="136"/>
    </row>
    <row r="58" spans="1:10" ht="10.95" customHeight="1">
      <c r="A58" s="133" t="s">
        <v>227</v>
      </c>
      <c r="B58" s="141">
        <f t="shared" si="1"/>
        <v>0</v>
      </c>
      <c r="C58" s="141">
        <f t="shared" si="1"/>
        <v>0</v>
      </c>
      <c r="D58" s="141">
        <f t="shared" si="1"/>
        <v>0</v>
      </c>
      <c r="E58" s="141">
        <f t="shared" si="1"/>
        <v>0</v>
      </c>
      <c r="F58" s="141">
        <f t="shared" si="1"/>
        <v>0</v>
      </c>
      <c r="G58" s="141">
        <f t="shared" si="1"/>
        <v>0</v>
      </c>
      <c r="H58" s="141">
        <f t="shared" si="1"/>
        <v>0</v>
      </c>
      <c r="I58" s="142"/>
      <c r="J58" s="136"/>
    </row>
    <row r="59" spans="1:10" s="153" customFormat="1" ht="10.95" customHeight="1">
      <c r="A59" s="133" t="s">
        <v>229</v>
      </c>
      <c r="B59" s="141">
        <f t="shared" ref="B59:H59" si="2">ROUND(SUM(B45:B58),5)</f>
        <v>0</v>
      </c>
      <c r="C59" s="141">
        <f t="shared" si="2"/>
        <v>0</v>
      </c>
      <c r="D59" s="141">
        <f t="shared" si="2"/>
        <v>0</v>
      </c>
      <c r="E59" s="141">
        <f t="shared" si="2"/>
        <v>0</v>
      </c>
      <c r="F59" s="141">
        <f t="shared" si="2"/>
        <v>0</v>
      </c>
      <c r="G59" s="141">
        <f t="shared" si="2"/>
        <v>0</v>
      </c>
      <c r="H59" s="141">
        <f t="shared" si="2"/>
        <v>1.3426</v>
      </c>
      <c r="I59" s="152"/>
    </row>
    <row r="60" spans="1:10" ht="16.95" customHeight="1">
      <c r="A60" s="136"/>
      <c r="B60" s="154"/>
      <c r="C60" s="154"/>
      <c r="D60" s="154"/>
      <c r="E60" s="154"/>
      <c r="F60" s="155" t="s">
        <v>233</v>
      </c>
      <c r="G60" s="156" t="s">
        <v>234</v>
      </c>
      <c r="H60" s="157">
        <f>ROUND(SUM(B59:H59),5)</f>
        <v>1.3426</v>
      </c>
    </row>
    <row r="61" spans="1:10" ht="10.95" customHeight="1">
      <c r="A61" s="136"/>
      <c r="B61" s="158"/>
      <c r="C61" s="158"/>
      <c r="D61" s="158"/>
      <c r="E61" s="158"/>
      <c r="F61" s="159" t="s">
        <v>235</v>
      </c>
      <c r="G61" s="160" t="s">
        <v>236</v>
      </c>
      <c r="H61" s="161">
        <f>IF(H40=0,0,ROUND(H60/H40,6))</f>
        <v>1.3426</v>
      </c>
    </row>
    <row r="62" spans="1:10" ht="10.95" customHeight="1">
      <c r="A62" s="136"/>
      <c r="B62" s="129"/>
      <c r="C62" s="129"/>
      <c r="D62" s="129"/>
      <c r="E62" s="129"/>
      <c r="F62" s="129"/>
      <c r="G62" s="129"/>
      <c r="H62" s="129"/>
    </row>
    <row r="63" spans="1:10" ht="10.95" customHeight="1">
      <c r="A63" s="162"/>
      <c r="B63" s="129"/>
      <c r="C63" s="129"/>
      <c r="D63" s="129"/>
      <c r="E63" s="129"/>
      <c r="F63" s="129"/>
      <c r="G63" s="129"/>
      <c r="H63" s="129"/>
    </row>
    <row r="64" spans="1:10" ht="10.95" customHeight="1">
      <c r="A64" s="162"/>
    </row>
    <row r="65" spans="1:1" ht="10.95" customHeight="1">
      <c r="A65" s="162"/>
    </row>
    <row r="66" spans="1:1" ht="10.95" customHeight="1">
      <c r="A66" s="162"/>
    </row>
    <row r="67" spans="1:1" ht="10.95" customHeight="1">
      <c r="A67" s="162"/>
    </row>
    <row r="68" spans="1:1" ht="10.95" customHeight="1">
      <c r="A68" s="162"/>
    </row>
    <row r="69" spans="1:1" ht="10.95" customHeight="1">
      <c r="A69" s="162"/>
    </row>
    <row r="70" spans="1:1" ht="10.95" customHeight="1">
      <c r="A70" s="162"/>
    </row>
    <row r="71" spans="1:1" ht="10.95" customHeight="1">
      <c r="A71" s="162"/>
    </row>
    <row r="72" spans="1:1" ht="10.95" customHeight="1">
      <c r="A72" s="162"/>
    </row>
    <row r="73" spans="1:1" ht="10.95" customHeight="1">
      <c r="A73" s="162"/>
    </row>
    <row r="74" spans="1:1" ht="10.95" customHeight="1">
      <c r="A74" s="162"/>
    </row>
    <row r="75" spans="1:1" ht="10.95" customHeight="1">
      <c r="A75" s="162"/>
    </row>
    <row r="76" spans="1:1" ht="10.95" customHeight="1">
      <c r="A76" s="162"/>
    </row>
    <row r="77" spans="1:1" ht="10.95" customHeight="1">
      <c r="A77" s="162"/>
    </row>
    <row r="78" spans="1:1" ht="10.95" customHeight="1">
      <c r="A78" s="162"/>
    </row>
    <row r="79" spans="1:1" ht="10.95" customHeight="1">
      <c r="A79" s="162"/>
    </row>
    <row r="80" spans="1:1" ht="10.95" customHeight="1">
      <c r="A80" s="162"/>
    </row>
    <row r="81" spans="1:1" ht="10.95" customHeight="1">
      <c r="A81" s="162"/>
    </row>
    <row r="82" spans="1:1" ht="10.95" customHeight="1">
      <c r="A82" s="162"/>
    </row>
    <row r="83" spans="1:1" ht="10.95" customHeight="1">
      <c r="A83" s="162"/>
    </row>
    <row r="84" spans="1:1" ht="10.95" customHeight="1">
      <c r="A84" s="162"/>
    </row>
    <row r="85" spans="1:1" ht="10.95" customHeight="1">
      <c r="A85" s="162"/>
    </row>
    <row r="86" spans="1:1" ht="10.95" customHeight="1">
      <c r="A86" s="162"/>
    </row>
    <row r="87" spans="1:1" ht="10.95" customHeight="1">
      <c r="A87" s="162"/>
    </row>
    <row r="88" spans="1:1" ht="10.95" customHeight="1">
      <c r="A88" s="162"/>
    </row>
    <row r="89" spans="1:1" ht="10.95" customHeight="1">
      <c r="A89" s="162"/>
    </row>
    <row r="90" spans="1:1" ht="10.95" customHeight="1">
      <c r="A90" s="162"/>
    </row>
    <row r="91" spans="1:1" ht="10.95" customHeight="1">
      <c r="A91" s="162"/>
    </row>
    <row r="92" spans="1:1" ht="10.95" customHeight="1">
      <c r="A92" s="162"/>
    </row>
    <row r="93" spans="1:1" ht="10.95" customHeight="1">
      <c r="A93" s="162"/>
    </row>
    <row r="94" spans="1:1" ht="10.95" customHeight="1">
      <c r="A94" s="162"/>
    </row>
    <row r="95" spans="1:1" ht="10.95" customHeight="1">
      <c r="A95" s="162"/>
    </row>
    <row r="96" spans="1:1" ht="10.95" customHeight="1">
      <c r="A96" s="162"/>
    </row>
    <row r="97" spans="1:1" ht="10.95" customHeight="1">
      <c r="A97" s="162"/>
    </row>
    <row r="98" spans="1:1" ht="10.95" customHeight="1">
      <c r="A98" s="162"/>
    </row>
    <row r="99" spans="1:1" ht="10.95" customHeight="1">
      <c r="A99" s="162"/>
    </row>
    <row r="100" spans="1:1" ht="10.95" customHeight="1">
      <c r="A100" s="162"/>
    </row>
    <row r="101" spans="1:1" ht="10.95" customHeight="1">
      <c r="A101" s="162"/>
    </row>
    <row r="102" spans="1:1" ht="10.95" customHeight="1">
      <c r="A102" s="162"/>
    </row>
    <row r="103" spans="1:1" ht="10.95" customHeight="1">
      <c r="A103" s="162"/>
    </row>
    <row r="104" spans="1:1" ht="10.95" customHeight="1">
      <c r="A104" s="162"/>
    </row>
    <row r="105" spans="1:1" ht="10.95" customHeight="1">
      <c r="A105" s="162"/>
    </row>
    <row r="106" spans="1:1" ht="10.95" customHeight="1">
      <c r="A106" s="162"/>
    </row>
    <row r="107" spans="1:1" ht="10.95" customHeight="1">
      <c r="A107" s="162"/>
    </row>
    <row r="108" spans="1:1" ht="10.95" customHeight="1">
      <c r="A108" s="162"/>
    </row>
    <row r="109" spans="1:1" ht="10.95" customHeight="1">
      <c r="A109" s="162"/>
    </row>
    <row r="110" spans="1:1" ht="10.95" customHeight="1">
      <c r="A110" s="162"/>
    </row>
    <row r="111" spans="1:1" ht="10.95" customHeight="1">
      <c r="A111" s="162"/>
    </row>
    <row r="112" spans="1:1" ht="10.95" customHeight="1">
      <c r="A112" s="162"/>
    </row>
    <row r="113" spans="1:1" ht="10.95" customHeight="1">
      <c r="A113" s="162"/>
    </row>
    <row r="114" spans="1:1" ht="10.95" customHeight="1">
      <c r="A114" s="162"/>
    </row>
    <row r="115" spans="1:1" ht="10.95" customHeight="1">
      <c r="A115" s="162"/>
    </row>
    <row r="116" spans="1:1" ht="10.95" customHeight="1">
      <c r="A116" s="162"/>
    </row>
    <row r="117" spans="1:1" ht="10.95" customHeight="1">
      <c r="A117" s="162"/>
    </row>
    <row r="118" spans="1:1" ht="10.95" customHeight="1">
      <c r="A118" s="162"/>
    </row>
    <row r="119" spans="1:1" ht="10.95" customHeight="1">
      <c r="A119" s="162"/>
    </row>
    <row r="120" spans="1:1" ht="10.95" customHeight="1">
      <c r="A120" s="162"/>
    </row>
    <row r="121" spans="1:1" ht="10.95" customHeight="1">
      <c r="A121" s="162"/>
    </row>
    <row r="122" spans="1:1" ht="10.95" customHeight="1">
      <c r="A122" s="162"/>
    </row>
    <row r="123" spans="1:1" ht="10.95" customHeight="1">
      <c r="A123" s="162"/>
    </row>
    <row r="124" spans="1:1" ht="10.95" customHeight="1">
      <c r="A124" s="162"/>
    </row>
    <row r="125" spans="1:1" ht="10.95" customHeight="1">
      <c r="A125" s="162"/>
    </row>
    <row r="126" spans="1:1" ht="10.95" customHeight="1">
      <c r="A126" s="162"/>
    </row>
    <row r="127" spans="1:1" ht="10.95" customHeight="1">
      <c r="A127" s="162"/>
    </row>
  </sheetData>
  <pageMargins left="0.7" right="0.7" top="0.75" bottom="0.75" header="0.3" footer="0.3"/>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74"/>
  <dimension ref="A1:M45"/>
  <sheetViews>
    <sheetView topLeftCell="A4" workbookViewId="0">
      <selection activeCell="C38" sqref="C38"/>
    </sheetView>
  </sheetViews>
  <sheetFormatPr defaultColWidth="10.44140625" defaultRowHeight="13.2"/>
  <cols>
    <col min="1" max="1" width="11" style="268" customWidth="1"/>
    <col min="2" max="2" width="12.21875" style="268" customWidth="1"/>
    <col min="3" max="3" width="13.6640625" style="268" customWidth="1"/>
    <col min="4" max="4" width="16.77734375" style="268" customWidth="1"/>
    <col min="5" max="5" width="14.44140625" style="268" customWidth="1"/>
    <col min="6" max="6" width="12.77734375" style="268" customWidth="1"/>
    <col min="7" max="7" width="6.77734375" style="268" customWidth="1"/>
    <col min="8" max="9" width="5.77734375" style="268" customWidth="1"/>
    <col min="10" max="10" width="8.77734375" style="268" customWidth="1"/>
    <col min="11" max="11" width="7.21875" style="268" customWidth="1"/>
    <col min="12" max="12" width="10.44140625" style="272"/>
    <col min="13" max="13" width="13.5546875" style="268" customWidth="1"/>
    <col min="14" max="16384" width="10.44140625" style="268"/>
  </cols>
  <sheetData>
    <row r="1" spans="1:13" ht="13.8">
      <c r="A1" s="336"/>
      <c r="E1" s="181"/>
      <c r="F1" s="181"/>
      <c r="G1" s="181"/>
      <c r="H1" s="181"/>
      <c r="I1" s="181"/>
      <c r="J1" s="181"/>
      <c r="K1" s="181"/>
    </row>
    <row r="2" spans="1:13" s="333" customFormat="1" ht="19.2" customHeight="1">
      <c r="A2" s="335" t="s">
        <v>257</v>
      </c>
      <c r="B2" s="335"/>
      <c r="C2" s="268"/>
      <c r="D2" s="268"/>
      <c r="E2" s="181"/>
      <c r="F2" s="181"/>
      <c r="G2" s="181"/>
      <c r="H2" s="181"/>
      <c r="I2" s="181"/>
      <c r="J2" s="181"/>
      <c r="K2" s="181"/>
      <c r="L2" s="334"/>
    </row>
    <row r="3" spans="1:13" s="175" customFormat="1" ht="16.2" customHeight="1">
      <c r="A3" s="329">
        <v>1</v>
      </c>
      <c r="B3" s="332" t="s">
        <v>381</v>
      </c>
      <c r="C3" s="330"/>
      <c r="D3" s="329"/>
      <c r="E3" s="181"/>
      <c r="F3" s="181"/>
      <c r="G3" s="181"/>
      <c r="H3" s="181"/>
      <c r="I3" s="181"/>
      <c r="J3" s="181"/>
      <c r="K3" s="181"/>
      <c r="L3" s="275"/>
    </row>
    <row r="4" spans="1:13" s="175" customFormat="1" ht="16.2" customHeight="1">
      <c r="A4" s="329">
        <v>2</v>
      </c>
      <c r="B4" s="331" t="s">
        <v>380</v>
      </c>
      <c r="C4" s="330"/>
      <c r="D4" s="329"/>
      <c r="E4" s="181"/>
      <c r="F4" s="181"/>
      <c r="G4" s="181"/>
      <c r="H4" s="181"/>
      <c r="I4" s="181"/>
      <c r="J4" s="181"/>
      <c r="K4" s="181"/>
      <c r="L4" s="275"/>
    </row>
    <row r="5" spans="1:13" s="175" customFormat="1" ht="16.2" customHeight="1">
      <c r="A5" s="174">
        <v>3</v>
      </c>
      <c r="B5" s="331" t="s">
        <v>379</v>
      </c>
      <c r="C5" s="330"/>
      <c r="D5" s="329"/>
      <c r="E5" s="181"/>
      <c r="F5" s="181"/>
      <c r="G5" s="181"/>
      <c r="H5" s="181"/>
      <c r="I5" s="181"/>
      <c r="J5" s="181"/>
      <c r="K5" s="181"/>
      <c r="L5" s="275"/>
    </row>
    <row r="6" spans="1:13" s="175" customFormat="1" ht="16.2" customHeight="1">
      <c r="A6" s="174">
        <v>4</v>
      </c>
      <c r="B6" s="328" t="s">
        <v>378</v>
      </c>
      <c r="C6" s="327"/>
      <c r="D6" s="174"/>
      <c r="E6" s="181"/>
      <c r="F6" s="181"/>
      <c r="G6" s="181"/>
      <c r="H6" s="181"/>
      <c r="I6" s="181"/>
      <c r="J6" s="181"/>
      <c r="K6" s="181"/>
      <c r="L6" s="275"/>
    </row>
    <row r="7" spans="1:13" s="175" customFormat="1" ht="16.2" customHeight="1">
      <c r="A7" s="174">
        <v>5</v>
      </c>
      <c r="B7" s="326" t="s">
        <v>258</v>
      </c>
      <c r="C7" s="325"/>
      <c r="D7" s="324"/>
      <c r="E7" s="181"/>
      <c r="F7" s="181"/>
      <c r="G7" s="181"/>
      <c r="H7" s="181"/>
      <c r="I7" s="181"/>
      <c r="J7" s="181"/>
      <c r="K7" s="181"/>
      <c r="L7" s="275"/>
    </row>
    <row r="8" spans="1:13" s="175" customFormat="1" ht="12.6" customHeight="1">
      <c r="E8" s="181"/>
      <c r="F8" s="181"/>
      <c r="G8" s="181"/>
      <c r="H8" s="181"/>
      <c r="I8" s="181"/>
      <c r="L8" s="275"/>
    </row>
    <row r="9" spans="1:13" s="179" customFormat="1" ht="13.8">
      <c r="A9" s="178"/>
      <c r="B9" s="178"/>
      <c r="C9" s="178"/>
      <c r="D9" s="181"/>
      <c r="E9" s="181"/>
      <c r="F9" s="181"/>
      <c r="G9" s="181"/>
      <c r="H9" s="181"/>
      <c r="I9" s="181"/>
      <c r="L9" s="275"/>
    </row>
    <row r="10" spans="1:13" s="177" customFormat="1" ht="13.8">
      <c r="A10" s="176"/>
      <c r="B10" s="176"/>
      <c r="C10" s="176"/>
      <c r="D10" s="178"/>
      <c r="E10" s="181"/>
      <c r="F10" s="181"/>
      <c r="G10" s="181"/>
      <c r="H10" s="181"/>
      <c r="I10" s="181"/>
      <c r="L10" s="306"/>
    </row>
    <row r="11" spans="1:13" s="177" customFormat="1" ht="13.8">
      <c r="A11" s="323"/>
      <c r="B11" s="180"/>
      <c r="C11" s="322"/>
      <c r="D11" s="183"/>
      <c r="E11" s="181"/>
      <c r="F11" s="181"/>
      <c r="G11" s="181"/>
      <c r="H11" s="181"/>
      <c r="I11" s="181"/>
      <c r="L11" s="306"/>
    </row>
    <row r="12" spans="1:13" s="177" customFormat="1" ht="43.95" customHeight="1">
      <c r="A12" s="320" t="s">
        <v>240</v>
      </c>
      <c r="B12" s="321" t="s">
        <v>377</v>
      </c>
      <c r="C12" s="320" t="s">
        <v>117</v>
      </c>
      <c r="D12" s="319" t="s">
        <v>376</v>
      </c>
      <c r="E12" s="181"/>
      <c r="F12" s="181"/>
      <c r="G12" s="181"/>
      <c r="H12" s="181"/>
      <c r="I12" s="181"/>
      <c r="L12" s="306"/>
    </row>
    <row r="13" spans="1:13" s="177" customFormat="1" ht="15" customHeight="1">
      <c r="A13" s="318" t="s">
        <v>241</v>
      </c>
      <c r="B13" s="317">
        <f>+'Master Budget Sheet'!X146</f>
        <v>0</v>
      </c>
      <c r="C13" s="303">
        <f>+'Master Budget Sheet'!BJ168</f>
        <v>47477</v>
      </c>
      <c r="D13" s="315">
        <f t="shared" ref="D13:D25" si="0">B13*C13</f>
        <v>0</v>
      </c>
      <c r="E13" s="181"/>
      <c r="F13" s="181"/>
      <c r="G13" s="181"/>
      <c r="H13" s="181"/>
      <c r="I13" s="181"/>
      <c r="L13" s="306"/>
    </row>
    <row r="14" spans="1:13" s="177" customFormat="1" ht="13.8">
      <c r="A14" s="312" t="s">
        <v>460</v>
      </c>
      <c r="B14" s="317">
        <f>+'Master Budget Sheet'!X147</f>
        <v>1.5</v>
      </c>
      <c r="C14" s="303">
        <f>+'Master Budget Sheet'!BJ169</f>
        <v>48347</v>
      </c>
      <c r="D14" s="313">
        <f t="shared" si="0"/>
        <v>72520.5</v>
      </c>
      <c r="E14" s="181"/>
      <c r="F14" s="181"/>
      <c r="G14" s="181"/>
      <c r="H14" s="181"/>
      <c r="I14" s="181"/>
      <c r="L14" s="306"/>
    </row>
    <row r="15" spans="1:13" s="181" customFormat="1" ht="13.8">
      <c r="A15" s="314" t="s">
        <v>461</v>
      </c>
      <c r="B15" s="317">
        <f>+'Master Budget Sheet'!X148</f>
        <v>0</v>
      </c>
      <c r="C15" s="303">
        <f>+'Master Budget Sheet'!BJ170</f>
        <v>49219</v>
      </c>
      <c r="D15" s="313">
        <f t="shared" si="0"/>
        <v>0</v>
      </c>
      <c r="J15" s="177"/>
      <c r="K15" s="177"/>
      <c r="L15" s="306"/>
      <c r="M15" s="177"/>
    </row>
    <row r="16" spans="1:13" s="181" customFormat="1" ht="13.8">
      <c r="A16" s="312" t="s">
        <v>246</v>
      </c>
      <c r="B16" s="317">
        <f>+'Master Budget Sheet'!X149</f>
        <v>1</v>
      </c>
      <c r="C16" s="303">
        <f>+'Master Budget Sheet'!BJ171</f>
        <v>50349</v>
      </c>
      <c r="D16" s="313">
        <f t="shared" si="0"/>
        <v>50349</v>
      </c>
      <c r="J16" s="177"/>
      <c r="K16" s="177"/>
      <c r="L16" s="306"/>
      <c r="M16" s="177"/>
    </row>
    <row r="17" spans="1:12" s="177" customFormat="1" ht="13.8">
      <c r="A17" s="312" t="s">
        <v>247</v>
      </c>
      <c r="B17" s="317">
        <f>+'Master Budget Sheet'!X150</f>
        <v>0.55000000000000004</v>
      </c>
      <c r="C17" s="303">
        <f>+'Master Budget Sheet'!BJ172</f>
        <v>52132</v>
      </c>
      <c r="D17" s="313">
        <f t="shared" si="0"/>
        <v>28672.600000000002</v>
      </c>
      <c r="H17" s="181"/>
      <c r="I17" s="181"/>
      <c r="L17" s="306"/>
    </row>
    <row r="18" spans="1:12" s="177" customFormat="1" ht="13.8">
      <c r="A18" s="312" t="s">
        <v>248</v>
      </c>
      <c r="B18" s="317">
        <f>+'Master Budget Sheet'!X151</f>
        <v>1</v>
      </c>
      <c r="C18" s="303">
        <f>+'Master Budget Sheet'!BJ173</f>
        <v>53914</v>
      </c>
      <c r="D18" s="313">
        <f t="shared" si="0"/>
        <v>53914</v>
      </c>
      <c r="H18" s="181"/>
      <c r="I18" s="181"/>
      <c r="L18" s="306"/>
    </row>
    <row r="19" spans="1:12" s="177" customFormat="1" ht="13.8">
      <c r="A19" s="312" t="s">
        <v>249</v>
      </c>
      <c r="B19" s="317">
        <f>+'Master Budget Sheet'!X152</f>
        <v>1</v>
      </c>
      <c r="C19" s="303">
        <f>+'Master Budget Sheet'!BJ174</f>
        <v>55696</v>
      </c>
      <c r="D19" s="313">
        <f t="shared" si="0"/>
        <v>55696</v>
      </c>
      <c r="H19" s="181"/>
      <c r="I19" s="181"/>
      <c r="L19" s="306"/>
    </row>
    <row r="20" spans="1:12" s="177" customFormat="1" ht="13.95" customHeight="1">
      <c r="A20" s="312" t="s">
        <v>250</v>
      </c>
      <c r="B20" s="317">
        <f>+'Master Budget Sheet'!X153</f>
        <v>1</v>
      </c>
      <c r="C20" s="303">
        <f>+'Master Budget Sheet'!BJ175</f>
        <v>57478</v>
      </c>
      <c r="D20" s="313">
        <f t="shared" si="0"/>
        <v>57478</v>
      </c>
      <c r="E20" s="175"/>
      <c r="F20" s="175"/>
      <c r="G20" s="175"/>
      <c r="H20" s="181"/>
      <c r="I20" s="181"/>
      <c r="L20" s="306"/>
    </row>
    <row r="21" spans="1:12" s="177" customFormat="1" ht="13.8">
      <c r="A21" s="312" t="s">
        <v>440</v>
      </c>
      <c r="B21" s="317">
        <f>+'Master Budget Sheet'!X154</f>
        <v>0</v>
      </c>
      <c r="C21" s="303">
        <f>+'Master Budget Sheet'!BJ176</f>
        <v>60592</v>
      </c>
      <c r="D21" s="313">
        <f t="shared" si="0"/>
        <v>0</v>
      </c>
      <c r="H21" s="181"/>
      <c r="I21" s="181"/>
      <c r="L21" s="306"/>
    </row>
    <row r="22" spans="1:12" s="177" customFormat="1" ht="13.8">
      <c r="A22" s="312" t="s">
        <v>441</v>
      </c>
      <c r="B22" s="317">
        <f>+'Master Budget Sheet'!X155</f>
        <v>0</v>
      </c>
      <c r="C22" s="303">
        <f>+'Master Budget Sheet'!BJ177</f>
        <v>62064</v>
      </c>
      <c r="D22" s="313">
        <f t="shared" si="0"/>
        <v>0</v>
      </c>
      <c r="H22" s="181"/>
      <c r="I22" s="181"/>
      <c r="L22" s="306"/>
    </row>
    <row r="23" spans="1:12" s="177" customFormat="1" ht="13.8">
      <c r="A23" s="312" t="s">
        <v>442</v>
      </c>
      <c r="B23" s="317">
        <f>+'Master Budget Sheet'!X156</f>
        <v>1.54</v>
      </c>
      <c r="C23" s="303">
        <f>+'Master Budget Sheet'!BJ178</f>
        <v>63524</v>
      </c>
      <c r="D23" s="313">
        <f t="shared" si="0"/>
        <v>97826.96</v>
      </c>
      <c r="H23" s="181"/>
      <c r="I23" s="181"/>
      <c r="L23" s="306"/>
    </row>
    <row r="24" spans="1:12" s="177" customFormat="1" ht="13.8">
      <c r="A24" s="312" t="s">
        <v>443</v>
      </c>
      <c r="B24" s="317">
        <f>+'Master Budget Sheet'!X157</f>
        <v>0</v>
      </c>
      <c r="C24" s="303">
        <f>+'Master Budget Sheet'!BJ179</f>
        <v>64972</v>
      </c>
      <c r="D24" s="313">
        <f t="shared" si="0"/>
        <v>0</v>
      </c>
      <c r="H24" s="181"/>
      <c r="I24" s="181"/>
      <c r="L24" s="306"/>
    </row>
    <row r="25" spans="1:12" s="177" customFormat="1" ht="13.8">
      <c r="A25" s="312" t="s">
        <v>444</v>
      </c>
      <c r="B25" s="317">
        <f>+'Master Budget Sheet'!X158</f>
        <v>0</v>
      </c>
      <c r="C25" s="303">
        <f>+'Master Budget Sheet'!BJ180</f>
        <v>0</v>
      </c>
      <c r="D25" s="311">
        <f t="shared" si="0"/>
        <v>0</v>
      </c>
      <c r="H25" s="181"/>
      <c r="I25" s="181"/>
      <c r="L25" s="306"/>
    </row>
    <row r="26" spans="1:12" s="177" customFormat="1" ht="14.4" thickBot="1">
      <c r="A26" s="271" t="s">
        <v>375</v>
      </c>
      <c r="B26" s="310">
        <f>SUM(B13:B25)</f>
        <v>7.59</v>
      </c>
      <c r="D26" s="309" t="s">
        <v>374</v>
      </c>
      <c r="E26" s="308">
        <f>SUM(D13:D25)</f>
        <v>416457.06</v>
      </c>
      <c r="H26" s="181"/>
      <c r="I26" s="181"/>
      <c r="L26" s="306"/>
    </row>
    <row r="27" spans="1:12" s="177" customFormat="1" ht="14.4" thickTop="1">
      <c r="E27" s="307"/>
      <c r="H27" s="181"/>
      <c r="I27" s="181"/>
      <c r="L27" s="306"/>
    </row>
    <row r="28" spans="1:12" s="175" customFormat="1" ht="13.8">
      <c r="A28" s="283" t="s">
        <v>260</v>
      </c>
      <c r="B28" s="283"/>
      <c r="C28" s="275"/>
      <c r="D28" s="275"/>
      <c r="E28" s="300"/>
      <c r="F28" s="275"/>
      <c r="G28" s="275"/>
      <c r="H28" s="275"/>
      <c r="I28" s="275"/>
      <c r="J28" s="182"/>
      <c r="L28" s="275"/>
    </row>
    <row r="29" spans="1:12" s="175" customFormat="1" ht="21" customHeight="1">
      <c r="A29" s="286" t="s">
        <v>373</v>
      </c>
      <c r="B29" s="286"/>
      <c r="C29" s="286"/>
      <c r="D29" s="286"/>
      <c r="E29" s="300"/>
      <c r="F29" s="275"/>
      <c r="G29" s="275"/>
      <c r="H29" s="275"/>
      <c r="I29" s="275"/>
      <c r="L29" s="275"/>
    </row>
    <row r="30" spans="1:12" s="175" customFormat="1" ht="13.8">
      <c r="A30" s="286" t="s">
        <v>261</v>
      </c>
      <c r="B30" s="285" t="s">
        <v>168</v>
      </c>
      <c r="C30" s="283" t="s">
        <v>372</v>
      </c>
      <c r="D30" s="305" t="s">
        <v>259</v>
      </c>
      <c r="E30" s="290"/>
      <c r="F30" s="283"/>
      <c r="G30" s="283"/>
      <c r="H30" s="283"/>
      <c r="I30" s="283"/>
      <c r="L30" s="275"/>
    </row>
    <row r="31" spans="1:12" s="179" customFormat="1" ht="13.8">
      <c r="A31" s="304" t="s">
        <v>262</v>
      </c>
      <c r="B31" s="317">
        <f>+'Master Budget Sheet'!X160</f>
        <v>2</v>
      </c>
      <c r="C31" s="303">
        <f>+'Master Budget Sheet'!BJ182</f>
        <v>2000</v>
      </c>
      <c r="D31" s="302">
        <f>B31*C31</f>
        <v>4000</v>
      </c>
      <c r="E31" s="300"/>
      <c r="F31" s="275"/>
      <c r="G31" s="275"/>
      <c r="H31" s="275"/>
      <c r="I31" s="275"/>
      <c r="L31" s="275"/>
    </row>
    <row r="32" spans="1:12" s="175" customFormat="1" ht="13.8">
      <c r="A32" s="304" t="s">
        <v>263</v>
      </c>
      <c r="B32" s="317">
        <f>+'Master Budget Sheet'!X161</f>
        <v>2</v>
      </c>
      <c r="C32" s="303">
        <f>+'Master Budget Sheet'!BJ183</f>
        <v>3500</v>
      </c>
      <c r="D32" s="302">
        <f>B32*C32</f>
        <v>7000</v>
      </c>
      <c r="E32" s="300"/>
      <c r="F32" s="275"/>
      <c r="G32" s="275"/>
      <c r="H32" s="275"/>
      <c r="I32" s="275"/>
      <c r="L32" s="275"/>
    </row>
    <row r="33" spans="1:12" s="175" customFormat="1" ht="13.8">
      <c r="A33" s="275"/>
      <c r="C33" s="275"/>
      <c r="D33" s="279" t="s">
        <v>264</v>
      </c>
      <c r="E33" s="277">
        <f>SUM(D31:D32)</f>
        <v>11000</v>
      </c>
      <c r="F33" s="275"/>
      <c r="G33" s="275"/>
      <c r="H33" s="275"/>
      <c r="I33" s="275"/>
      <c r="L33" s="275"/>
    </row>
    <row r="34" spans="1:12" s="175" customFormat="1" ht="23.55" customHeight="1">
      <c r="A34" s="301" t="s">
        <v>362</v>
      </c>
      <c r="C34" s="275"/>
      <c r="D34" s="275"/>
      <c r="E34" s="300"/>
      <c r="F34" s="275"/>
      <c r="G34" s="275"/>
      <c r="H34" s="275"/>
      <c r="I34" s="275"/>
      <c r="L34" s="275"/>
    </row>
    <row r="35" spans="1:12" s="175" customFormat="1" ht="13.8">
      <c r="A35" s="299" t="s">
        <v>371</v>
      </c>
      <c r="B35" s="299"/>
      <c r="C35" s="298"/>
      <c r="D35" s="298"/>
      <c r="E35" s="297"/>
      <c r="F35" s="275"/>
      <c r="G35" s="275"/>
      <c r="H35" s="275"/>
      <c r="I35" s="275"/>
      <c r="J35" s="182"/>
      <c r="L35" s="275"/>
    </row>
    <row r="36" spans="1:12" s="175" customFormat="1" ht="25.2" customHeight="1">
      <c r="A36" s="1237" t="s">
        <v>370</v>
      </c>
      <c r="B36" s="1238"/>
      <c r="C36" s="1238"/>
      <c r="D36" s="1238"/>
      <c r="E36" s="1238"/>
      <c r="F36" s="275"/>
      <c r="G36" s="275"/>
      <c r="H36" s="275"/>
      <c r="I36" s="275"/>
      <c r="L36" s="275"/>
    </row>
    <row r="37" spans="1:12" s="175" customFormat="1" ht="13.8">
      <c r="A37" s="296" t="s">
        <v>235</v>
      </c>
      <c r="B37" s="294" t="s">
        <v>168</v>
      </c>
      <c r="C37" s="295" t="s">
        <v>369</v>
      </c>
      <c r="D37" s="294" t="s">
        <v>259</v>
      </c>
      <c r="E37" s="290"/>
      <c r="F37" s="283"/>
      <c r="G37" s="283"/>
      <c r="H37" s="283"/>
      <c r="I37" s="283"/>
      <c r="L37" s="275"/>
    </row>
    <row r="38" spans="1:12" s="175" customFormat="1" ht="13.8">
      <c r="A38" s="293" t="s">
        <v>368</v>
      </c>
      <c r="B38" s="317">
        <f>+'Master Budget Sheet'!X162</f>
        <v>0</v>
      </c>
      <c r="C38" s="303">
        <f>+'Master Budget Sheet'!BJ184</f>
        <v>3000</v>
      </c>
      <c r="D38" s="291">
        <f>B38*C38</f>
        <v>0</v>
      </c>
      <c r="E38" s="290"/>
      <c r="F38" s="283"/>
      <c r="G38" s="283"/>
      <c r="H38" s="283"/>
      <c r="I38" s="283"/>
      <c r="L38" s="275"/>
    </row>
    <row r="39" spans="1:12" s="175" customFormat="1" ht="13.8">
      <c r="A39" s="286"/>
      <c r="B39" s="285"/>
      <c r="C39" s="289"/>
      <c r="D39" s="288" t="s">
        <v>367</v>
      </c>
      <c r="E39" s="287">
        <f>D38</f>
        <v>0</v>
      </c>
      <c r="F39" s="283"/>
      <c r="G39" s="283"/>
      <c r="H39" s="283"/>
      <c r="I39" s="283"/>
      <c r="L39" s="275"/>
    </row>
    <row r="40" spans="1:12" s="175" customFormat="1" ht="13.8">
      <c r="A40" s="286"/>
      <c r="B40" s="285"/>
      <c r="C40" s="284"/>
      <c r="D40" s="279"/>
      <c r="E40" s="277"/>
      <c r="F40" s="283"/>
      <c r="G40" s="283"/>
      <c r="H40" s="283"/>
      <c r="I40" s="283"/>
      <c r="L40" s="275"/>
    </row>
    <row r="41" spans="1:12" ht="13.8">
      <c r="A41" s="175"/>
      <c r="B41" s="175"/>
      <c r="C41" s="282" t="s">
        <v>366</v>
      </c>
      <c r="D41" s="281"/>
      <c r="E41" s="280">
        <v>0</v>
      </c>
      <c r="F41" s="270" t="s">
        <v>365</v>
      </c>
      <c r="G41" s="270"/>
      <c r="H41" s="270"/>
      <c r="I41" s="175"/>
      <c r="J41" s="175"/>
      <c r="K41" s="175"/>
      <c r="L41" s="275"/>
    </row>
    <row r="42" spans="1:12" s="175" customFormat="1" ht="13.8">
      <c r="A42" s="275"/>
      <c r="B42" s="275"/>
      <c r="C42" s="279" t="s">
        <v>364</v>
      </c>
      <c r="D42" s="278"/>
      <c r="E42" s="277">
        <f>SUM(E26:E41)</f>
        <v>427457.06</v>
      </c>
      <c r="F42" s="275"/>
      <c r="G42" s="275"/>
      <c r="H42" s="275"/>
      <c r="I42" s="275"/>
      <c r="L42" s="275"/>
    </row>
    <row r="43" spans="1:12" s="175" customFormat="1" ht="14.4" thickBot="1">
      <c r="A43" s="272"/>
      <c r="B43" s="272"/>
      <c r="D43" s="275" t="s">
        <v>363</v>
      </c>
      <c r="E43" s="276">
        <f>E42/B26</f>
        <v>56318.453227931488</v>
      </c>
      <c r="F43" s="275"/>
      <c r="G43" s="275"/>
      <c r="H43" s="275"/>
      <c r="I43" s="275"/>
      <c r="L43" s="275"/>
    </row>
    <row r="44" spans="1:12" s="175" customFormat="1" ht="15" customHeight="1" thickTop="1">
      <c r="A44" s="268"/>
      <c r="B44" s="268"/>
      <c r="L44" s="275"/>
    </row>
    <row r="45" spans="1:12" s="273" customFormat="1" ht="67.95" customHeight="1">
      <c r="A45"/>
      <c r="B45"/>
      <c r="C45"/>
      <c r="D45"/>
      <c r="E45"/>
      <c r="F45"/>
      <c r="L45" s="274"/>
    </row>
  </sheetData>
  <mergeCells count="1">
    <mergeCell ref="A36:E36"/>
  </mergeCells>
  <pageMargins left="0.75" right="0.25" top="0" bottom="0" header="0.3" footer="0.3"/>
  <pageSetup orientation="portrait" horizontalDpi="1800" verticalDpi="18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dimension ref="A1:R37"/>
  <sheetViews>
    <sheetView showGridLines="0" zoomScale="90" zoomScaleNormal="100" workbookViewId="0">
      <selection activeCell="C4" sqref="C4"/>
    </sheetView>
  </sheetViews>
  <sheetFormatPr defaultRowHeight="13.2"/>
  <cols>
    <col min="1" max="1" width="4.21875" style="30" customWidth="1"/>
    <col min="2" max="2" width="2.5546875" style="2" customWidth="1"/>
    <col min="3" max="6" width="8.77734375" style="2"/>
    <col min="7" max="7" width="4.5546875" style="2" customWidth="1"/>
    <col min="8" max="8" width="10.21875" style="2" customWidth="1"/>
    <col min="9" max="9" width="3.21875" style="2" customWidth="1"/>
    <col min="10" max="10" width="8.77734375" style="2"/>
    <col min="11" max="11" width="6.21875" style="2" customWidth="1"/>
    <col min="12" max="12" width="3.77734375" style="2" customWidth="1"/>
    <col min="13" max="13" width="10.77734375" style="2" customWidth="1"/>
    <col min="14" max="14" width="4.21875" style="2" customWidth="1"/>
    <col min="15" max="15" width="12.21875" style="2" customWidth="1"/>
    <col min="16" max="16" width="10.21875" style="2" customWidth="1"/>
    <col min="17" max="17" width="9.21875" style="32" customWidth="1"/>
    <col min="18" max="256" width="8.77734375" style="2"/>
    <col min="257" max="257" width="4.21875" style="2" customWidth="1"/>
    <col min="258" max="258" width="2.5546875" style="2" customWidth="1"/>
    <col min="259" max="262" width="8.77734375" style="2"/>
    <col min="263" max="263" width="4.5546875" style="2" customWidth="1"/>
    <col min="264" max="264" width="10.21875" style="2" customWidth="1"/>
    <col min="265" max="265" width="3.21875" style="2" customWidth="1"/>
    <col min="266" max="266" width="8.77734375" style="2"/>
    <col min="267" max="267" width="6.21875" style="2" customWidth="1"/>
    <col min="268" max="268" width="3.77734375" style="2" customWidth="1"/>
    <col min="269" max="269" width="10.77734375" style="2" customWidth="1"/>
    <col min="270" max="270" width="4.21875" style="2" customWidth="1"/>
    <col min="271" max="271" width="12.21875" style="2" customWidth="1"/>
    <col min="272" max="272" width="10.21875" style="2" customWidth="1"/>
    <col min="273" max="273" width="9.21875" style="2" customWidth="1"/>
    <col min="274" max="512" width="8.77734375" style="2"/>
    <col min="513" max="513" width="4.21875" style="2" customWidth="1"/>
    <col min="514" max="514" width="2.5546875" style="2" customWidth="1"/>
    <col min="515" max="518" width="8.77734375" style="2"/>
    <col min="519" max="519" width="4.5546875" style="2" customWidth="1"/>
    <col min="520" max="520" width="10.21875" style="2" customWidth="1"/>
    <col min="521" max="521" width="3.21875" style="2" customWidth="1"/>
    <col min="522" max="522" width="8.77734375" style="2"/>
    <col min="523" max="523" width="6.21875" style="2" customWidth="1"/>
    <col min="524" max="524" width="3.77734375" style="2" customWidth="1"/>
    <col min="525" max="525" width="10.77734375" style="2" customWidth="1"/>
    <col min="526" max="526" width="4.21875" style="2" customWidth="1"/>
    <col min="527" max="527" width="12.21875" style="2" customWidth="1"/>
    <col min="528" max="528" width="10.21875" style="2" customWidth="1"/>
    <col min="529" max="529" width="9.21875" style="2" customWidth="1"/>
    <col min="530" max="768" width="8.77734375" style="2"/>
    <col min="769" max="769" width="4.21875" style="2" customWidth="1"/>
    <col min="770" max="770" width="2.5546875" style="2" customWidth="1"/>
    <col min="771" max="774" width="8.77734375" style="2"/>
    <col min="775" max="775" width="4.5546875" style="2" customWidth="1"/>
    <col min="776" max="776" width="10.21875" style="2" customWidth="1"/>
    <col min="777" max="777" width="3.21875" style="2" customWidth="1"/>
    <col min="778" max="778" width="8.77734375" style="2"/>
    <col min="779" max="779" width="6.21875" style="2" customWidth="1"/>
    <col min="780" max="780" width="3.77734375" style="2" customWidth="1"/>
    <col min="781" max="781" width="10.77734375" style="2" customWidth="1"/>
    <col min="782" max="782" width="4.21875" style="2" customWidth="1"/>
    <col min="783" max="783" width="12.21875" style="2" customWidth="1"/>
    <col min="784" max="784" width="10.21875" style="2" customWidth="1"/>
    <col min="785" max="785" width="9.21875" style="2" customWidth="1"/>
    <col min="786" max="1024" width="8.77734375" style="2"/>
    <col min="1025" max="1025" width="4.21875" style="2" customWidth="1"/>
    <col min="1026" max="1026" width="2.5546875" style="2" customWidth="1"/>
    <col min="1027" max="1030" width="8.77734375" style="2"/>
    <col min="1031" max="1031" width="4.5546875" style="2" customWidth="1"/>
    <col min="1032" max="1032" width="10.21875" style="2" customWidth="1"/>
    <col min="1033" max="1033" width="3.21875" style="2" customWidth="1"/>
    <col min="1034" max="1034" width="8.77734375" style="2"/>
    <col min="1035" max="1035" width="6.21875" style="2" customWidth="1"/>
    <col min="1036" max="1036" width="3.77734375" style="2" customWidth="1"/>
    <col min="1037" max="1037" width="10.77734375" style="2" customWidth="1"/>
    <col min="1038" max="1038" width="4.21875" style="2" customWidth="1"/>
    <col min="1039" max="1039" width="12.21875" style="2" customWidth="1"/>
    <col min="1040" max="1040" width="10.21875" style="2" customWidth="1"/>
    <col min="1041" max="1041" width="9.21875" style="2" customWidth="1"/>
    <col min="1042" max="1280" width="8.77734375" style="2"/>
    <col min="1281" max="1281" width="4.21875" style="2" customWidth="1"/>
    <col min="1282" max="1282" width="2.5546875" style="2" customWidth="1"/>
    <col min="1283" max="1286" width="8.77734375" style="2"/>
    <col min="1287" max="1287" width="4.5546875" style="2" customWidth="1"/>
    <col min="1288" max="1288" width="10.21875" style="2" customWidth="1"/>
    <col min="1289" max="1289" width="3.21875" style="2" customWidth="1"/>
    <col min="1290" max="1290" width="8.77734375" style="2"/>
    <col min="1291" max="1291" width="6.21875" style="2" customWidth="1"/>
    <col min="1292" max="1292" width="3.77734375" style="2" customWidth="1"/>
    <col min="1293" max="1293" width="10.77734375" style="2" customWidth="1"/>
    <col min="1294" max="1294" width="4.21875" style="2" customWidth="1"/>
    <col min="1295" max="1295" width="12.21875" style="2" customWidth="1"/>
    <col min="1296" max="1296" width="10.21875" style="2" customWidth="1"/>
    <col min="1297" max="1297" width="9.21875" style="2" customWidth="1"/>
    <col min="1298" max="1536" width="8.77734375" style="2"/>
    <col min="1537" max="1537" width="4.21875" style="2" customWidth="1"/>
    <col min="1538" max="1538" width="2.5546875" style="2" customWidth="1"/>
    <col min="1539" max="1542" width="8.77734375" style="2"/>
    <col min="1543" max="1543" width="4.5546875" style="2" customWidth="1"/>
    <col min="1544" max="1544" width="10.21875" style="2" customWidth="1"/>
    <col min="1545" max="1545" width="3.21875" style="2" customWidth="1"/>
    <col min="1546" max="1546" width="8.77734375" style="2"/>
    <col min="1547" max="1547" width="6.21875" style="2" customWidth="1"/>
    <col min="1548" max="1548" width="3.77734375" style="2" customWidth="1"/>
    <col min="1549" max="1549" width="10.77734375" style="2" customWidth="1"/>
    <col min="1550" max="1550" width="4.21875" style="2" customWidth="1"/>
    <col min="1551" max="1551" width="12.21875" style="2" customWidth="1"/>
    <col min="1552" max="1552" width="10.21875" style="2" customWidth="1"/>
    <col min="1553" max="1553" width="9.21875" style="2" customWidth="1"/>
    <col min="1554" max="1792" width="8.77734375" style="2"/>
    <col min="1793" max="1793" width="4.21875" style="2" customWidth="1"/>
    <col min="1794" max="1794" width="2.5546875" style="2" customWidth="1"/>
    <col min="1795" max="1798" width="8.77734375" style="2"/>
    <col min="1799" max="1799" width="4.5546875" style="2" customWidth="1"/>
    <col min="1800" max="1800" width="10.21875" style="2" customWidth="1"/>
    <col min="1801" max="1801" width="3.21875" style="2" customWidth="1"/>
    <col min="1802" max="1802" width="8.77734375" style="2"/>
    <col min="1803" max="1803" width="6.21875" style="2" customWidth="1"/>
    <col min="1804" max="1804" width="3.77734375" style="2" customWidth="1"/>
    <col min="1805" max="1805" width="10.77734375" style="2" customWidth="1"/>
    <col min="1806" max="1806" width="4.21875" style="2" customWidth="1"/>
    <col min="1807" max="1807" width="12.21875" style="2" customWidth="1"/>
    <col min="1808" max="1808" width="10.21875" style="2" customWidth="1"/>
    <col min="1809" max="1809" width="9.21875" style="2" customWidth="1"/>
    <col min="1810" max="2048" width="8.77734375" style="2"/>
    <col min="2049" max="2049" width="4.21875" style="2" customWidth="1"/>
    <col min="2050" max="2050" width="2.5546875" style="2" customWidth="1"/>
    <col min="2051" max="2054" width="8.77734375" style="2"/>
    <col min="2055" max="2055" width="4.5546875" style="2" customWidth="1"/>
    <col min="2056" max="2056" width="10.21875" style="2" customWidth="1"/>
    <col min="2057" max="2057" width="3.21875" style="2" customWidth="1"/>
    <col min="2058" max="2058" width="8.77734375" style="2"/>
    <col min="2059" max="2059" width="6.21875" style="2" customWidth="1"/>
    <col min="2060" max="2060" width="3.77734375" style="2" customWidth="1"/>
    <col min="2061" max="2061" width="10.77734375" style="2" customWidth="1"/>
    <col min="2062" max="2062" width="4.21875" style="2" customWidth="1"/>
    <col min="2063" max="2063" width="12.21875" style="2" customWidth="1"/>
    <col min="2064" max="2064" width="10.21875" style="2" customWidth="1"/>
    <col min="2065" max="2065" width="9.21875" style="2" customWidth="1"/>
    <col min="2066" max="2304" width="8.77734375" style="2"/>
    <col min="2305" max="2305" width="4.21875" style="2" customWidth="1"/>
    <col min="2306" max="2306" width="2.5546875" style="2" customWidth="1"/>
    <col min="2307" max="2310" width="8.77734375" style="2"/>
    <col min="2311" max="2311" width="4.5546875" style="2" customWidth="1"/>
    <col min="2312" max="2312" width="10.21875" style="2" customWidth="1"/>
    <col min="2313" max="2313" width="3.21875" style="2" customWidth="1"/>
    <col min="2314" max="2314" width="8.77734375" style="2"/>
    <col min="2315" max="2315" width="6.21875" style="2" customWidth="1"/>
    <col min="2316" max="2316" width="3.77734375" style="2" customWidth="1"/>
    <col min="2317" max="2317" width="10.77734375" style="2" customWidth="1"/>
    <col min="2318" max="2318" width="4.21875" style="2" customWidth="1"/>
    <col min="2319" max="2319" width="12.21875" style="2" customWidth="1"/>
    <col min="2320" max="2320" width="10.21875" style="2" customWidth="1"/>
    <col min="2321" max="2321" width="9.21875" style="2" customWidth="1"/>
    <col min="2322" max="2560" width="8.77734375" style="2"/>
    <col min="2561" max="2561" width="4.21875" style="2" customWidth="1"/>
    <col min="2562" max="2562" width="2.5546875" style="2" customWidth="1"/>
    <col min="2563" max="2566" width="8.77734375" style="2"/>
    <col min="2567" max="2567" width="4.5546875" style="2" customWidth="1"/>
    <col min="2568" max="2568" width="10.21875" style="2" customWidth="1"/>
    <col min="2569" max="2569" width="3.21875" style="2" customWidth="1"/>
    <col min="2570" max="2570" width="8.77734375" style="2"/>
    <col min="2571" max="2571" width="6.21875" style="2" customWidth="1"/>
    <col min="2572" max="2572" width="3.77734375" style="2" customWidth="1"/>
    <col min="2573" max="2573" width="10.77734375" style="2" customWidth="1"/>
    <col min="2574" max="2574" width="4.21875" style="2" customWidth="1"/>
    <col min="2575" max="2575" width="12.21875" style="2" customWidth="1"/>
    <col min="2576" max="2576" width="10.21875" style="2" customWidth="1"/>
    <col min="2577" max="2577" width="9.21875" style="2" customWidth="1"/>
    <col min="2578" max="2816" width="8.77734375" style="2"/>
    <col min="2817" max="2817" width="4.21875" style="2" customWidth="1"/>
    <col min="2818" max="2818" width="2.5546875" style="2" customWidth="1"/>
    <col min="2819" max="2822" width="8.77734375" style="2"/>
    <col min="2823" max="2823" width="4.5546875" style="2" customWidth="1"/>
    <col min="2824" max="2824" width="10.21875" style="2" customWidth="1"/>
    <col min="2825" max="2825" width="3.21875" style="2" customWidth="1"/>
    <col min="2826" max="2826" width="8.77734375" style="2"/>
    <col min="2827" max="2827" width="6.21875" style="2" customWidth="1"/>
    <col min="2828" max="2828" width="3.77734375" style="2" customWidth="1"/>
    <col min="2829" max="2829" width="10.77734375" style="2" customWidth="1"/>
    <col min="2830" max="2830" width="4.21875" style="2" customWidth="1"/>
    <col min="2831" max="2831" width="12.21875" style="2" customWidth="1"/>
    <col min="2832" max="2832" width="10.21875" style="2" customWidth="1"/>
    <col min="2833" max="2833" width="9.21875" style="2" customWidth="1"/>
    <col min="2834" max="3072" width="8.77734375" style="2"/>
    <col min="3073" max="3073" width="4.21875" style="2" customWidth="1"/>
    <col min="3074" max="3074" width="2.5546875" style="2" customWidth="1"/>
    <col min="3075" max="3078" width="8.77734375" style="2"/>
    <col min="3079" max="3079" width="4.5546875" style="2" customWidth="1"/>
    <col min="3080" max="3080" width="10.21875" style="2" customWidth="1"/>
    <col min="3081" max="3081" width="3.21875" style="2" customWidth="1"/>
    <col min="3082" max="3082" width="8.77734375" style="2"/>
    <col min="3083" max="3083" width="6.21875" style="2" customWidth="1"/>
    <col min="3084" max="3084" width="3.77734375" style="2" customWidth="1"/>
    <col min="3085" max="3085" width="10.77734375" style="2" customWidth="1"/>
    <col min="3086" max="3086" width="4.21875" style="2" customWidth="1"/>
    <col min="3087" max="3087" width="12.21875" style="2" customWidth="1"/>
    <col min="3088" max="3088" width="10.21875" style="2" customWidth="1"/>
    <col min="3089" max="3089" width="9.21875" style="2" customWidth="1"/>
    <col min="3090" max="3328" width="8.77734375" style="2"/>
    <col min="3329" max="3329" width="4.21875" style="2" customWidth="1"/>
    <col min="3330" max="3330" width="2.5546875" style="2" customWidth="1"/>
    <col min="3331" max="3334" width="8.77734375" style="2"/>
    <col min="3335" max="3335" width="4.5546875" style="2" customWidth="1"/>
    <col min="3336" max="3336" width="10.21875" style="2" customWidth="1"/>
    <col min="3337" max="3337" width="3.21875" style="2" customWidth="1"/>
    <col min="3338" max="3338" width="8.77734375" style="2"/>
    <col min="3339" max="3339" width="6.21875" style="2" customWidth="1"/>
    <col min="3340" max="3340" width="3.77734375" style="2" customWidth="1"/>
    <col min="3341" max="3341" width="10.77734375" style="2" customWidth="1"/>
    <col min="3342" max="3342" width="4.21875" style="2" customWidth="1"/>
    <col min="3343" max="3343" width="12.21875" style="2" customWidth="1"/>
    <col min="3344" max="3344" width="10.21875" style="2" customWidth="1"/>
    <col min="3345" max="3345" width="9.21875" style="2" customWidth="1"/>
    <col min="3346" max="3584" width="8.77734375" style="2"/>
    <col min="3585" max="3585" width="4.21875" style="2" customWidth="1"/>
    <col min="3586" max="3586" width="2.5546875" style="2" customWidth="1"/>
    <col min="3587" max="3590" width="8.77734375" style="2"/>
    <col min="3591" max="3591" width="4.5546875" style="2" customWidth="1"/>
    <col min="3592" max="3592" width="10.21875" style="2" customWidth="1"/>
    <col min="3593" max="3593" width="3.21875" style="2" customWidth="1"/>
    <col min="3594" max="3594" width="8.77734375" style="2"/>
    <col min="3595" max="3595" width="6.21875" style="2" customWidth="1"/>
    <col min="3596" max="3596" width="3.77734375" style="2" customWidth="1"/>
    <col min="3597" max="3597" width="10.77734375" style="2" customWidth="1"/>
    <col min="3598" max="3598" width="4.21875" style="2" customWidth="1"/>
    <col min="3599" max="3599" width="12.21875" style="2" customWidth="1"/>
    <col min="3600" max="3600" width="10.21875" style="2" customWidth="1"/>
    <col min="3601" max="3601" width="9.21875" style="2" customWidth="1"/>
    <col min="3602" max="3840" width="8.77734375" style="2"/>
    <col min="3841" max="3841" width="4.21875" style="2" customWidth="1"/>
    <col min="3842" max="3842" width="2.5546875" style="2" customWidth="1"/>
    <col min="3843" max="3846" width="8.77734375" style="2"/>
    <col min="3847" max="3847" width="4.5546875" style="2" customWidth="1"/>
    <col min="3848" max="3848" width="10.21875" style="2" customWidth="1"/>
    <col min="3849" max="3849" width="3.21875" style="2" customWidth="1"/>
    <col min="3850" max="3850" width="8.77734375" style="2"/>
    <col min="3851" max="3851" width="6.21875" style="2" customWidth="1"/>
    <col min="3852" max="3852" width="3.77734375" style="2" customWidth="1"/>
    <col min="3853" max="3853" width="10.77734375" style="2" customWidth="1"/>
    <col min="3854" max="3854" width="4.21875" style="2" customWidth="1"/>
    <col min="3855" max="3855" width="12.21875" style="2" customWidth="1"/>
    <col min="3856" max="3856" width="10.21875" style="2" customWidth="1"/>
    <col min="3857" max="3857" width="9.21875" style="2" customWidth="1"/>
    <col min="3858" max="4096" width="8.77734375" style="2"/>
    <col min="4097" max="4097" width="4.21875" style="2" customWidth="1"/>
    <col min="4098" max="4098" width="2.5546875" style="2" customWidth="1"/>
    <col min="4099" max="4102" width="8.77734375" style="2"/>
    <col min="4103" max="4103" width="4.5546875" style="2" customWidth="1"/>
    <col min="4104" max="4104" width="10.21875" style="2" customWidth="1"/>
    <col min="4105" max="4105" width="3.21875" style="2" customWidth="1"/>
    <col min="4106" max="4106" width="8.77734375" style="2"/>
    <col min="4107" max="4107" width="6.21875" style="2" customWidth="1"/>
    <col min="4108" max="4108" width="3.77734375" style="2" customWidth="1"/>
    <col min="4109" max="4109" width="10.77734375" style="2" customWidth="1"/>
    <col min="4110" max="4110" width="4.21875" style="2" customWidth="1"/>
    <col min="4111" max="4111" width="12.21875" style="2" customWidth="1"/>
    <col min="4112" max="4112" width="10.21875" style="2" customWidth="1"/>
    <col min="4113" max="4113" width="9.21875" style="2" customWidth="1"/>
    <col min="4114" max="4352" width="8.77734375" style="2"/>
    <col min="4353" max="4353" width="4.21875" style="2" customWidth="1"/>
    <col min="4354" max="4354" width="2.5546875" style="2" customWidth="1"/>
    <col min="4355" max="4358" width="8.77734375" style="2"/>
    <col min="4359" max="4359" width="4.5546875" style="2" customWidth="1"/>
    <col min="4360" max="4360" width="10.21875" style="2" customWidth="1"/>
    <col min="4361" max="4361" width="3.21875" style="2" customWidth="1"/>
    <col min="4362" max="4362" width="8.77734375" style="2"/>
    <col min="4363" max="4363" width="6.21875" style="2" customWidth="1"/>
    <col min="4364" max="4364" width="3.77734375" style="2" customWidth="1"/>
    <col min="4365" max="4365" width="10.77734375" style="2" customWidth="1"/>
    <col min="4366" max="4366" width="4.21875" style="2" customWidth="1"/>
    <col min="4367" max="4367" width="12.21875" style="2" customWidth="1"/>
    <col min="4368" max="4368" width="10.21875" style="2" customWidth="1"/>
    <col min="4369" max="4369" width="9.21875" style="2" customWidth="1"/>
    <col min="4370" max="4608" width="8.77734375" style="2"/>
    <col min="4609" max="4609" width="4.21875" style="2" customWidth="1"/>
    <col min="4610" max="4610" width="2.5546875" style="2" customWidth="1"/>
    <col min="4611" max="4614" width="8.77734375" style="2"/>
    <col min="4615" max="4615" width="4.5546875" style="2" customWidth="1"/>
    <col min="4616" max="4616" width="10.21875" style="2" customWidth="1"/>
    <col min="4617" max="4617" width="3.21875" style="2" customWidth="1"/>
    <col min="4618" max="4618" width="8.77734375" style="2"/>
    <col min="4619" max="4619" width="6.21875" style="2" customWidth="1"/>
    <col min="4620" max="4620" width="3.77734375" style="2" customWidth="1"/>
    <col min="4621" max="4621" width="10.77734375" style="2" customWidth="1"/>
    <col min="4622" max="4622" width="4.21875" style="2" customWidth="1"/>
    <col min="4623" max="4623" width="12.21875" style="2" customWidth="1"/>
    <col min="4624" max="4624" width="10.21875" style="2" customWidth="1"/>
    <col min="4625" max="4625" width="9.21875" style="2" customWidth="1"/>
    <col min="4626" max="4864" width="8.77734375" style="2"/>
    <col min="4865" max="4865" width="4.21875" style="2" customWidth="1"/>
    <col min="4866" max="4866" width="2.5546875" style="2" customWidth="1"/>
    <col min="4867" max="4870" width="8.77734375" style="2"/>
    <col min="4871" max="4871" width="4.5546875" style="2" customWidth="1"/>
    <col min="4872" max="4872" width="10.21875" style="2" customWidth="1"/>
    <col min="4873" max="4873" width="3.21875" style="2" customWidth="1"/>
    <col min="4874" max="4874" width="8.77734375" style="2"/>
    <col min="4875" max="4875" width="6.21875" style="2" customWidth="1"/>
    <col min="4876" max="4876" width="3.77734375" style="2" customWidth="1"/>
    <col min="4877" max="4877" width="10.77734375" style="2" customWidth="1"/>
    <col min="4878" max="4878" width="4.21875" style="2" customWidth="1"/>
    <col min="4879" max="4879" width="12.21875" style="2" customWidth="1"/>
    <col min="4880" max="4880" width="10.21875" style="2" customWidth="1"/>
    <col min="4881" max="4881" width="9.21875" style="2" customWidth="1"/>
    <col min="4882" max="5120" width="8.77734375" style="2"/>
    <col min="5121" max="5121" width="4.21875" style="2" customWidth="1"/>
    <col min="5122" max="5122" width="2.5546875" style="2" customWidth="1"/>
    <col min="5123" max="5126" width="8.77734375" style="2"/>
    <col min="5127" max="5127" width="4.5546875" style="2" customWidth="1"/>
    <col min="5128" max="5128" width="10.21875" style="2" customWidth="1"/>
    <col min="5129" max="5129" width="3.21875" style="2" customWidth="1"/>
    <col min="5130" max="5130" width="8.77734375" style="2"/>
    <col min="5131" max="5131" width="6.21875" style="2" customWidth="1"/>
    <col min="5132" max="5132" width="3.77734375" style="2" customWidth="1"/>
    <col min="5133" max="5133" width="10.77734375" style="2" customWidth="1"/>
    <col min="5134" max="5134" width="4.21875" style="2" customWidth="1"/>
    <col min="5135" max="5135" width="12.21875" style="2" customWidth="1"/>
    <col min="5136" max="5136" width="10.21875" style="2" customWidth="1"/>
    <col min="5137" max="5137" width="9.21875" style="2" customWidth="1"/>
    <col min="5138" max="5376" width="8.77734375" style="2"/>
    <col min="5377" max="5377" width="4.21875" style="2" customWidth="1"/>
    <col min="5378" max="5378" width="2.5546875" style="2" customWidth="1"/>
    <col min="5379" max="5382" width="8.77734375" style="2"/>
    <col min="5383" max="5383" width="4.5546875" style="2" customWidth="1"/>
    <col min="5384" max="5384" width="10.21875" style="2" customWidth="1"/>
    <col min="5385" max="5385" width="3.21875" style="2" customWidth="1"/>
    <col min="5386" max="5386" width="8.77734375" style="2"/>
    <col min="5387" max="5387" width="6.21875" style="2" customWidth="1"/>
    <col min="5388" max="5388" width="3.77734375" style="2" customWidth="1"/>
    <col min="5389" max="5389" width="10.77734375" style="2" customWidth="1"/>
    <col min="5390" max="5390" width="4.21875" style="2" customWidth="1"/>
    <col min="5391" max="5391" width="12.21875" style="2" customWidth="1"/>
    <col min="5392" max="5392" width="10.21875" style="2" customWidth="1"/>
    <col min="5393" max="5393" width="9.21875" style="2" customWidth="1"/>
    <col min="5394" max="5632" width="8.77734375" style="2"/>
    <col min="5633" max="5633" width="4.21875" style="2" customWidth="1"/>
    <col min="5634" max="5634" width="2.5546875" style="2" customWidth="1"/>
    <col min="5635" max="5638" width="8.77734375" style="2"/>
    <col min="5639" max="5639" width="4.5546875" style="2" customWidth="1"/>
    <col min="5640" max="5640" width="10.21875" style="2" customWidth="1"/>
    <col min="5641" max="5641" width="3.21875" style="2" customWidth="1"/>
    <col min="5642" max="5642" width="8.77734375" style="2"/>
    <col min="5643" max="5643" width="6.21875" style="2" customWidth="1"/>
    <col min="5644" max="5644" width="3.77734375" style="2" customWidth="1"/>
    <col min="5645" max="5645" width="10.77734375" style="2" customWidth="1"/>
    <col min="5646" max="5646" width="4.21875" style="2" customWidth="1"/>
    <col min="5647" max="5647" width="12.21875" style="2" customWidth="1"/>
    <col min="5648" max="5648" width="10.21875" style="2" customWidth="1"/>
    <col min="5649" max="5649" width="9.21875" style="2" customWidth="1"/>
    <col min="5650" max="5888" width="8.77734375" style="2"/>
    <col min="5889" max="5889" width="4.21875" style="2" customWidth="1"/>
    <col min="5890" max="5890" width="2.5546875" style="2" customWidth="1"/>
    <col min="5891" max="5894" width="8.77734375" style="2"/>
    <col min="5895" max="5895" width="4.5546875" style="2" customWidth="1"/>
    <col min="5896" max="5896" width="10.21875" style="2" customWidth="1"/>
    <col min="5897" max="5897" width="3.21875" style="2" customWidth="1"/>
    <col min="5898" max="5898" width="8.77734375" style="2"/>
    <col min="5899" max="5899" width="6.21875" style="2" customWidth="1"/>
    <col min="5900" max="5900" width="3.77734375" style="2" customWidth="1"/>
    <col min="5901" max="5901" width="10.77734375" style="2" customWidth="1"/>
    <col min="5902" max="5902" width="4.21875" style="2" customWidth="1"/>
    <col min="5903" max="5903" width="12.21875" style="2" customWidth="1"/>
    <col min="5904" max="5904" width="10.21875" style="2" customWidth="1"/>
    <col min="5905" max="5905" width="9.21875" style="2" customWidth="1"/>
    <col min="5906" max="6144" width="8.77734375" style="2"/>
    <col min="6145" max="6145" width="4.21875" style="2" customWidth="1"/>
    <col min="6146" max="6146" width="2.5546875" style="2" customWidth="1"/>
    <col min="6147" max="6150" width="8.77734375" style="2"/>
    <col min="6151" max="6151" width="4.5546875" style="2" customWidth="1"/>
    <col min="6152" max="6152" width="10.21875" style="2" customWidth="1"/>
    <col min="6153" max="6153" width="3.21875" style="2" customWidth="1"/>
    <col min="6154" max="6154" width="8.77734375" style="2"/>
    <col min="6155" max="6155" width="6.21875" style="2" customWidth="1"/>
    <col min="6156" max="6156" width="3.77734375" style="2" customWidth="1"/>
    <col min="6157" max="6157" width="10.77734375" style="2" customWidth="1"/>
    <col min="6158" max="6158" width="4.21875" style="2" customWidth="1"/>
    <col min="6159" max="6159" width="12.21875" style="2" customWidth="1"/>
    <col min="6160" max="6160" width="10.21875" style="2" customWidth="1"/>
    <col min="6161" max="6161" width="9.21875" style="2" customWidth="1"/>
    <col min="6162" max="6400" width="8.77734375" style="2"/>
    <col min="6401" max="6401" width="4.21875" style="2" customWidth="1"/>
    <col min="6402" max="6402" width="2.5546875" style="2" customWidth="1"/>
    <col min="6403" max="6406" width="8.77734375" style="2"/>
    <col min="6407" max="6407" width="4.5546875" style="2" customWidth="1"/>
    <col min="6408" max="6408" width="10.21875" style="2" customWidth="1"/>
    <col min="6409" max="6409" width="3.21875" style="2" customWidth="1"/>
    <col min="6410" max="6410" width="8.77734375" style="2"/>
    <col min="6411" max="6411" width="6.21875" style="2" customWidth="1"/>
    <col min="6412" max="6412" width="3.77734375" style="2" customWidth="1"/>
    <col min="6413" max="6413" width="10.77734375" style="2" customWidth="1"/>
    <col min="6414" max="6414" width="4.21875" style="2" customWidth="1"/>
    <col min="6415" max="6415" width="12.21875" style="2" customWidth="1"/>
    <col min="6416" max="6416" width="10.21875" style="2" customWidth="1"/>
    <col min="6417" max="6417" width="9.21875" style="2" customWidth="1"/>
    <col min="6418" max="6656" width="8.77734375" style="2"/>
    <col min="6657" max="6657" width="4.21875" style="2" customWidth="1"/>
    <col min="6658" max="6658" width="2.5546875" style="2" customWidth="1"/>
    <col min="6659" max="6662" width="8.77734375" style="2"/>
    <col min="6663" max="6663" width="4.5546875" style="2" customWidth="1"/>
    <col min="6664" max="6664" width="10.21875" style="2" customWidth="1"/>
    <col min="6665" max="6665" width="3.21875" style="2" customWidth="1"/>
    <col min="6666" max="6666" width="8.77734375" style="2"/>
    <col min="6667" max="6667" width="6.21875" style="2" customWidth="1"/>
    <col min="6668" max="6668" width="3.77734375" style="2" customWidth="1"/>
    <col min="6669" max="6669" width="10.77734375" style="2" customWidth="1"/>
    <col min="6670" max="6670" width="4.21875" style="2" customWidth="1"/>
    <col min="6671" max="6671" width="12.21875" style="2" customWidth="1"/>
    <col min="6672" max="6672" width="10.21875" style="2" customWidth="1"/>
    <col min="6673" max="6673" width="9.21875" style="2" customWidth="1"/>
    <col min="6674" max="6912" width="8.77734375" style="2"/>
    <col min="6913" max="6913" width="4.21875" style="2" customWidth="1"/>
    <col min="6914" max="6914" width="2.5546875" style="2" customWidth="1"/>
    <col min="6915" max="6918" width="8.77734375" style="2"/>
    <col min="6919" max="6919" width="4.5546875" style="2" customWidth="1"/>
    <col min="6920" max="6920" width="10.21875" style="2" customWidth="1"/>
    <col min="6921" max="6921" width="3.21875" style="2" customWidth="1"/>
    <col min="6922" max="6922" width="8.77734375" style="2"/>
    <col min="6923" max="6923" width="6.21875" style="2" customWidth="1"/>
    <col min="6924" max="6924" width="3.77734375" style="2" customWidth="1"/>
    <col min="6925" max="6925" width="10.77734375" style="2" customWidth="1"/>
    <col min="6926" max="6926" width="4.21875" style="2" customWidth="1"/>
    <col min="6927" max="6927" width="12.21875" style="2" customWidth="1"/>
    <col min="6928" max="6928" width="10.21875" style="2" customWidth="1"/>
    <col min="6929" max="6929" width="9.21875" style="2" customWidth="1"/>
    <col min="6930" max="7168" width="8.77734375" style="2"/>
    <col min="7169" max="7169" width="4.21875" style="2" customWidth="1"/>
    <col min="7170" max="7170" width="2.5546875" style="2" customWidth="1"/>
    <col min="7171" max="7174" width="8.77734375" style="2"/>
    <col min="7175" max="7175" width="4.5546875" style="2" customWidth="1"/>
    <col min="7176" max="7176" width="10.21875" style="2" customWidth="1"/>
    <col min="7177" max="7177" width="3.21875" style="2" customWidth="1"/>
    <col min="7178" max="7178" width="8.77734375" style="2"/>
    <col min="7179" max="7179" width="6.21875" style="2" customWidth="1"/>
    <col min="7180" max="7180" width="3.77734375" style="2" customWidth="1"/>
    <col min="7181" max="7181" width="10.77734375" style="2" customWidth="1"/>
    <col min="7182" max="7182" width="4.21875" style="2" customWidth="1"/>
    <col min="7183" max="7183" width="12.21875" style="2" customWidth="1"/>
    <col min="7184" max="7184" width="10.21875" style="2" customWidth="1"/>
    <col min="7185" max="7185" width="9.21875" style="2" customWidth="1"/>
    <col min="7186" max="7424" width="8.77734375" style="2"/>
    <col min="7425" max="7425" width="4.21875" style="2" customWidth="1"/>
    <col min="7426" max="7426" width="2.5546875" style="2" customWidth="1"/>
    <col min="7427" max="7430" width="8.77734375" style="2"/>
    <col min="7431" max="7431" width="4.5546875" style="2" customWidth="1"/>
    <col min="7432" max="7432" width="10.21875" style="2" customWidth="1"/>
    <col min="7433" max="7433" width="3.21875" style="2" customWidth="1"/>
    <col min="7434" max="7434" width="8.77734375" style="2"/>
    <col min="7435" max="7435" width="6.21875" style="2" customWidth="1"/>
    <col min="7436" max="7436" width="3.77734375" style="2" customWidth="1"/>
    <col min="7437" max="7437" width="10.77734375" style="2" customWidth="1"/>
    <col min="7438" max="7438" width="4.21875" style="2" customWidth="1"/>
    <col min="7439" max="7439" width="12.21875" style="2" customWidth="1"/>
    <col min="7440" max="7440" width="10.21875" style="2" customWidth="1"/>
    <col min="7441" max="7441" width="9.21875" style="2" customWidth="1"/>
    <col min="7442" max="7680" width="8.77734375" style="2"/>
    <col min="7681" max="7681" width="4.21875" style="2" customWidth="1"/>
    <col min="7682" max="7682" width="2.5546875" style="2" customWidth="1"/>
    <col min="7683" max="7686" width="8.77734375" style="2"/>
    <col min="7687" max="7687" width="4.5546875" style="2" customWidth="1"/>
    <col min="7688" max="7688" width="10.21875" style="2" customWidth="1"/>
    <col min="7689" max="7689" width="3.21875" style="2" customWidth="1"/>
    <col min="7690" max="7690" width="8.77734375" style="2"/>
    <col min="7691" max="7691" width="6.21875" style="2" customWidth="1"/>
    <col min="7692" max="7692" width="3.77734375" style="2" customWidth="1"/>
    <col min="7693" max="7693" width="10.77734375" style="2" customWidth="1"/>
    <col min="7694" max="7694" width="4.21875" style="2" customWidth="1"/>
    <col min="7695" max="7695" width="12.21875" style="2" customWidth="1"/>
    <col min="7696" max="7696" width="10.21875" style="2" customWidth="1"/>
    <col min="7697" max="7697" width="9.21875" style="2" customWidth="1"/>
    <col min="7698" max="7936" width="8.77734375" style="2"/>
    <col min="7937" max="7937" width="4.21875" style="2" customWidth="1"/>
    <col min="7938" max="7938" width="2.5546875" style="2" customWidth="1"/>
    <col min="7939" max="7942" width="8.77734375" style="2"/>
    <col min="7943" max="7943" width="4.5546875" style="2" customWidth="1"/>
    <col min="7944" max="7944" width="10.21875" style="2" customWidth="1"/>
    <col min="7945" max="7945" width="3.21875" style="2" customWidth="1"/>
    <col min="7946" max="7946" width="8.77734375" style="2"/>
    <col min="7947" max="7947" width="6.21875" style="2" customWidth="1"/>
    <col min="7948" max="7948" width="3.77734375" style="2" customWidth="1"/>
    <col min="7949" max="7949" width="10.77734375" style="2" customWidth="1"/>
    <col min="7950" max="7950" width="4.21875" style="2" customWidth="1"/>
    <col min="7951" max="7951" width="12.21875" style="2" customWidth="1"/>
    <col min="7952" max="7952" width="10.21875" style="2" customWidth="1"/>
    <col min="7953" max="7953" width="9.21875" style="2" customWidth="1"/>
    <col min="7954" max="8192" width="8.77734375" style="2"/>
    <col min="8193" max="8193" width="4.21875" style="2" customWidth="1"/>
    <col min="8194" max="8194" width="2.5546875" style="2" customWidth="1"/>
    <col min="8195" max="8198" width="8.77734375" style="2"/>
    <col min="8199" max="8199" width="4.5546875" style="2" customWidth="1"/>
    <col min="8200" max="8200" width="10.21875" style="2" customWidth="1"/>
    <col min="8201" max="8201" width="3.21875" style="2" customWidth="1"/>
    <col min="8202" max="8202" width="8.77734375" style="2"/>
    <col min="8203" max="8203" width="6.21875" style="2" customWidth="1"/>
    <col min="8204" max="8204" width="3.77734375" style="2" customWidth="1"/>
    <col min="8205" max="8205" width="10.77734375" style="2" customWidth="1"/>
    <col min="8206" max="8206" width="4.21875" style="2" customWidth="1"/>
    <col min="8207" max="8207" width="12.21875" style="2" customWidth="1"/>
    <col min="8208" max="8208" width="10.21875" style="2" customWidth="1"/>
    <col min="8209" max="8209" width="9.21875" style="2" customWidth="1"/>
    <col min="8210" max="8448" width="8.77734375" style="2"/>
    <col min="8449" max="8449" width="4.21875" style="2" customWidth="1"/>
    <col min="8450" max="8450" width="2.5546875" style="2" customWidth="1"/>
    <col min="8451" max="8454" width="8.77734375" style="2"/>
    <col min="8455" max="8455" width="4.5546875" style="2" customWidth="1"/>
    <col min="8456" max="8456" width="10.21875" style="2" customWidth="1"/>
    <col min="8457" max="8457" width="3.21875" style="2" customWidth="1"/>
    <col min="8458" max="8458" width="8.77734375" style="2"/>
    <col min="8459" max="8459" width="6.21875" style="2" customWidth="1"/>
    <col min="8460" max="8460" width="3.77734375" style="2" customWidth="1"/>
    <col min="8461" max="8461" width="10.77734375" style="2" customWidth="1"/>
    <col min="8462" max="8462" width="4.21875" style="2" customWidth="1"/>
    <col min="8463" max="8463" width="12.21875" style="2" customWidth="1"/>
    <col min="8464" max="8464" width="10.21875" style="2" customWidth="1"/>
    <col min="8465" max="8465" width="9.21875" style="2" customWidth="1"/>
    <col min="8466" max="8704" width="8.77734375" style="2"/>
    <col min="8705" max="8705" width="4.21875" style="2" customWidth="1"/>
    <col min="8706" max="8706" width="2.5546875" style="2" customWidth="1"/>
    <col min="8707" max="8710" width="8.77734375" style="2"/>
    <col min="8711" max="8711" width="4.5546875" style="2" customWidth="1"/>
    <col min="8712" max="8712" width="10.21875" style="2" customWidth="1"/>
    <col min="8713" max="8713" width="3.21875" style="2" customWidth="1"/>
    <col min="8714" max="8714" width="8.77734375" style="2"/>
    <col min="8715" max="8715" width="6.21875" style="2" customWidth="1"/>
    <col min="8716" max="8716" width="3.77734375" style="2" customWidth="1"/>
    <col min="8717" max="8717" width="10.77734375" style="2" customWidth="1"/>
    <col min="8718" max="8718" width="4.21875" style="2" customWidth="1"/>
    <col min="8719" max="8719" width="12.21875" style="2" customWidth="1"/>
    <col min="8720" max="8720" width="10.21875" style="2" customWidth="1"/>
    <col min="8721" max="8721" width="9.21875" style="2" customWidth="1"/>
    <col min="8722" max="8960" width="8.77734375" style="2"/>
    <col min="8961" max="8961" width="4.21875" style="2" customWidth="1"/>
    <col min="8962" max="8962" width="2.5546875" style="2" customWidth="1"/>
    <col min="8963" max="8966" width="8.77734375" style="2"/>
    <col min="8967" max="8967" width="4.5546875" style="2" customWidth="1"/>
    <col min="8968" max="8968" width="10.21875" style="2" customWidth="1"/>
    <col min="8969" max="8969" width="3.21875" style="2" customWidth="1"/>
    <col min="8970" max="8970" width="8.77734375" style="2"/>
    <col min="8971" max="8971" width="6.21875" style="2" customWidth="1"/>
    <col min="8972" max="8972" width="3.77734375" style="2" customWidth="1"/>
    <col min="8973" max="8973" width="10.77734375" style="2" customWidth="1"/>
    <col min="8974" max="8974" width="4.21875" style="2" customWidth="1"/>
    <col min="8975" max="8975" width="12.21875" style="2" customWidth="1"/>
    <col min="8976" max="8976" width="10.21875" style="2" customWidth="1"/>
    <col min="8977" max="8977" width="9.21875" style="2" customWidth="1"/>
    <col min="8978" max="9216" width="8.77734375" style="2"/>
    <col min="9217" max="9217" width="4.21875" style="2" customWidth="1"/>
    <col min="9218" max="9218" width="2.5546875" style="2" customWidth="1"/>
    <col min="9219" max="9222" width="8.77734375" style="2"/>
    <col min="9223" max="9223" width="4.5546875" style="2" customWidth="1"/>
    <col min="9224" max="9224" width="10.21875" style="2" customWidth="1"/>
    <col min="9225" max="9225" width="3.21875" style="2" customWidth="1"/>
    <col min="9226" max="9226" width="8.77734375" style="2"/>
    <col min="9227" max="9227" width="6.21875" style="2" customWidth="1"/>
    <col min="9228" max="9228" width="3.77734375" style="2" customWidth="1"/>
    <col min="9229" max="9229" width="10.77734375" style="2" customWidth="1"/>
    <col min="9230" max="9230" width="4.21875" style="2" customWidth="1"/>
    <col min="9231" max="9231" width="12.21875" style="2" customWidth="1"/>
    <col min="9232" max="9232" width="10.21875" style="2" customWidth="1"/>
    <col min="9233" max="9233" width="9.21875" style="2" customWidth="1"/>
    <col min="9234" max="9472" width="8.77734375" style="2"/>
    <col min="9473" max="9473" width="4.21875" style="2" customWidth="1"/>
    <col min="9474" max="9474" width="2.5546875" style="2" customWidth="1"/>
    <col min="9475" max="9478" width="8.77734375" style="2"/>
    <col min="9479" max="9479" width="4.5546875" style="2" customWidth="1"/>
    <col min="9480" max="9480" width="10.21875" style="2" customWidth="1"/>
    <col min="9481" max="9481" width="3.21875" style="2" customWidth="1"/>
    <col min="9482" max="9482" width="8.77734375" style="2"/>
    <col min="9483" max="9483" width="6.21875" style="2" customWidth="1"/>
    <col min="9484" max="9484" width="3.77734375" style="2" customWidth="1"/>
    <col min="9485" max="9485" width="10.77734375" style="2" customWidth="1"/>
    <col min="9486" max="9486" width="4.21875" style="2" customWidth="1"/>
    <col min="9487" max="9487" width="12.21875" style="2" customWidth="1"/>
    <col min="9488" max="9488" width="10.21875" style="2" customWidth="1"/>
    <col min="9489" max="9489" width="9.21875" style="2" customWidth="1"/>
    <col min="9490" max="9728" width="8.77734375" style="2"/>
    <col min="9729" max="9729" width="4.21875" style="2" customWidth="1"/>
    <col min="9730" max="9730" width="2.5546875" style="2" customWidth="1"/>
    <col min="9731" max="9734" width="8.77734375" style="2"/>
    <col min="9735" max="9735" width="4.5546875" style="2" customWidth="1"/>
    <col min="9736" max="9736" width="10.21875" style="2" customWidth="1"/>
    <col min="9737" max="9737" width="3.21875" style="2" customWidth="1"/>
    <col min="9738" max="9738" width="8.77734375" style="2"/>
    <col min="9739" max="9739" width="6.21875" style="2" customWidth="1"/>
    <col min="9740" max="9740" width="3.77734375" style="2" customWidth="1"/>
    <col min="9741" max="9741" width="10.77734375" style="2" customWidth="1"/>
    <col min="9742" max="9742" width="4.21875" style="2" customWidth="1"/>
    <col min="9743" max="9743" width="12.21875" style="2" customWidth="1"/>
    <col min="9744" max="9744" width="10.21875" style="2" customWidth="1"/>
    <col min="9745" max="9745" width="9.21875" style="2" customWidth="1"/>
    <col min="9746" max="9984" width="8.77734375" style="2"/>
    <col min="9985" max="9985" width="4.21875" style="2" customWidth="1"/>
    <col min="9986" max="9986" width="2.5546875" style="2" customWidth="1"/>
    <col min="9987" max="9990" width="8.77734375" style="2"/>
    <col min="9991" max="9991" width="4.5546875" style="2" customWidth="1"/>
    <col min="9992" max="9992" width="10.21875" style="2" customWidth="1"/>
    <col min="9993" max="9993" width="3.21875" style="2" customWidth="1"/>
    <col min="9994" max="9994" width="8.77734375" style="2"/>
    <col min="9995" max="9995" width="6.21875" style="2" customWidth="1"/>
    <col min="9996" max="9996" width="3.77734375" style="2" customWidth="1"/>
    <col min="9997" max="9997" width="10.77734375" style="2" customWidth="1"/>
    <col min="9998" max="9998" width="4.21875" style="2" customWidth="1"/>
    <col min="9999" max="9999" width="12.21875" style="2" customWidth="1"/>
    <col min="10000" max="10000" width="10.21875" style="2" customWidth="1"/>
    <col min="10001" max="10001" width="9.21875" style="2" customWidth="1"/>
    <col min="10002" max="10240" width="8.77734375" style="2"/>
    <col min="10241" max="10241" width="4.21875" style="2" customWidth="1"/>
    <col min="10242" max="10242" width="2.5546875" style="2" customWidth="1"/>
    <col min="10243" max="10246" width="8.77734375" style="2"/>
    <col min="10247" max="10247" width="4.5546875" style="2" customWidth="1"/>
    <col min="10248" max="10248" width="10.21875" style="2" customWidth="1"/>
    <col min="10249" max="10249" width="3.21875" style="2" customWidth="1"/>
    <col min="10250" max="10250" width="8.77734375" style="2"/>
    <col min="10251" max="10251" width="6.21875" style="2" customWidth="1"/>
    <col min="10252" max="10252" width="3.77734375" style="2" customWidth="1"/>
    <col min="10253" max="10253" width="10.77734375" style="2" customWidth="1"/>
    <col min="10254" max="10254" width="4.21875" style="2" customWidth="1"/>
    <col min="10255" max="10255" width="12.21875" style="2" customWidth="1"/>
    <col min="10256" max="10256" width="10.21875" style="2" customWidth="1"/>
    <col min="10257" max="10257" width="9.21875" style="2" customWidth="1"/>
    <col min="10258" max="10496" width="8.77734375" style="2"/>
    <col min="10497" max="10497" width="4.21875" style="2" customWidth="1"/>
    <col min="10498" max="10498" width="2.5546875" style="2" customWidth="1"/>
    <col min="10499" max="10502" width="8.77734375" style="2"/>
    <col min="10503" max="10503" width="4.5546875" style="2" customWidth="1"/>
    <col min="10504" max="10504" width="10.21875" style="2" customWidth="1"/>
    <col min="10505" max="10505" width="3.21875" style="2" customWidth="1"/>
    <col min="10506" max="10506" width="8.77734375" style="2"/>
    <col min="10507" max="10507" width="6.21875" style="2" customWidth="1"/>
    <col min="10508" max="10508" width="3.77734375" style="2" customWidth="1"/>
    <col min="10509" max="10509" width="10.77734375" style="2" customWidth="1"/>
    <col min="10510" max="10510" width="4.21875" style="2" customWidth="1"/>
    <col min="10511" max="10511" width="12.21875" style="2" customWidth="1"/>
    <col min="10512" max="10512" width="10.21875" style="2" customWidth="1"/>
    <col min="10513" max="10513" width="9.21875" style="2" customWidth="1"/>
    <col min="10514" max="10752" width="8.77734375" style="2"/>
    <col min="10753" max="10753" width="4.21875" style="2" customWidth="1"/>
    <col min="10754" max="10754" width="2.5546875" style="2" customWidth="1"/>
    <col min="10755" max="10758" width="8.77734375" style="2"/>
    <col min="10759" max="10759" width="4.5546875" style="2" customWidth="1"/>
    <col min="10760" max="10760" width="10.21875" style="2" customWidth="1"/>
    <col min="10761" max="10761" width="3.21875" style="2" customWidth="1"/>
    <col min="10762" max="10762" width="8.77734375" style="2"/>
    <col min="10763" max="10763" width="6.21875" style="2" customWidth="1"/>
    <col min="10764" max="10764" width="3.77734375" style="2" customWidth="1"/>
    <col min="10765" max="10765" width="10.77734375" style="2" customWidth="1"/>
    <col min="10766" max="10766" width="4.21875" style="2" customWidth="1"/>
    <col min="10767" max="10767" width="12.21875" style="2" customWidth="1"/>
    <col min="10768" max="10768" width="10.21875" style="2" customWidth="1"/>
    <col min="10769" max="10769" width="9.21875" style="2" customWidth="1"/>
    <col min="10770" max="11008" width="8.77734375" style="2"/>
    <col min="11009" max="11009" width="4.21875" style="2" customWidth="1"/>
    <col min="11010" max="11010" width="2.5546875" style="2" customWidth="1"/>
    <col min="11011" max="11014" width="8.77734375" style="2"/>
    <col min="11015" max="11015" width="4.5546875" style="2" customWidth="1"/>
    <col min="11016" max="11016" width="10.21875" style="2" customWidth="1"/>
    <col min="11017" max="11017" width="3.21875" style="2" customWidth="1"/>
    <col min="11018" max="11018" width="8.77734375" style="2"/>
    <col min="11019" max="11019" width="6.21875" style="2" customWidth="1"/>
    <col min="11020" max="11020" width="3.77734375" style="2" customWidth="1"/>
    <col min="11021" max="11021" width="10.77734375" style="2" customWidth="1"/>
    <col min="11022" max="11022" width="4.21875" style="2" customWidth="1"/>
    <col min="11023" max="11023" width="12.21875" style="2" customWidth="1"/>
    <col min="11024" max="11024" width="10.21875" style="2" customWidth="1"/>
    <col min="11025" max="11025" width="9.21875" style="2" customWidth="1"/>
    <col min="11026" max="11264" width="8.77734375" style="2"/>
    <col min="11265" max="11265" width="4.21875" style="2" customWidth="1"/>
    <col min="11266" max="11266" width="2.5546875" style="2" customWidth="1"/>
    <col min="11267" max="11270" width="8.77734375" style="2"/>
    <col min="11271" max="11271" width="4.5546875" style="2" customWidth="1"/>
    <col min="11272" max="11272" width="10.21875" style="2" customWidth="1"/>
    <col min="11273" max="11273" width="3.21875" style="2" customWidth="1"/>
    <col min="11274" max="11274" width="8.77734375" style="2"/>
    <col min="11275" max="11275" width="6.21875" style="2" customWidth="1"/>
    <col min="11276" max="11276" width="3.77734375" style="2" customWidth="1"/>
    <col min="11277" max="11277" width="10.77734375" style="2" customWidth="1"/>
    <col min="11278" max="11278" width="4.21875" style="2" customWidth="1"/>
    <col min="11279" max="11279" width="12.21875" style="2" customWidth="1"/>
    <col min="11280" max="11280" width="10.21875" style="2" customWidth="1"/>
    <col min="11281" max="11281" width="9.21875" style="2" customWidth="1"/>
    <col min="11282" max="11520" width="8.77734375" style="2"/>
    <col min="11521" max="11521" width="4.21875" style="2" customWidth="1"/>
    <col min="11522" max="11522" width="2.5546875" style="2" customWidth="1"/>
    <col min="11523" max="11526" width="8.77734375" style="2"/>
    <col min="11527" max="11527" width="4.5546875" style="2" customWidth="1"/>
    <col min="11528" max="11528" width="10.21875" style="2" customWidth="1"/>
    <col min="11529" max="11529" width="3.21875" style="2" customWidth="1"/>
    <col min="11530" max="11530" width="8.77734375" style="2"/>
    <col min="11531" max="11531" width="6.21875" style="2" customWidth="1"/>
    <col min="11532" max="11532" width="3.77734375" style="2" customWidth="1"/>
    <col min="11533" max="11533" width="10.77734375" style="2" customWidth="1"/>
    <col min="11534" max="11534" width="4.21875" style="2" customWidth="1"/>
    <col min="11535" max="11535" width="12.21875" style="2" customWidth="1"/>
    <col min="11536" max="11536" width="10.21875" style="2" customWidth="1"/>
    <col min="11537" max="11537" width="9.21875" style="2" customWidth="1"/>
    <col min="11538" max="11776" width="8.77734375" style="2"/>
    <col min="11777" max="11777" width="4.21875" style="2" customWidth="1"/>
    <col min="11778" max="11778" width="2.5546875" style="2" customWidth="1"/>
    <col min="11779" max="11782" width="8.77734375" style="2"/>
    <col min="11783" max="11783" width="4.5546875" style="2" customWidth="1"/>
    <col min="11784" max="11784" width="10.21875" style="2" customWidth="1"/>
    <col min="11785" max="11785" width="3.21875" style="2" customWidth="1"/>
    <col min="11786" max="11786" width="8.77734375" style="2"/>
    <col min="11787" max="11787" width="6.21875" style="2" customWidth="1"/>
    <col min="11788" max="11788" width="3.77734375" style="2" customWidth="1"/>
    <col min="11789" max="11789" width="10.77734375" style="2" customWidth="1"/>
    <col min="11790" max="11790" width="4.21875" style="2" customWidth="1"/>
    <col min="11791" max="11791" width="12.21875" style="2" customWidth="1"/>
    <col min="11792" max="11792" width="10.21875" style="2" customWidth="1"/>
    <col min="11793" max="11793" width="9.21875" style="2" customWidth="1"/>
    <col min="11794" max="12032" width="8.77734375" style="2"/>
    <col min="12033" max="12033" width="4.21875" style="2" customWidth="1"/>
    <col min="12034" max="12034" width="2.5546875" style="2" customWidth="1"/>
    <col min="12035" max="12038" width="8.77734375" style="2"/>
    <col min="12039" max="12039" width="4.5546875" style="2" customWidth="1"/>
    <col min="12040" max="12040" width="10.21875" style="2" customWidth="1"/>
    <col min="12041" max="12041" width="3.21875" style="2" customWidth="1"/>
    <col min="12042" max="12042" width="8.77734375" style="2"/>
    <col min="12043" max="12043" width="6.21875" style="2" customWidth="1"/>
    <col min="12044" max="12044" width="3.77734375" style="2" customWidth="1"/>
    <col min="12045" max="12045" width="10.77734375" style="2" customWidth="1"/>
    <col min="12046" max="12046" width="4.21875" style="2" customWidth="1"/>
    <col min="12047" max="12047" width="12.21875" style="2" customWidth="1"/>
    <col min="12048" max="12048" width="10.21875" style="2" customWidth="1"/>
    <col min="12049" max="12049" width="9.21875" style="2" customWidth="1"/>
    <col min="12050" max="12288" width="8.77734375" style="2"/>
    <col min="12289" max="12289" width="4.21875" style="2" customWidth="1"/>
    <col min="12290" max="12290" width="2.5546875" style="2" customWidth="1"/>
    <col min="12291" max="12294" width="8.77734375" style="2"/>
    <col min="12295" max="12295" width="4.5546875" style="2" customWidth="1"/>
    <col min="12296" max="12296" width="10.21875" style="2" customWidth="1"/>
    <col min="12297" max="12297" width="3.21875" style="2" customWidth="1"/>
    <col min="12298" max="12298" width="8.77734375" style="2"/>
    <col min="12299" max="12299" width="6.21875" style="2" customWidth="1"/>
    <col min="12300" max="12300" width="3.77734375" style="2" customWidth="1"/>
    <col min="12301" max="12301" width="10.77734375" style="2" customWidth="1"/>
    <col min="12302" max="12302" width="4.21875" style="2" customWidth="1"/>
    <col min="12303" max="12303" width="12.21875" style="2" customWidth="1"/>
    <col min="12304" max="12304" width="10.21875" style="2" customWidth="1"/>
    <col min="12305" max="12305" width="9.21875" style="2" customWidth="1"/>
    <col min="12306" max="12544" width="8.77734375" style="2"/>
    <col min="12545" max="12545" width="4.21875" style="2" customWidth="1"/>
    <col min="12546" max="12546" width="2.5546875" style="2" customWidth="1"/>
    <col min="12547" max="12550" width="8.77734375" style="2"/>
    <col min="12551" max="12551" width="4.5546875" style="2" customWidth="1"/>
    <col min="12552" max="12552" width="10.21875" style="2" customWidth="1"/>
    <col min="12553" max="12553" width="3.21875" style="2" customWidth="1"/>
    <col min="12554" max="12554" width="8.77734375" style="2"/>
    <col min="12555" max="12555" width="6.21875" style="2" customWidth="1"/>
    <col min="12556" max="12556" width="3.77734375" style="2" customWidth="1"/>
    <col min="12557" max="12557" width="10.77734375" style="2" customWidth="1"/>
    <col min="12558" max="12558" width="4.21875" style="2" customWidth="1"/>
    <col min="12559" max="12559" width="12.21875" style="2" customWidth="1"/>
    <col min="12560" max="12560" width="10.21875" style="2" customWidth="1"/>
    <col min="12561" max="12561" width="9.21875" style="2" customWidth="1"/>
    <col min="12562" max="12800" width="8.77734375" style="2"/>
    <col min="12801" max="12801" width="4.21875" style="2" customWidth="1"/>
    <col min="12802" max="12802" width="2.5546875" style="2" customWidth="1"/>
    <col min="12803" max="12806" width="8.77734375" style="2"/>
    <col min="12807" max="12807" width="4.5546875" style="2" customWidth="1"/>
    <col min="12808" max="12808" width="10.21875" style="2" customWidth="1"/>
    <col min="12809" max="12809" width="3.21875" style="2" customWidth="1"/>
    <col min="12810" max="12810" width="8.77734375" style="2"/>
    <col min="12811" max="12811" width="6.21875" style="2" customWidth="1"/>
    <col min="12812" max="12812" width="3.77734375" style="2" customWidth="1"/>
    <col min="12813" max="12813" width="10.77734375" style="2" customWidth="1"/>
    <col min="12814" max="12814" width="4.21875" style="2" customWidth="1"/>
    <col min="12815" max="12815" width="12.21875" style="2" customWidth="1"/>
    <col min="12816" max="12816" width="10.21875" style="2" customWidth="1"/>
    <col min="12817" max="12817" width="9.21875" style="2" customWidth="1"/>
    <col min="12818" max="13056" width="8.77734375" style="2"/>
    <col min="13057" max="13057" width="4.21875" style="2" customWidth="1"/>
    <col min="13058" max="13058" width="2.5546875" style="2" customWidth="1"/>
    <col min="13059" max="13062" width="8.77734375" style="2"/>
    <col min="13063" max="13063" width="4.5546875" style="2" customWidth="1"/>
    <col min="13064" max="13064" width="10.21875" style="2" customWidth="1"/>
    <col min="13065" max="13065" width="3.21875" style="2" customWidth="1"/>
    <col min="13066" max="13066" width="8.77734375" style="2"/>
    <col min="13067" max="13067" width="6.21875" style="2" customWidth="1"/>
    <col min="13068" max="13068" width="3.77734375" style="2" customWidth="1"/>
    <col min="13069" max="13069" width="10.77734375" style="2" customWidth="1"/>
    <col min="13070" max="13070" width="4.21875" style="2" customWidth="1"/>
    <col min="13071" max="13071" width="12.21875" style="2" customWidth="1"/>
    <col min="13072" max="13072" width="10.21875" style="2" customWidth="1"/>
    <col min="13073" max="13073" width="9.21875" style="2" customWidth="1"/>
    <col min="13074" max="13312" width="8.77734375" style="2"/>
    <col min="13313" max="13313" width="4.21875" style="2" customWidth="1"/>
    <col min="13314" max="13314" width="2.5546875" style="2" customWidth="1"/>
    <col min="13315" max="13318" width="8.77734375" style="2"/>
    <col min="13319" max="13319" width="4.5546875" style="2" customWidth="1"/>
    <col min="13320" max="13320" width="10.21875" style="2" customWidth="1"/>
    <col min="13321" max="13321" width="3.21875" style="2" customWidth="1"/>
    <col min="13322" max="13322" width="8.77734375" style="2"/>
    <col min="13323" max="13323" width="6.21875" style="2" customWidth="1"/>
    <col min="13324" max="13324" width="3.77734375" style="2" customWidth="1"/>
    <col min="13325" max="13325" width="10.77734375" style="2" customWidth="1"/>
    <col min="13326" max="13326" width="4.21875" style="2" customWidth="1"/>
    <col min="13327" max="13327" width="12.21875" style="2" customWidth="1"/>
    <col min="13328" max="13328" width="10.21875" style="2" customWidth="1"/>
    <col min="13329" max="13329" width="9.21875" style="2" customWidth="1"/>
    <col min="13330" max="13568" width="8.77734375" style="2"/>
    <col min="13569" max="13569" width="4.21875" style="2" customWidth="1"/>
    <col min="13570" max="13570" width="2.5546875" style="2" customWidth="1"/>
    <col min="13571" max="13574" width="8.77734375" style="2"/>
    <col min="13575" max="13575" width="4.5546875" style="2" customWidth="1"/>
    <col min="13576" max="13576" width="10.21875" style="2" customWidth="1"/>
    <col min="13577" max="13577" width="3.21875" style="2" customWidth="1"/>
    <col min="13578" max="13578" width="8.77734375" style="2"/>
    <col min="13579" max="13579" width="6.21875" style="2" customWidth="1"/>
    <col min="13580" max="13580" width="3.77734375" style="2" customWidth="1"/>
    <col min="13581" max="13581" width="10.77734375" style="2" customWidth="1"/>
    <col min="13582" max="13582" width="4.21875" style="2" customWidth="1"/>
    <col min="13583" max="13583" width="12.21875" style="2" customWidth="1"/>
    <col min="13584" max="13584" width="10.21875" style="2" customWidth="1"/>
    <col min="13585" max="13585" width="9.21875" style="2" customWidth="1"/>
    <col min="13586" max="13824" width="8.77734375" style="2"/>
    <col min="13825" max="13825" width="4.21875" style="2" customWidth="1"/>
    <col min="13826" max="13826" width="2.5546875" style="2" customWidth="1"/>
    <col min="13827" max="13830" width="8.77734375" style="2"/>
    <col min="13831" max="13831" width="4.5546875" style="2" customWidth="1"/>
    <col min="13832" max="13832" width="10.21875" style="2" customWidth="1"/>
    <col min="13833" max="13833" width="3.21875" style="2" customWidth="1"/>
    <col min="13834" max="13834" width="8.77734375" style="2"/>
    <col min="13835" max="13835" width="6.21875" style="2" customWidth="1"/>
    <col min="13836" max="13836" width="3.77734375" style="2" customWidth="1"/>
    <col min="13837" max="13837" width="10.77734375" style="2" customWidth="1"/>
    <col min="13838" max="13838" width="4.21875" style="2" customWidth="1"/>
    <col min="13839" max="13839" width="12.21875" style="2" customWidth="1"/>
    <col min="13840" max="13840" width="10.21875" style="2" customWidth="1"/>
    <col min="13841" max="13841" width="9.21875" style="2" customWidth="1"/>
    <col min="13842" max="14080" width="8.77734375" style="2"/>
    <col min="14081" max="14081" width="4.21875" style="2" customWidth="1"/>
    <col min="14082" max="14082" width="2.5546875" style="2" customWidth="1"/>
    <col min="14083" max="14086" width="8.77734375" style="2"/>
    <col min="14087" max="14087" width="4.5546875" style="2" customWidth="1"/>
    <col min="14088" max="14088" width="10.21875" style="2" customWidth="1"/>
    <col min="14089" max="14089" width="3.21875" style="2" customWidth="1"/>
    <col min="14090" max="14090" width="8.77734375" style="2"/>
    <col min="14091" max="14091" width="6.21875" style="2" customWidth="1"/>
    <col min="14092" max="14092" width="3.77734375" style="2" customWidth="1"/>
    <col min="14093" max="14093" width="10.77734375" style="2" customWidth="1"/>
    <col min="14094" max="14094" width="4.21875" style="2" customWidth="1"/>
    <col min="14095" max="14095" width="12.21875" style="2" customWidth="1"/>
    <col min="14096" max="14096" width="10.21875" style="2" customWidth="1"/>
    <col min="14097" max="14097" width="9.21875" style="2" customWidth="1"/>
    <col min="14098" max="14336" width="8.77734375" style="2"/>
    <col min="14337" max="14337" width="4.21875" style="2" customWidth="1"/>
    <col min="14338" max="14338" width="2.5546875" style="2" customWidth="1"/>
    <col min="14339" max="14342" width="8.77734375" style="2"/>
    <col min="14343" max="14343" width="4.5546875" style="2" customWidth="1"/>
    <col min="14344" max="14344" width="10.21875" style="2" customWidth="1"/>
    <col min="14345" max="14345" width="3.21875" style="2" customWidth="1"/>
    <col min="14346" max="14346" width="8.77734375" style="2"/>
    <col min="14347" max="14347" width="6.21875" style="2" customWidth="1"/>
    <col min="14348" max="14348" width="3.77734375" style="2" customWidth="1"/>
    <col min="14349" max="14349" width="10.77734375" style="2" customWidth="1"/>
    <col min="14350" max="14350" width="4.21875" style="2" customWidth="1"/>
    <col min="14351" max="14351" width="12.21875" style="2" customWidth="1"/>
    <col min="14352" max="14352" width="10.21875" style="2" customWidth="1"/>
    <col min="14353" max="14353" width="9.21875" style="2" customWidth="1"/>
    <col min="14354" max="14592" width="8.77734375" style="2"/>
    <col min="14593" max="14593" width="4.21875" style="2" customWidth="1"/>
    <col min="14594" max="14594" width="2.5546875" style="2" customWidth="1"/>
    <col min="14595" max="14598" width="8.77734375" style="2"/>
    <col min="14599" max="14599" width="4.5546875" style="2" customWidth="1"/>
    <col min="14600" max="14600" width="10.21875" style="2" customWidth="1"/>
    <col min="14601" max="14601" width="3.21875" style="2" customWidth="1"/>
    <col min="14602" max="14602" width="8.77734375" style="2"/>
    <col min="14603" max="14603" width="6.21875" style="2" customWidth="1"/>
    <col min="14604" max="14604" width="3.77734375" style="2" customWidth="1"/>
    <col min="14605" max="14605" width="10.77734375" style="2" customWidth="1"/>
    <col min="14606" max="14606" width="4.21875" style="2" customWidth="1"/>
    <col min="14607" max="14607" width="12.21875" style="2" customWidth="1"/>
    <col min="14608" max="14608" width="10.21875" style="2" customWidth="1"/>
    <col min="14609" max="14609" width="9.21875" style="2" customWidth="1"/>
    <col min="14610" max="14848" width="8.77734375" style="2"/>
    <col min="14849" max="14849" width="4.21875" style="2" customWidth="1"/>
    <col min="14850" max="14850" width="2.5546875" style="2" customWidth="1"/>
    <col min="14851" max="14854" width="8.77734375" style="2"/>
    <col min="14855" max="14855" width="4.5546875" style="2" customWidth="1"/>
    <col min="14856" max="14856" width="10.21875" style="2" customWidth="1"/>
    <col min="14857" max="14857" width="3.21875" style="2" customWidth="1"/>
    <col min="14858" max="14858" width="8.77734375" style="2"/>
    <col min="14859" max="14859" width="6.21875" style="2" customWidth="1"/>
    <col min="14860" max="14860" width="3.77734375" style="2" customWidth="1"/>
    <col min="14861" max="14861" width="10.77734375" style="2" customWidth="1"/>
    <col min="14862" max="14862" width="4.21875" style="2" customWidth="1"/>
    <col min="14863" max="14863" width="12.21875" style="2" customWidth="1"/>
    <col min="14864" max="14864" width="10.21875" style="2" customWidth="1"/>
    <col min="14865" max="14865" width="9.21875" style="2" customWidth="1"/>
    <col min="14866" max="15104" width="8.77734375" style="2"/>
    <col min="15105" max="15105" width="4.21875" style="2" customWidth="1"/>
    <col min="15106" max="15106" width="2.5546875" style="2" customWidth="1"/>
    <col min="15107" max="15110" width="8.77734375" style="2"/>
    <col min="15111" max="15111" width="4.5546875" style="2" customWidth="1"/>
    <col min="15112" max="15112" width="10.21875" style="2" customWidth="1"/>
    <col min="15113" max="15113" width="3.21875" style="2" customWidth="1"/>
    <col min="15114" max="15114" width="8.77734375" style="2"/>
    <col min="15115" max="15115" width="6.21875" style="2" customWidth="1"/>
    <col min="15116" max="15116" width="3.77734375" style="2" customWidth="1"/>
    <col min="15117" max="15117" width="10.77734375" style="2" customWidth="1"/>
    <col min="15118" max="15118" width="4.21875" style="2" customWidth="1"/>
    <col min="15119" max="15119" width="12.21875" style="2" customWidth="1"/>
    <col min="15120" max="15120" width="10.21875" style="2" customWidth="1"/>
    <col min="15121" max="15121" width="9.21875" style="2" customWidth="1"/>
    <col min="15122" max="15360" width="8.77734375" style="2"/>
    <col min="15361" max="15361" width="4.21875" style="2" customWidth="1"/>
    <col min="15362" max="15362" width="2.5546875" style="2" customWidth="1"/>
    <col min="15363" max="15366" width="8.77734375" style="2"/>
    <col min="15367" max="15367" width="4.5546875" style="2" customWidth="1"/>
    <col min="15368" max="15368" width="10.21875" style="2" customWidth="1"/>
    <col min="15369" max="15369" width="3.21875" style="2" customWidth="1"/>
    <col min="15370" max="15370" width="8.77734375" style="2"/>
    <col min="15371" max="15371" width="6.21875" style="2" customWidth="1"/>
    <col min="15372" max="15372" width="3.77734375" style="2" customWidth="1"/>
    <col min="15373" max="15373" width="10.77734375" style="2" customWidth="1"/>
    <col min="15374" max="15374" width="4.21875" style="2" customWidth="1"/>
    <col min="15375" max="15375" width="12.21875" style="2" customWidth="1"/>
    <col min="15376" max="15376" width="10.21875" style="2" customWidth="1"/>
    <col min="15377" max="15377" width="9.21875" style="2" customWidth="1"/>
    <col min="15378" max="15616" width="8.77734375" style="2"/>
    <col min="15617" max="15617" width="4.21875" style="2" customWidth="1"/>
    <col min="15618" max="15618" width="2.5546875" style="2" customWidth="1"/>
    <col min="15619" max="15622" width="8.77734375" style="2"/>
    <col min="15623" max="15623" width="4.5546875" style="2" customWidth="1"/>
    <col min="15624" max="15624" width="10.21875" style="2" customWidth="1"/>
    <col min="15625" max="15625" width="3.21875" style="2" customWidth="1"/>
    <col min="15626" max="15626" width="8.77734375" style="2"/>
    <col min="15627" max="15627" width="6.21875" style="2" customWidth="1"/>
    <col min="15628" max="15628" width="3.77734375" style="2" customWidth="1"/>
    <col min="15629" max="15629" width="10.77734375" style="2" customWidth="1"/>
    <col min="15630" max="15630" width="4.21875" style="2" customWidth="1"/>
    <col min="15631" max="15631" width="12.21875" style="2" customWidth="1"/>
    <col min="15632" max="15632" width="10.21875" style="2" customWidth="1"/>
    <col min="15633" max="15633" width="9.21875" style="2" customWidth="1"/>
    <col min="15634" max="15872" width="8.77734375" style="2"/>
    <col min="15873" max="15873" width="4.21875" style="2" customWidth="1"/>
    <col min="15874" max="15874" width="2.5546875" style="2" customWidth="1"/>
    <col min="15875" max="15878" width="8.77734375" style="2"/>
    <col min="15879" max="15879" width="4.5546875" style="2" customWidth="1"/>
    <col min="15880" max="15880" width="10.21875" style="2" customWidth="1"/>
    <col min="15881" max="15881" width="3.21875" style="2" customWidth="1"/>
    <col min="15882" max="15882" width="8.77734375" style="2"/>
    <col min="15883" max="15883" width="6.21875" style="2" customWidth="1"/>
    <col min="15884" max="15884" width="3.77734375" style="2" customWidth="1"/>
    <col min="15885" max="15885" width="10.77734375" style="2" customWidth="1"/>
    <col min="15886" max="15886" width="4.21875" style="2" customWidth="1"/>
    <col min="15887" max="15887" width="12.21875" style="2" customWidth="1"/>
    <col min="15888" max="15888" width="10.21875" style="2" customWidth="1"/>
    <col min="15889" max="15889" width="9.21875" style="2" customWidth="1"/>
    <col min="15890" max="16128" width="8.77734375" style="2"/>
    <col min="16129" max="16129" width="4.21875" style="2" customWidth="1"/>
    <col min="16130" max="16130" width="2.5546875" style="2" customWidth="1"/>
    <col min="16131" max="16134" width="8.77734375" style="2"/>
    <col min="16135" max="16135" width="4.5546875" style="2" customWidth="1"/>
    <col min="16136" max="16136" width="10.21875" style="2" customWidth="1"/>
    <col min="16137" max="16137" width="3.21875" style="2" customWidth="1"/>
    <col min="16138" max="16138" width="8.77734375" style="2"/>
    <col min="16139" max="16139" width="6.21875" style="2" customWidth="1"/>
    <col min="16140" max="16140" width="3.77734375" style="2" customWidth="1"/>
    <col min="16141" max="16141" width="10.77734375" style="2" customWidth="1"/>
    <col min="16142" max="16142" width="4.21875" style="2" customWidth="1"/>
    <col min="16143" max="16143" width="12.21875" style="2" customWidth="1"/>
    <col min="16144" max="16144" width="10.21875" style="2" customWidth="1"/>
    <col min="16145" max="16145" width="9.21875" style="2" customWidth="1"/>
    <col min="16146" max="16384" width="8.77734375" style="2"/>
  </cols>
  <sheetData>
    <row r="1" spans="1:18" ht="14.25" customHeight="1">
      <c r="A1" s="1220" t="s">
        <v>20</v>
      </c>
      <c r="B1" s="1220"/>
      <c r="C1" s="1220"/>
      <c r="D1" s="1220"/>
      <c r="E1" s="1220"/>
      <c r="F1" s="1220"/>
      <c r="G1" s="1220"/>
      <c r="H1" s="1220"/>
      <c r="I1" s="1220"/>
      <c r="J1" s="1220"/>
      <c r="K1" s="1220"/>
      <c r="L1" s="1220"/>
      <c r="M1" s="1220"/>
      <c r="N1" s="1220"/>
      <c r="O1" s="1220"/>
      <c r="P1" s="49"/>
      <c r="Q1" s="50"/>
      <c r="R1" s="49"/>
    </row>
    <row r="2" spans="1:18" ht="15.6">
      <c r="A2" s="1220" t="s">
        <v>21</v>
      </c>
      <c r="B2" s="1220"/>
      <c r="C2" s="1220"/>
      <c r="D2" s="1220"/>
      <c r="E2" s="1220"/>
      <c r="F2" s="1220"/>
      <c r="G2" s="1220"/>
      <c r="H2" s="1220"/>
      <c r="I2" s="1220"/>
      <c r="J2" s="1220"/>
      <c r="K2" s="1220"/>
      <c r="L2" s="1220"/>
      <c r="M2" s="1220"/>
      <c r="N2" s="1220"/>
      <c r="O2" s="1220"/>
      <c r="P2" s="49"/>
      <c r="Q2" s="50"/>
      <c r="R2" s="49"/>
    </row>
    <row r="3" spans="1:18" ht="15.6">
      <c r="A3" s="1225" t="s">
        <v>41</v>
      </c>
      <c r="B3" s="1225"/>
      <c r="C3" s="1225"/>
      <c r="D3" s="1225"/>
      <c r="E3" s="1225"/>
      <c r="F3" s="1225"/>
      <c r="G3" s="1225"/>
      <c r="H3" s="1225"/>
      <c r="I3" s="1225"/>
      <c r="J3" s="1225"/>
      <c r="K3" s="1225"/>
      <c r="L3" s="1225"/>
      <c r="M3" s="1225"/>
      <c r="N3" s="1225"/>
      <c r="O3" s="1225"/>
    </row>
    <row r="4" spans="1:18" ht="39" customHeight="1">
      <c r="A4" s="33" t="s">
        <v>22</v>
      </c>
      <c r="F4" s="34" t="s">
        <v>23</v>
      </c>
      <c r="H4" s="35" t="s">
        <v>24</v>
      </c>
      <c r="I4" s="36"/>
      <c r="J4" s="1221" t="s">
        <v>25</v>
      </c>
      <c r="K4" s="1217"/>
      <c r="M4" s="3" t="s">
        <v>26</v>
      </c>
      <c r="O4" s="37" t="s">
        <v>27</v>
      </c>
    </row>
    <row r="5" spans="1:18" ht="6.75" customHeight="1"/>
    <row r="6" spans="1:18" ht="15">
      <c r="B6" s="5" t="s">
        <v>6</v>
      </c>
      <c r="F6" s="38" t="str">
        <f>IF('Input (1)'!$E$4=0,"0",'Input (1)'!$E$4)</f>
        <v>0</v>
      </c>
      <c r="J6" s="1222" t="str">
        <f>IF('Input (1)'!E4=0,"0",'Input (1)'!E4)</f>
        <v>0</v>
      </c>
      <c r="K6" s="1222"/>
      <c r="L6" s="40" t="s">
        <v>28</v>
      </c>
      <c r="M6" s="41">
        <f>IF('Input (1)'!E4=0,0,LOOKUP(J6,'criteria (1)'!$A$3:$A$10,'criteria (1)'!$B$3:$B$10))</f>
        <v>0</v>
      </c>
      <c r="N6" s="42" t="s">
        <v>29</v>
      </c>
      <c r="O6" s="38">
        <f>IF(Q6=0,0,IF(Q6&lt;LOOKUP(J6,'criteria (1)'!$A$3:$A$10,'criteria (1)'!$C$3:$C$10),LOOKUP(J6,'criteria (1)'!$A$3:$A$10,'criteria (1)'!$C$3:$C$10),IF(LOOKUP(J6,'criteria (1)'!$A$3:$A$10,'criteria (1)'!$C$3:$C$10)=0,0,Q6)))</f>
        <v>0</v>
      </c>
      <c r="P6" s="28" t="str">
        <f>IF('Input (1)'!E4=0," ",IF(O6=0,"ADD to 1-6",IF(O6=Q6," ","Minimum")))</f>
        <v xml:space="preserve"> </v>
      </c>
      <c r="Q6" s="32">
        <f>ROUND(IF('Input (1)'!E4=0,0,IF(M6=0,0,(J6/M6))),2)</f>
        <v>0</v>
      </c>
    </row>
    <row r="7" spans="1:18" ht="6.75" customHeight="1">
      <c r="J7" s="43"/>
      <c r="K7" s="43"/>
    </row>
    <row r="8" spans="1:18">
      <c r="B8" s="5" t="s">
        <v>7</v>
      </c>
      <c r="J8" s="43"/>
      <c r="K8" s="43"/>
    </row>
    <row r="9" spans="1:18">
      <c r="B9" s="28" t="s">
        <v>30</v>
      </c>
      <c r="J9" s="43"/>
      <c r="K9" s="43"/>
    </row>
    <row r="10" spans="1:18" ht="16.5" customHeight="1">
      <c r="C10" s="12" t="s">
        <v>8</v>
      </c>
      <c r="F10" s="41" t="str">
        <f>IF(J10=0," ",IF($J$15&gt;300," ",'Input (1)'!E7))</f>
        <v xml:space="preserve"> </v>
      </c>
      <c r="G10" s="44" t="s">
        <v>31</v>
      </c>
      <c r="H10" s="38" t="str">
        <f>IF(J10=0," ",'C (1)'!H25)</f>
        <v xml:space="preserve"> </v>
      </c>
      <c r="I10" s="42" t="s">
        <v>29</v>
      </c>
      <c r="J10" s="1222">
        <f>IF('Input (1)'!E7=0,0,IF(SUM('Input (1)'!E7-'C (1)'!H25)+SUM('Input (1)'!E8-'C (1)'!H26)&gt;299.99,SUM('Input (1)'!E7-'C (1)'!H25),0))</f>
        <v>0</v>
      </c>
      <c r="K10" s="1222"/>
      <c r="L10" s="40" t="s">
        <v>28</v>
      </c>
      <c r="M10" s="41">
        <f>IF(SUM('Input (1)'!$E$7-'C (1)'!$H$25)+SUM('Input (1)'!$E$8-'C (1)'!$H$26)&gt;299.99,20,0)</f>
        <v>0</v>
      </c>
      <c r="N10" s="42" t="s">
        <v>29</v>
      </c>
      <c r="O10" s="41">
        <f>ROUND(IF(SUM('Input (1)'!$E$7-'C (1)'!$H$25)+SUM('Input (1)'!$E$8-'C (1)'!$H$26)&lt;299.99,0,IF(Q10+Q12&lt;15,0,(J10/M10))),2)</f>
        <v>0</v>
      </c>
      <c r="P10" s="2" t="str">
        <f>IF(O10=0," ",IF(O10=Q10," ","Minimum"))</f>
        <v xml:space="preserve"> </v>
      </c>
      <c r="Q10" s="32">
        <f>ROUND(IF(SUM('Input (1)'!$E$7-'C (1)'!$H$25)+SUM('Input (1)'!$E$8-'C (1)'!$H$26)&lt;299.99,0,(J10/M10)),2)</f>
        <v>0</v>
      </c>
    </row>
    <row r="11" spans="1:18" ht="10.5" customHeight="1">
      <c r="B11" s="12"/>
      <c r="J11" s="43"/>
      <c r="K11" s="43"/>
    </row>
    <row r="12" spans="1:18" ht="15">
      <c r="C12" s="12" t="s">
        <v>9</v>
      </c>
      <c r="F12" s="41" t="str">
        <f>IF(J12=0," ",IF($J$15&gt;300," ",'Input (1)'!E8))</f>
        <v xml:space="preserve"> </v>
      </c>
      <c r="G12" s="44" t="s">
        <v>31</v>
      </c>
      <c r="H12" s="38" t="str">
        <f>IF(J12=0," ",'C (1)'!H26)</f>
        <v xml:space="preserve"> </v>
      </c>
      <c r="I12" s="42" t="s">
        <v>29</v>
      </c>
      <c r="J12" s="1222">
        <f>IF('Input (1)'!E8=0,0,IF(SUM('Input (1)'!E7-'C (1)'!H25)+SUM('Input (1)'!E8-'C (1)'!H26)&gt;299.99,SUM('Input (1)'!E8-'C (1)'!H26),0))</f>
        <v>0</v>
      </c>
      <c r="K12" s="1222"/>
      <c r="L12" s="40" t="s">
        <v>28</v>
      </c>
      <c r="M12" s="41">
        <f>IF(SUM('Input (1)'!$E$7-'C (1)'!$H$25)+SUM('Input (1)'!$E$8-'C (1)'!$H$26)&gt;299.99,23,0)</f>
        <v>0</v>
      </c>
      <c r="N12" s="42" t="s">
        <v>29</v>
      </c>
      <c r="O12" s="41">
        <f>ROUND(IF(SUM('Input (1)'!$E$7-'C (1)'!$H$25)+SUM('Input (1)'!$E$8-'C (1)'!$H$26)&lt;299.99,0,IF(Q10+Q12&lt;15,0,($J$12/$M$12))),2)</f>
        <v>0</v>
      </c>
      <c r="P12" s="2" t="str">
        <f>IF(O12=0," ",IF(O12=Q12," ","Minimum"))</f>
        <v xml:space="preserve"> </v>
      </c>
      <c r="Q12" s="32">
        <f>ROUND(IF(SUM('Input (1)'!$E$7-'C (1)'!$H$25)+SUM('Input (1)'!$E$8-'C (1)'!$H$26)&lt;299.99,0,($J$12/$M$12)),2)</f>
        <v>0</v>
      </c>
    </row>
    <row r="13" spans="1:18">
      <c r="O13" s="36" t="str">
        <f>IF(P13="Minimum",15," ")</f>
        <v xml:space="preserve"> </v>
      </c>
      <c r="P13" s="2" t="str">
        <f>IF(Q10+Q12=0," ",IF(Q10+Q12&lt;15,"Minimum"," "))</f>
        <v xml:space="preserve"> </v>
      </c>
    </row>
    <row r="14" spans="1:18">
      <c r="B14" s="5" t="s">
        <v>7</v>
      </c>
    </row>
    <row r="15" spans="1:18">
      <c r="B15" s="28" t="s">
        <v>32</v>
      </c>
    </row>
    <row r="16" spans="1:18" ht="15">
      <c r="C16" s="12" t="s">
        <v>33</v>
      </c>
      <c r="F16" s="41">
        <f>IF(J16=0," ",IF(J16&lt;300,SUM('Input (1)'!E7+'Input (1)'!E8)," "))</f>
        <v>73.149999999999991</v>
      </c>
      <c r="G16" s="44" t="s">
        <v>31</v>
      </c>
      <c r="H16" s="38">
        <f>IF(J16=0," ",'C (1)'!H22)</f>
        <v>4.62</v>
      </c>
      <c r="I16" s="42" t="s">
        <v>29</v>
      </c>
      <c r="J16" s="1222">
        <f>IF('Input (1)'!E9=0,0,IF(SUM('Input (1)'!E7-'C (1)'!H25)+SUM('Input (1)'!E8-'C (1)'!H26)&lt;300,IF(P6="ADD to 1-6",SUM('Input (1)'!E7-'C (1)'!H25)+SUM('Input (1)'!E8-'C (1)'!H26)+'Input (1)'!E4,SUM('Input (1)'!E7-'C (1)'!H25)+SUM('Input (1)'!E8-'C (1)'!H26)),0))</f>
        <v>68.529999999999987</v>
      </c>
      <c r="K16" s="1222"/>
      <c r="L16" s="40" t="s">
        <v>28</v>
      </c>
      <c r="M16" s="41">
        <f>IF(J16=0,0,LOOKUP(J16,'criteria (1)'!$M$3:$M$11,'criteria (1)'!$N$3:$N$11))</f>
        <v>15</v>
      </c>
      <c r="N16" s="42" t="s">
        <v>29</v>
      </c>
      <c r="O16" s="38">
        <f>IF(Q16=0,0,IF(Q16&lt;LOOKUP(J16,'criteria (1)'!$M$3:$M$10,'criteria (1)'!$O$3:$O$10),LOOKUP(J16,'criteria (1)'!$M$3:$M$10,'criteria (1)'!$O$3:$O$10),Q16))</f>
        <v>4.57</v>
      </c>
      <c r="P16" s="2" t="str">
        <f>IF(O16=0," ",IF(O16=Q16," ","Minimum"))</f>
        <v xml:space="preserve"> </v>
      </c>
      <c r="Q16" s="32">
        <f>ROUND(IF('Input (1)'!E9=0,0,IF(SUM('Input (1)'!$E$7-'C (1)'!$H$25)+SUM('Input (1)'!$E$8-'C (1)'!$H$26)&gt;299.99,0,(J16/M16))),2)</f>
        <v>4.57</v>
      </c>
    </row>
    <row r="17" spans="1:17" ht="6" customHeight="1">
      <c r="J17" s="43"/>
      <c r="K17" s="43"/>
    </row>
    <row r="18" spans="1:17" ht="15">
      <c r="B18" s="5" t="s">
        <v>10</v>
      </c>
      <c r="F18" s="38">
        <f>IF('Input (1)'!$E$10=0,0,'Input (1)'!$E$10)</f>
        <v>74.099999999999994</v>
      </c>
      <c r="G18" s="44" t="s">
        <v>31</v>
      </c>
      <c r="H18" s="51"/>
      <c r="I18" s="42" t="s">
        <v>29</v>
      </c>
      <c r="J18" s="1222">
        <f>IF('Input (1)'!$E$10=0,0,'Input (1)'!$E$10)</f>
        <v>74.099999999999994</v>
      </c>
      <c r="K18" s="1222"/>
      <c r="L18" s="40" t="s">
        <v>28</v>
      </c>
      <c r="M18" s="41">
        <f>IF('Input (1)'!C10=0,0,IF(J18&gt;99.99,LOOKUP(J18,'criteria (1)'!Q3:Q10,'criteria (1)'!R3:R10),12))</f>
        <v>12</v>
      </c>
      <c r="N18" s="42" t="s">
        <v>29</v>
      </c>
      <c r="O18" s="41">
        <f>ROUND(IF(J18=0,0,IF(J18&lt;99.99,IF(M18=0,8,(J18/M18)),IF(Q18&lt;LOOKUP(J18,'criteria (1)'!$Q$3:$Q$10,'criteria (1)'!$S$3:$S$10),LOOKUP(J18,'criteria (1)'!$Q$3:$Q$10,'criteria (1)'!$S$3:$S$10),Q18))),2)</f>
        <v>6.18</v>
      </c>
      <c r="P18" s="2" t="str">
        <f>IF(O18=0," ",IF(O18=Q18," ","Minimum"))</f>
        <v xml:space="preserve"> </v>
      </c>
      <c r="Q18" s="32">
        <f>ROUND(IF(M18=0,0,(J18/M18)),2)</f>
        <v>6.18</v>
      </c>
    </row>
    <row r="19" spans="1:17">
      <c r="B19" s="5"/>
      <c r="J19" s="39"/>
      <c r="K19" s="39"/>
      <c r="M19" s="36"/>
      <c r="N19" s="42"/>
      <c r="O19" s="36"/>
    </row>
    <row r="20" spans="1:17" ht="15">
      <c r="A20" s="45" t="s">
        <v>34</v>
      </c>
      <c r="J20" s="43"/>
      <c r="K20" s="43"/>
    </row>
    <row r="21" spans="1:17" ht="3.75" customHeight="1">
      <c r="J21" s="43"/>
      <c r="K21" s="43"/>
    </row>
    <row r="22" spans="1:17">
      <c r="B22" s="2" t="s">
        <v>35</v>
      </c>
      <c r="J22" s="1222" t="str">
        <f>IF('C (1)'!H55=0," ",'C (1)'!H55)</f>
        <v xml:space="preserve"> </v>
      </c>
      <c r="K22" s="1222"/>
    </row>
    <row r="23" spans="1:17" ht="7.5" customHeight="1">
      <c r="J23" s="43"/>
      <c r="K23" s="43"/>
    </row>
    <row r="24" spans="1:17">
      <c r="B24" s="2" t="s">
        <v>36</v>
      </c>
      <c r="J24" s="1222">
        <f>IF('C (1)'!H22=0," ",'C (1)'!H22)</f>
        <v>4.62</v>
      </c>
      <c r="K24" s="1222"/>
    </row>
    <row r="25" spans="1:17" ht="7.5" customHeight="1">
      <c r="J25" s="43"/>
      <c r="K25" s="43"/>
    </row>
    <row r="26" spans="1:17">
      <c r="B26" s="2" t="s">
        <v>37</v>
      </c>
      <c r="J26" s="1222">
        <f>0</f>
        <v>0</v>
      </c>
      <c r="K26" s="1222"/>
    </row>
    <row r="27" spans="1:17" ht="7.5" customHeight="1">
      <c r="J27" s="43"/>
      <c r="K27" s="43"/>
    </row>
    <row r="28" spans="1:17" ht="6" customHeight="1">
      <c r="J28" s="39"/>
      <c r="K28" s="39"/>
    </row>
    <row r="29" spans="1:17" ht="15.6" thickBot="1">
      <c r="B29" s="46" t="s">
        <v>38</v>
      </c>
      <c r="J29" s="1219">
        <f>SUM(J22:K27)</f>
        <v>4.62</v>
      </c>
      <c r="K29" s="1219"/>
      <c r="L29" s="40" t="s">
        <v>28</v>
      </c>
      <c r="M29" s="41">
        <f>IF(SUM('Input (1)'!C4:C10)=0,0,IF(J29&gt;=14,LOOKUP(J29,'criteria (1)'!$U$3:$U$10,'criteria (1)'!$V$3:$V$10),0))</f>
        <v>0</v>
      </c>
      <c r="N29" s="42" t="s">
        <v>29</v>
      </c>
      <c r="O29" s="41">
        <f>IF(J29=0,0,IF(Q29&lt;LOOKUP(J29,'criteria (1)'!$U$3:$U$10,'criteria (1)'!$W$3:$W$10),LOOKUP(J29,'criteria (1)'!$U$3:$U$10,'criteria (1)'!$W$3:$W$10),Q29))</f>
        <v>0.5</v>
      </c>
      <c r="P29" s="2" t="str">
        <f>IF(O29=0," ",IF(O29=Q29," ","Minimum"))</f>
        <v>Minimum</v>
      </c>
      <c r="Q29" s="32">
        <f>ROUND(IF(SUM('Input (1)'!C4:C10)=0,0,IF(M29=0,0,(J29/M29))),2)</f>
        <v>0</v>
      </c>
    </row>
    <row r="30" spans="1:17" ht="11.25" customHeight="1" thickTop="1">
      <c r="B30" s="46"/>
      <c r="J30" s="39"/>
      <c r="K30" s="39"/>
      <c r="L30" s="40"/>
      <c r="M30" s="36"/>
      <c r="N30" s="42"/>
      <c r="O30" s="36"/>
    </row>
    <row r="31" spans="1:17" ht="19.5" customHeight="1">
      <c r="A31" s="48" t="s">
        <v>39</v>
      </c>
    </row>
    <row r="32" spans="1:17" ht="15">
      <c r="B32" s="1223" t="str">
        <f>IF('Input (1)'!E14=0," ","Alternative Secondary High School")</f>
        <v xml:space="preserve"> </v>
      </c>
      <c r="C32" s="1223"/>
      <c r="D32" s="1223"/>
      <c r="E32" s="1223"/>
      <c r="F32" s="1223"/>
      <c r="G32" s="1223"/>
      <c r="H32" s="1223"/>
      <c r="J32" s="1222">
        <f>'Input (1)'!E14</f>
        <v>0</v>
      </c>
      <c r="K32" s="1222"/>
      <c r="L32" s="40" t="s">
        <v>28</v>
      </c>
      <c r="M32" s="41">
        <f>IF(J32=0,0,IF(Q32&lt;1,M18,12))</f>
        <v>0</v>
      </c>
      <c r="N32" s="42" t="s">
        <v>29</v>
      </c>
      <c r="O32" s="38">
        <f>ROUND(IF(J32=0,0,J32/M32),2)</f>
        <v>0</v>
      </c>
      <c r="P32" s="45"/>
      <c r="Q32" s="32">
        <f>ROUND(IF(J32=0,0,J32/12),2)</f>
        <v>0</v>
      </c>
    </row>
    <row r="33" spans="1:17" ht="11.25" customHeight="1">
      <c r="J33" s="43"/>
      <c r="K33" s="43"/>
      <c r="O33" s="43"/>
    </row>
    <row r="34" spans="1:17" ht="11.25" customHeight="1">
      <c r="B34" s="1223" t="str">
        <f>IF('Input (1)'!E15=0," ","Summer Alternative Secondary High School")</f>
        <v xml:space="preserve"> </v>
      </c>
      <c r="C34" s="1223"/>
      <c r="D34" s="1223"/>
      <c r="E34" s="1223"/>
      <c r="F34" s="1223"/>
      <c r="G34" s="1223"/>
      <c r="J34" s="1222">
        <f>'Input (1)'!E15</f>
        <v>0</v>
      </c>
      <c r="K34" s="1222"/>
      <c r="L34" s="40" t="s">
        <v>28</v>
      </c>
      <c r="M34" s="41">
        <f>IF(J34=0,0,40)</f>
        <v>0</v>
      </c>
      <c r="N34" s="42" t="s">
        <v>29</v>
      </c>
      <c r="O34" s="38">
        <f>ROUND(IF(J34=0,0,J34/M34),2)</f>
        <v>0</v>
      </c>
      <c r="P34" s="45"/>
      <c r="Q34" s="32">
        <f>ROUND(IF(J34=0,0,J34/12),2)</f>
        <v>0</v>
      </c>
    </row>
    <row r="35" spans="1:17" ht="13.5" customHeight="1">
      <c r="J35" s="36"/>
      <c r="K35" s="36"/>
      <c r="L35" s="40"/>
      <c r="M35" s="36"/>
      <c r="N35" s="42"/>
      <c r="O35" s="36"/>
      <c r="P35" s="46"/>
    </row>
    <row r="36" spans="1:17" ht="18.75" customHeight="1" thickBot="1">
      <c r="A36" s="45"/>
      <c r="B36" s="12" t="s">
        <v>40</v>
      </c>
      <c r="C36" s="46"/>
      <c r="D36" s="46"/>
      <c r="E36" s="46"/>
      <c r="F36" s="46"/>
      <c r="G36" s="46"/>
      <c r="H36" s="46"/>
      <c r="I36" s="46"/>
      <c r="J36" s="46"/>
      <c r="K36" s="46"/>
      <c r="M36" s="36" t="s">
        <v>29</v>
      </c>
      <c r="N36" s="1224">
        <f>ROUND(IF(SUM(O6:O34)=0,0,SUM(O6:O34)),2)</f>
        <v>11.25</v>
      </c>
      <c r="O36" s="1224"/>
    </row>
    <row r="37" spans="1:17" ht="13.8" thickTop="1">
      <c r="M37" s="1218" t="str">
        <f>IF(N36=0," ",IF(N36&lt;'Current Year (1)'!N36,"Do Not Use","You May Use this Calculation"))</f>
        <v>You May Use this Calculation</v>
      </c>
      <c r="N37" s="1218"/>
      <c r="O37" s="1218"/>
      <c r="P37" s="1218"/>
    </row>
  </sheetData>
  <sheetProtection password="CC16" sheet="1" objects="1" scenarios="1"/>
  <mergeCells count="19">
    <mergeCell ref="M37:P37"/>
    <mergeCell ref="J29:K29"/>
    <mergeCell ref="B32:H32"/>
    <mergeCell ref="J32:K32"/>
    <mergeCell ref="B34:G34"/>
    <mergeCell ref="J34:K34"/>
    <mergeCell ref="N36:O36"/>
    <mergeCell ref="J26:K26"/>
    <mergeCell ref="A1:O1"/>
    <mergeCell ref="A2:O2"/>
    <mergeCell ref="A3:O3"/>
    <mergeCell ref="J4:K4"/>
    <mergeCell ref="J6:K6"/>
    <mergeCell ref="J10:K10"/>
    <mergeCell ref="J12:K12"/>
    <mergeCell ref="J16:K16"/>
    <mergeCell ref="J18:K18"/>
    <mergeCell ref="J22:K22"/>
    <mergeCell ref="J24:K24"/>
  </mergeCells>
  <conditionalFormatting sqref="M37:P37">
    <cfRule type="cellIs" dxfId="52" priority="1" stopIfTrue="1" operator="equal">
      <formula>"Do Not Use"</formula>
    </cfRule>
    <cfRule type="cellIs" dxfId="51" priority="2" stopIfTrue="1" operator="equal">
      <formula>"You May Use this Calculation"</formula>
    </cfRule>
  </conditionalFormatting>
  <pageMargins left="0.5" right="0.5" top="0.5" bottom="0.5" header="0.25" footer="0.25"/>
  <pageSetup scale="82" orientation="portrait" r:id="rId1"/>
  <headerFooter alignWithMargins="0">
    <oddFooter>&amp;L&amp;F</oddFooter>
  </headerFooter>
  <colBreaks count="1" manualBreakCount="1">
    <brk id="16"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76">
    <tabColor rgb="FF002060"/>
    <pageSetUpPr fitToPage="1"/>
  </sheetPr>
  <dimension ref="A1:O56"/>
  <sheetViews>
    <sheetView workbookViewId="0">
      <selection activeCell="K50" sqref="K50"/>
    </sheetView>
  </sheetViews>
  <sheetFormatPr defaultColWidth="10.44140625" defaultRowHeight="10.199999999999999"/>
  <cols>
    <col min="1" max="1" width="6.21875" style="185" customWidth="1"/>
    <col min="2" max="2" width="6.77734375" style="185" customWidth="1"/>
    <col min="3" max="3" width="7.44140625" style="185" customWidth="1"/>
    <col min="4" max="4" width="9.21875" style="185" customWidth="1"/>
    <col min="5" max="5" width="7.44140625" style="185" customWidth="1"/>
    <col min="6" max="6" width="8.5546875" style="185" customWidth="1"/>
    <col min="7" max="7" width="8.21875" style="185" customWidth="1"/>
    <col min="8" max="8" width="8.5546875" style="185" customWidth="1"/>
    <col min="9" max="9" width="1.44140625" style="185" customWidth="1"/>
    <col min="10" max="10" width="13.77734375" style="185" customWidth="1"/>
    <col min="11" max="11" width="11" style="185" customWidth="1"/>
    <col min="12" max="12" width="13.5546875" style="185" customWidth="1"/>
    <col min="13" max="14" width="12.77734375" style="185" customWidth="1"/>
    <col min="15" max="15" width="10.44140625" style="185"/>
    <col min="16" max="16" width="3.77734375" style="185" customWidth="1"/>
    <col min="17" max="16384" width="10.44140625" style="185"/>
  </cols>
  <sheetData>
    <row r="1" spans="1:13" s="455" customFormat="1" ht="18">
      <c r="L1" s="456"/>
    </row>
    <row r="2" spans="1:13" s="172" customFormat="1" ht="18" customHeight="1">
      <c r="A2" s="504" t="s">
        <v>470</v>
      </c>
      <c r="C2" s="171"/>
    </row>
    <row r="3" spans="1:13" s="454" customFormat="1" ht="15" customHeight="1">
      <c r="A3" s="513">
        <v>1</v>
      </c>
      <c r="B3" s="514" t="s">
        <v>466</v>
      </c>
      <c r="C3" s="515"/>
      <c r="D3" s="516"/>
      <c r="E3" s="511"/>
      <c r="F3" s="511"/>
      <c r="G3" s="173"/>
    </row>
    <row r="4" spans="1:13" s="454" customFormat="1" ht="31.95" customHeight="1">
      <c r="A4" s="517">
        <v>2</v>
      </c>
      <c r="B4" s="518" t="s">
        <v>467</v>
      </c>
      <c r="C4" s="519"/>
      <c r="D4" s="520"/>
      <c r="E4" s="511"/>
      <c r="F4" s="511"/>
      <c r="G4" s="173"/>
    </row>
    <row r="5" spans="1:13" s="454" customFormat="1" ht="15" customHeight="1">
      <c r="A5" s="517">
        <v>4</v>
      </c>
      <c r="B5" s="521" t="s">
        <v>468</v>
      </c>
      <c r="C5" s="513"/>
      <c r="D5" s="517"/>
      <c r="E5" s="512"/>
      <c r="F5" s="512"/>
      <c r="G5" s="173"/>
    </row>
    <row r="6" spans="1:13" ht="19.95" customHeight="1">
      <c r="A6" s="517">
        <v>5</v>
      </c>
      <c r="B6" s="518" t="s">
        <v>469</v>
      </c>
      <c r="C6" s="519"/>
      <c r="D6" s="520"/>
      <c r="E6" s="451"/>
      <c r="F6" s="451"/>
      <c r="G6" s="450"/>
    </row>
    <row r="9" spans="1:13" s="184" customFormat="1" ht="12">
      <c r="A9" s="371"/>
      <c r="B9" s="371"/>
      <c r="C9" s="371"/>
      <c r="D9" s="371"/>
      <c r="E9" s="371" t="s">
        <v>391</v>
      </c>
      <c r="F9" s="371"/>
      <c r="G9" s="371"/>
      <c r="H9" s="371"/>
      <c r="I9" s="371"/>
      <c r="J9" s="371"/>
      <c r="K9" s="371"/>
      <c r="L9" s="371"/>
      <c r="M9" s="371"/>
    </row>
    <row r="10" spans="1:13" s="421" customFormat="1" ht="12" customHeight="1">
      <c r="A10" s="449" t="s">
        <v>390</v>
      </c>
      <c r="B10" s="170"/>
      <c r="C10" s="170"/>
      <c r="D10" s="448"/>
      <c r="E10" s="374" t="s">
        <v>215</v>
      </c>
      <c r="F10" s="374" t="s">
        <v>216</v>
      </c>
      <c r="G10" s="374" t="s">
        <v>217</v>
      </c>
      <c r="H10" s="374" t="s">
        <v>218</v>
      </c>
      <c r="I10" s="444"/>
      <c r="J10" s="445" t="s">
        <v>304</v>
      </c>
      <c r="K10" s="445" t="s">
        <v>238</v>
      </c>
      <c r="L10" s="447" t="s">
        <v>386</v>
      </c>
      <c r="M10" s="446"/>
    </row>
    <row r="11" spans="1:13" s="421" customFormat="1" ht="24.6" customHeight="1">
      <c r="A11" s="166" t="s">
        <v>239</v>
      </c>
      <c r="B11" s="374" t="s">
        <v>220</v>
      </c>
      <c r="C11" s="374" t="s">
        <v>221</v>
      </c>
      <c r="D11" s="374" t="s">
        <v>222</v>
      </c>
      <c r="E11" s="374" t="s">
        <v>223</v>
      </c>
      <c r="F11" s="374" t="s">
        <v>224</v>
      </c>
      <c r="G11" s="374" t="s">
        <v>225</v>
      </c>
      <c r="H11" s="374" t="s">
        <v>226</v>
      </c>
      <c r="I11" s="444"/>
      <c r="J11" s="167" t="s">
        <v>240</v>
      </c>
      <c r="K11" s="167" t="s">
        <v>169</v>
      </c>
      <c r="L11" s="445" t="s">
        <v>389</v>
      </c>
      <c r="M11" s="419"/>
    </row>
    <row r="12" spans="1:13" s="421" customFormat="1" ht="12">
      <c r="A12" s="164"/>
      <c r="B12" s="164"/>
      <c r="C12" s="164"/>
      <c r="D12" s="164"/>
      <c r="E12" s="164"/>
      <c r="F12" s="164"/>
      <c r="G12" s="164"/>
      <c r="H12" s="164"/>
      <c r="I12" s="444"/>
      <c r="J12" s="443" t="s">
        <v>241</v>
      </c>
      <c r="K12" s="443" t="s">
        <v>242</v>
      </c>
      <c r="L12" s="442">
        <v>33400</v>
      </c>
      <c r="M12" s="419"/>
    </row>
    <row r="13" spans="1:13" s="421" customFormat="1" ht="12">
      <c r="A13" s="166">
        <v>0</v>
      </c>
      <c r="B13" s="430" t="s">
        <v>243</v>
      </c>
      <c r="C13" s="430" t="s">
        <v>243</v>
      </c>
      <c r="D13" s="430" t="s">
        <v>243</v>
      </c>
      <c r="E13" s="430" t="s">
        <v>243</v>
      </c>
      <c r="F13" s="430" t="s">
        <v>243</v>
      </c>
      <c r="G13" s="430" t="s">
        <v>243</v>
      </c>
      <c r="H13" s="430" t="s">
        <v>243</v>
      </c>
      <c r="I13" s="165"/>
      <c r="J13" s="441"/>
      <c r="K13" s="440">
        <v>1</v>
      </c>
      <c r="L13" s="439"/>
      <c r="M13" s="419"/>
    </row>
    <row r="14" spans="1:13" s="421" customFormat="1" ht="12">
      <c r="A14" s="166">
        <v>1</v>
      </c>
      <c r="B14" s="430" t="s">
        <v>243</v>
      </c>
      <c r="C14" s="430" t="s">
        <v>243</v>
      </c>
      <c r="D14" s="430" t="s">
        <v>243</v>
      </c>
      <c r="E14" s="430" t="s">
        <v>243</v>
      </c>
      <c r="F14" s="430" t="s">
        <v>243</v>
      </c>
      <c r="G14" s="430" t="s">
        <v>243</v>
      </c>
      <c r="H14" s="430" t="s">
        <v>243</v>
      </c>
      <c r="I14" s="165"/>
      <c r="J14" s="438" t="s">
        <v>243</v>
      </c>
      <c r="K14" s="437" t="s">
        <v>244</v>
      </c>
      <c r="L14" s="436">
        <v>34250</v>
      </c>
      <c r="M14" s="419"/>
    </row>
    <row r="15" spans="1:13" s="421" customFormat="1" ht="12">
      <c r="A15" s="166">
        <v>2</v>
      </c>
      <c r="B15" s="430" t="s">
        <v>243</v>
      </c>
      <c r="C15" s="430" t="s">
        <v>243</v>
      </c>
      <c r="D15" s="430" t="s">
        <v>243</v>
      </c>
      <c r="E15" s="430" t="s">
        <v>243</v>
      </c>
      <c r="F15" s="430" t="s">
        <v>243</v>
      </c>
      <c r="G15" s="430" t="s">
        <v>243</v>
      </c>
      <c r="H15" s="430" t="s">
        <v>243</v>
      </c>
      <c r="I15" s="165"/>
      <c r="J15" s="168" t="s">
        <v>235</v>
      </c>
      <c r="K15" s="435">
        <v>1.3426</v>
      </c>
      <c r="L15" s="168"/>
      <c r="M15" s="419"/>
    </row>
    <row r="16" spans="1:13" s="421" customFormat="1" ht="12">
      <c r="A16" s="166">
        <v>3</v>
      </c>
      <c r="B16" s="430" t="s">
        <v>243</v>
      </c>
      <c r="C16" s="430" t="s">
        <v>243</v>
      </c>
      <c r="D16" s="430" t="s">
        <v>243</v>
      </c>
      <c r="E16" s="430" t="s">
        <v>243</v>
      </c>
      <c r="F16" s="430" t="s">
        <v>243</v>
      </c>
      <c r="G16" s="430" t="s">
        <v>245</v>
      </c>
      <c r="H16" s="423" t="s">
        <v>245</v>
      </c>
      <c r="I16" s="165"/>
      <c r="J16" s="398" t="s">
        <v>245</v>
      </c>
      <c r="K16" s="434">
        <v>1.3929</v>
      </c>
      <c r="L16" s="398">
        <v>35117</v>
      </c>
      <c r="M16" s="419"/>
    </row>
    <row r="17" spans="1:13" s="421" customFormat="1" ht="12">
      <c r="A17" s="166">
        <v>4</v>
      </c>
      <c r="B17" s="430" t="s">
        <v>243</v>
      </c>
      <c r="C17" s="430" t="s">
        <v>243</v>
      </c>
      <c r="D17" s="430" t="s">
        <v>243</v>
      </c>
      <c r="E17" s="430" t="s">
        <v>243</v>
      </c>
      <c r="F17" s="430" t="s">
        <v>243</v>
      </c>
      <c r="G17" s="423" t="s">
        <v>245</v>
      </c>
      <c r="H17" s="391" t="s">
        <v>246</v>
      </c>
      <c r="I17" s="165"/>
      <c r="J17" s="391" t="s">
        <v>246</v>
      </c>
      <c r="K17" s="429">
        <v>1.4451000000000001</v>
      </c>
      <c r="L17" s="391">
        <v>37249</v>
      </c>
      <c r="M17" s="419"/>
    </row>
    <row r="18" spans="1:13" s="421" customFormat="1" ht="12">
      <c r="A18" s="166">
        <v>5</v>
      </c>
      <c r="B18" s="430" t="s">
        <v>243</v>
      </c>
      <c r="C18" s="430" t="s">
        <v>243</v>
      </c>
      <c r="D18" s="430" t="s">
        <v>243</v>
      </c>
      <c r="E18" s="430" t="s">
        <v>243</v>
      </c>
      <c r="F18" s="423" t="s">
        <v>245</v>
      </c>
      <c r="G18" s="391" t="s">
        <v>246</v>
      </c>
      <c r="H18" s="396" t="s">
        <v>247</v>
      </c>
      <c r="I18" s="165"/>
      <c r="J18" s="396" t="s">
        <v>247</v>
      </c>
      <c r="K18" s="433">
        <v>1.4993000000000001</v>
      </c>
      <c r="L18" s="396">
        <v>38758</v>
      </c>
      <c r="M18" s="419"/>
    </row>
    <row r="19" spans="1:13" s="421" customFormat="1" ht="12">
      <c r="A19" s="166">
        <v>6</v>
      </c>
      <c r="B19" s="430" t="s">
        <v>243</v>
      </c>
      <c r="C19" s="430" t="s">
        <v>243</v>
      </c>
      <c r="D19" s="430" t="s">
        <v>243</v>
      </c>
      <c r="E19" s="423" t="s">
        <v>245</v>
      </c>
      <c r="F19" s="391" t="s">
        <v>246</v>
      </c>
      <c r="G19" s="396" t="s">
        <v>247</v>
      </c>
      <c r="H19" s="395" t="s">
        <v>248</v>
      </c>
      <c r="I19" s="165"/>
      <c r="J19" s="395" t="s">
        <v>248</v>
      </c>
      <c r="K19" s="432">
        <v>1.5555000000000001</v>
      </c>
      <c r="L19" s="395">
        <v>39546</v>
      </c>
      <c r="M19" s="419"/>
    </row>
    <row r="20" spans="1:13" s="421" customFormat="1" ht="12">
      <c r="A20" s="166">
        <v>7</v>
      </c>
      <c r="B20" s="430" t="s">
        <v>243</v>
      </c>
      <c r="C20" s="430" t="s">
        <v>243</v>
      </c>
      <c r="D20" s="423" t="s">
        <v>245</v>
      </c>
      <c r="E20" s="391" t="s">
        <v>246</v>
      </c>
      <c r="F20" s="396" t="s">
        <v>247</v>
      </c>
      <c r="G20" s="395" t="s">
        <v>248</v>
      </c>
      <c r="H20" s="394" t="s">
        <v>249</v>
      </c>
      <c r="I20" s="165"/>
      <c r="J20" s="394" t="s">
        <v>249</v>
      </c>
      <c r="K20" s="431">
        <v>1.6137999999999999</v>
      </c>
      <c r="L20" s="394">
        <v>41113</v>
      </c>
      <c r="M20" s="419"/>
    </row>
    <row r="21" spans="1:13" s="421" customFormat="1" ht="12">
      <c r="A21" s="166">
        <v>8</v>
      </c>
      <c r="B21" s="430" t="s">
        <v>243</v>
      </c>
      <c r="C21" s="423" t="s">
        <v>245</v>
      </c>
      <c r="D21" s="391" t="s">
        <v>246</v>
      </c>
      <c r="E21" s="396" t="s">
        <v>247</v>
      </c>
      <c r="F21" s="395" t="s">
        <v>248</v>
      </c>
      <c r="G21" s="394" t="s">
        <v>249</v>
      </c>
      <c r="H21" s="427" t="s">
        <v>250</v>
      </c>
      <c r="I21" s="165"/>
      <c r="J21" s="391" t="s">
        <v>250</v>
      </c>
      <c r="K21" s="429">
        <v>1.6742999999999999</v>
      </c>
      <c r="L21" s="391">
        <v>41961</v>
      </c>
      <c r="M21" s="419"/>
    </row>
    <row r="22" spans="1:13" s="421" customFormat="1" ht="12">
      <c r="A22" s="166">
        <v>9</v>
      </c>
      <c r="B22" s="423" t="s">
        <v>245</v>
      </c>
      <c r="C22" s="391" t="s">
        <v>246</v>
      </c>
      <c r="D22" s="396" t="s">
        <v>247</v>
      </c>
      <c r="E22" s="395" t="s">
        <v>248</v>
      </c>
      <c r="F22" s="394" t="s">
        <v>249</v>
      </c>
      <c r="G22" s="427" t="s">
        <v>250</v>
      </c>
      <c r="H22" s="390" t="s">
        <v>251</v>
      </c>
      <c r="I22" s="165"/>
      <c r="J22" s="390" t="s">
        <v>251</v>
      </c>
      <c r="K22" s="428">
        <v>1.7371000000000001</v>
      </c>
      <c r="L22" s="390">
        <v>43591</v>
      </c>
      <c r="M22" s="419"/>
    </row>
    <row r="23" spans="1:13" s="421" customFormat="1" ht="12">
      <c r="A23" s="166">
        <v>10</v>
      </c>
      <c r="B23" s="423" t="s">
        <v>245</v>
      </c>
      <c r="C23" s="396" t="s">
        <v>247</v>
      </c>
      <c r="D23" s="395" t="s">
        <v>248</v>
      </c>
      <c r="E23" s="394" t="s">
        <v>249</v>
      </c>
      <c r="F23" s="427" t="s">
        <v>250</v>
      </c>
      <c r="G23" s="390" t="s">
        <v>251</v>
      </c>
      <c r="H23" s="391" t="s">
        <v>252</v>
      </c>
      <c r="I23" s="165"/>
      <c r="J23" s="388" t="s">
        <v>252</v>
      </c>
      <c r="K23" s="426">
        <v>1.8022</v>
      </c>
      <c r="L23" s="388">
        <v>44503</v>
      </c>
      <c r="M23" s="419"/>
    </row>
    <row r="24" spans="1:13" s="421" customFormat="1" ht="12">
      <c r="A24" s="166">
        <v>11</v>
      </c>
      <c r="B24" s="423" t="s">
        <v>245</v>
      </c>
      <c r="C24" s="396" t="s">
        <v>247</v>
      </c>
      <c r="D24" s="395" t="s">
        <v>248</v>
      </c>
      <c r="E24" s="394" t="s">
        <v>249</v>
      </c>
      <c r="F24" s="390" t="s">
        <v>251</v>
      </c>
      <c r="G24" s="391" t="s">
        <v>252</v>
      </c>
      <c r="H24" s="386" t="s">
        <v>253</v>
      </c>
      <c r="I24" s="165"/>
      <c r="J24" s="386" t="s">
        <v>253</v>
      </c>
      <c r="K24" s="425">
        <v>1.8697999999999999</v>
      </c>
      <c r="L24" s="386">
        <v>46201</v>
      </c>
      <c r="M24" s="419"/>
    </row>
    <row r="25" spans="1:13" s="421" customFormat="1" ht="12">
      <c r="A25" s="166">
        <v>12</v>
      </c>
      <c r="B25" s="423" t="s">
        <v>245</v>
      </c>
      <c r="C25" s="396" t="s">
        <v>247</v>
      </c>
      <c r="D25" s="395" t="s">
        <v>248</v>
      </c>
      <c r="E25" s="394" t="s">
        <v>249</v>
      </c>
      <c r="F25" s="390" t="s">
        <v>251</v>
      </c>
      <c r="G25" s="386" t="s">
        <v>253</v>
      </c>
      <c r="H25" s="384" t="s">
        <v>254</v>
      </c>
      <c r="I25" s="165"/>
      <c r="J25" s="384" t="s">
        <v>254</v>
      </c>
      <c r="K25" s="424">
        <v>1.9399</v>
      </c>
      <c r="L25" s="384">
        <v>47183</v>
      </c>
      <c r="M25" s="419"/>
    </row>
    <row r="26" spans="1:13" s="421" customFormat="1" ht="12">
      <c r="A26" s="166" t="s">
        <v>255</v>
      </c>
      <c r="B26" s="423" t="s">
        <v>245</v>
      </c>
      <c r="C26" s="396" t="s">
        <v>247</v>
      </c>
      <c r="D26" s="395" t="s">
        <v>248</v>
      </c>
      <c r="E26" s="394" t="s">
        <v>249</v>
      </c>
      <c r="F26" s="390" t="s">
        <v>251</v>
      </c>
      <c r="G26" s="386" t="s">
        <v>253</v>
      </c>
      <c r="H26" s="376" t="s">
        <v>256</v>
      </c>
      <c r="I26" s="165"/>
      <c r="J26" s="376" t="s">
        <v>256</v>
      </c>
      <c r="K26" s="422">
        <v>2.0125999999999999</v>
      </c>
      <c r="L26" s="376">
        <v>48202</v>
      </c>
      <c r="M26" s="419"/>
    </row>
    <row r="27" spans="1:13" ht="6" customHeight="1">
      <c r="A27" s="420"/>
      <c r="B27" s="163"/>
      <c r="C27" s="163"/>
      <c r="D27" s="163"/>
      <c r="E27" s="163"/>
      <c r="F27" s="163"/>
      <c r="G27" s="163"/>
      <c r="H27" s="163"/>
      <c r="I27" s="163"/>
      <c r="J27" s="163"/>
      <c r="K27" s="163"/>
      <c r="L27" s="419"/>
      <c r="M27" s="419"/>
    </row>
    <row r="28" spans="1:13" ht="34.950000000000003" customHeight="1" thickBot="1">
      <c r="A28" s="169" t="s">
        <v>388</v>
      </c>
      <c r="B28" s="170"/>
      <c r="C28" s="418"/>
      <c r="D28" s="417"/>
      <c r="E28" s="374" t="s">
        <v>215</v>
      </c>
      <c r="F28" s="374" t="s">
        <v>216</v>
      </c>
      <c r="G28" s="374" t="s">
        <v>217</v>
      </c>
      <c r="H28" s="374" t="s">
        <v>218</v>
      </c>
      <c r="I28" s="163"/>
      <c r="J28" s="416" t="s">
        <v>387</v>
      </c>
      <c r="K28" s="414" t="s">
        <v>403</v>
      </c>
      <c r="L28" s="415" t="s">
        <v>404</v>
      </c>
      <c r="M28" s="414" t="s">
        <v>403</v>
      </c>
    </row>
    <row r="29" spans="1:13" ht="12.6" customHeight="1" thickBot="1">
      <c r="A29" s="166" t="s">
        <v>239</v>
      </c>
      <c r="B29" s="374" t="s">
        <v>220</v>
      </c>
      <c r="C29" s="374" t="s">
        <v>221</v>
      </c>
      <c r="D29" s="374" t="s">
        <v>222</v>
      </c>
      <c r="E29" s="374" t="s">
        <v>223</v>
      </c>
      <c r="F29" s="374" t="s">
        <v>224</v>
      </c>
      <c r="G29" s="374" t="s">
        <v>225</v>
      </c>
      <c r="H29" s="374" t="s">
        <v>226</v>
      </c>
      <c r="I29" s="163"/>
      <c r="J29" s="413" t="s">
        <v>265</v>
      </c>
      <c r="K29" s="303">
        <f>+'Master Budget Sheet'!BJ168</f>
        <v>47477</v>
      </c>
      <c r="L29" s="411">
        <f>+'Master Budget Sheet'!X174</f>
        <v>0</v>
      </c>
      <c r="M29" s="410">
        <f>K29*L29</f>
        <v>0</v>
      </c>
    </row>
    <row r="30" spans="1:13" s="405" customFormat="1" ht="15.6" customHeight="1" thickBot="1">
      <c r="A30" s="393">
        <v>0</v>
      </c>
      <c r="B30" s="392"/>
      <c r="C30" s="392"/>
      <c r="D30" s="392"/>
      <c r="E30" s="392"/>
      <c r="F30" s="392"/>
      <c r="G30" s="392"/>
      <c r="H30" s="392"/>
      <c r="I30" s="163"/>
      <c r="J30" s="409"/>
      <c r="K30" s="408"/>
      <c r="L30" s="407"/>
      <c r="M30" s="406"/>
    </row>
    <row r="31" spans="1:13" ht="12.6" thickBot="1">
      <c r="A31" s="393">
        <v>1</v>
      </c>
      <c r="B31" s="392"/>
      <c r="C31" s="392"/>
      <c r="D31" s="392"/>
      <c r="E31" s="392"/>
      <c r="F31" s="392"/>
      <c r="G31" s="392"/>
      <c r="H31" s="392"/>
      <c r="I31" s="163"/>
      <c r="J31" s="404" t="s">
        <v>243</v>
      </c>
      <c r="K31" s="403">
        <f>+'Master Budget Sheet'!BJ169</f>
        <v>48347</v>
      </c>
      <c r="L31" s="411">
        <f>+'Master Budget Sheet'!X175</f>
        <v>0</v>
      </c>
      <c r="M31" s="402">
        <f>K31*L31</f>
        <v>0</v>
      </c>
    </row>
    <row r="32" spans="1:13" ht="12.6" thickBot="1">
      <c r="A32" s="393">
        <v>2</v>
      </c>
      <c r="B32" s="392"/>
      <c r="C32" s="392"/>
      <c r="D32" s="392"/>
      <c r="E32" s="392"/>
      <c r="F32" s="392"/>
      <c r="G32" s="392"/>
      <c r="H32" s="392"/>
      <c r="I32" s="163"/>
      <c r="J32" s="400"/>
      <c r="K32" s="401"/>
      <c r="L32" s="400"/>
      <c r="M32" s="399"/>
    </row>
    <row r="33" spans="1:14" ht="12.6" thickBot="1">
      <c r="A33" s="393">
        <v>3</v>
      </c>
      <c r="B33" s="392"/>
      <c r="C33" s="392"/>
      <c r="D33" s="392"/>
      <c r="E33" s="392"/>
      <c r="F33" s="392"/>
      <c r="G33" s="392"/>
      <c r="H33" s="383"/>
      <c r="I33" s="163"/>
      <c r="J33" s="398" t="s">
        <v>245</v>
      </c>
      <c r="K33" s="398">
        <f>+'Master Budget Sheet'!BJ170</f>
        <v>49219</v>
      </c>
      <c r="L33" s="411">
        <f>+'Master Budget Sheet'!X176</f>
        <v>0</v>
      </c>
      <c r="M33" s="397">
        <f t="shared" ref="M33:M43" si="0">K33*L33</f>
        <v>0</v>
      </c>
    </row>
    <row r="34" spans="1:14" ht="12.6" thickBot="1">
      <c r="A34" s="393">
        <v>4</v>
      </c>
      <c r="B34" s="392"/>
      <c r="C34" s="392"/>
      <c r="D34" s="392"/>
      <c r="E34" s="392"/>
      <c r="F34" s="392"/>
      <c r="G34" s="383"/>
      <c r="H34" s="387"/>
      <c r="I34" s="163"/>
      <c r="J34" s="391" t="s">
        <v>246</v>
      </c>
      <c r="K34" s="398">
        <f>+'Master Budget Sheet'!BJ171</f>
        <v>50349</v>
      </c>
      <c r="L34" s="411">
        <f>+'Master Budget Sheet'!X177</f>
        <v>0</v>
      </c>
      <c r="M34" s="375">
        <f t="shared" si="0"/>
        <v>0</v>
      </c>
    </row>
    <row r="35" spans="1:14" ht="12.6" thickBot="1">
      <c r="A35" s="393">
        <v>5</v>
      </c>
      <c r="B35" s="392"/>
      <c r="C35" s="392"/>
      <c r="D35" s="392"/>
      <c r="E35" s="392"/>
      <c r="F35" s="383"/>
      <c r="G35" s="387"/>
      <c r="H35" s="382"/>
      <c r="I35" s="163"/>
      <c r="J35" s="396" t="s">
        <v>247</v>
      </c>
      <c r="K35" s="398">
        <f>+'Master Budget Sheet'!BJ172</f>
        <v>52132</v>
      </c>
      <c r="L35" s="411">
        <f>+'Master Budget Sheet'!X178</f>
        <v>0</v>
      </c>
      <c r="M35" s="375">
        <f t="shared" si="0"/>
        <v>0</v>
      </c>
    </row>
    <row r="36" spans="1:14" ht="12.6" thickBot="1">
      <c r="A36" s="393">
        <v>6</v>
      </c>
      <c r="B36" s="392"/>
      <c r="C36" s="392"/>
      <c r="D36" s="392"/>
      <c r="E36" s="383"/>
      <c r="F36" s="387"/>
      <c r="G36" s="382"/>
      <c r="H36" s="381"/>
      <c r="I36" s="163"/>
      <c r="J36" s="395" t="s">
        <v>248</v>
      </c>
      <c r="K36" s="398">
        <f>+'Master Budget Sheet'!BJ173</f>
        <v>53914</v>
      </c>
      <c r="L36" s="411">
        <f>+'Master Budget Sheet'!X179</f>
        <v>1</v>
      </c>
      <c r="M36" s="375">
        <f t="shared" si="0"/>
        <v>53914</v>
      </c>
    </row>
    <row r="37" spans="1:14" ht="12.6" thickBot="1">
      <c r="A37" s="393">
        <v>7</v>
      </c>
      <c r="B37" s="392"/>
      <c r="C37" s="392"/>
      <c r="D37" s="383"/>
      <c r="E37" s="387"/>
      <c r="F37" s="382"/>
      <c r="G37" s="381"/>
      <c r="H37" s="380"/>
      <c r="I37" s="163"/>
      <c r="J37" s="394" t="s">
        <v>249</v>
      </c>
      <c r="K37" s="398">
        <f>+'Master Budget Sheet'!BJ174</f>
        <v>55696</v>
      </c>
      <c r="L37" s="411">
        <f>+'Master Budget Sheet'!X180</f>
        <v>0</v>
      </c>
      <c r="M37" s="375">
        <f t="shared" si="0"/>
        <v>0</v>
      </c>
    </row>
    <row r="38" spans="1:14" ht="12.6" thickBot="1">
      <c r="A38" s="393">
        <v>8</v>
      </c>
      <c r="B38" s="392"/>
      <c r="C38" s="383"/>
      <c r="D38" s="387"/>
      <c r="E38" s="382"/>
      <c r="F38" s="381"/>
      <c r="G38" s="380">
        <v>0</v>
      </c>
      <c r="H38" s="389"/>
      <c r="I38" s="163"/>
      <c r="J38" s="391" t="s">
        <v>250</v>
      </c>
      <c r="K38" s="398">
        <f>+'Master Budget Sheet'!BJ175</f>
        <v>57478</v>
      </c>
      <c r="L38" s="411">
        <f>+'Master Budget Sheet'!X181</f>
        <v>0</v>
      </c>
      <c r="M38" s="375">
        <f t="shared" si="0"/>
        <v>0</v>
      </c>
    </row>
    <row r="39" spans="1:14" ht="12.6" thickBot="1">
      <c r="A39" s="166">
        <v>9</v>
      </c>
      <c r="B39" s="383"/>
      <c r="C39" s="387"/>
      <c r="D39" s="382"/>
      <c r="E39" s="381"/>
      <c r="F39" s="380"/>
      <c r="G39" s="389"/>
      <c r="H39" s="379"/>
      <c r="I39" s="163"/>
      <c r="J39" s="390" t="s">
        <v>251</v>
      </c>
      <c r="K39" s="398">
        <f>+'Master Budget Sheet'!BJ176</f>
        <v>60592</v>
      </c>
      <c r="L39" s="411">
        <f>+'Master Budget Sheet'!X182</f>
        <v>0</v>
      </c>
      <c r="M39" s="375">
        <f t="shared" si="0"/>
        <v>0</v>
      </c>
    </row>
    <row r="40" spans="1:14" ht="12.6" thickBot="1">
      <c r="A40" s="166">
        <v>10</v>
      </c>
      <c r="B40" s="383"/>
      <c r="C40" s="382"/>
      <c r="D40" s="381"/>
      <c r="E40" s="380"/>
      <c r="F40" s="389"/>
      <c r="G40" s="379"/>
      <c r="H40" s="387"/>
      <c r="I40" s="163"/>
      <c r="J40" s="388" t="s">
        <v>252</v>
      </c>
      <c r="K40" s="398">
        <f>+'Master Budget Sheet'!BJ177</f>
        <v>62064</v>
      </c>
      <c r="L40" s="411">
        <f>+'Master Budget Sheet'!X183</f>
        <v>0</v>
      </c>
      <c r="M40" s="375">
        <f t="shared" si="0"/>
        <v>0</v>
      </c>
    </row>
    <row r="41" spans="1:14" ht="12.6" thickBot="1">
      <c r="A41" s="166">
        <v>11</v>
      </c>
      <c r="B41" s="383"/>
      <c r="C41" s="382"/>
      <c r="D41" s="381"/>
      <c r="E41" s="380"/>
      <c r="F41" s="379"/>
      <c r="G41" s="387"/>
      <c r="H41" s="378"/>
      <c r="I41" s="163"/>
      <c r="J41" s="386" t="s">
        <v>253</v>
      </c>
      <c r="K41" s="398">
        <f>+'Master Budget Sheet'!BJ178</f>
        <v>63524</v>
      </c>
      <c r="L41" s="411">
        <f>+'Master Budget Sheet'!X184</f>
        <v>0</v>
      </c>
      <c r="M41" s="375">
        <f t="shared" si="0"/>
        <v>0</v>
      </c>
    </row>
    <row r="42" spans="1:14" ht="12.6" thickBot="1">
      <c r="A42" s="166">
        <v>12</v>
      </c>
      <c r="B42" s="383"/>
      <c r="C42" s="382"/>
      <c r="D42" s="381"/>
      <c r="E42" s="380"/>
      <c r="F42" s="379"/>
      <c r="G42" s="378"/>
      <c r="H42" s="385"/>
      <c r="I42" s="163"/>
      <c r="J42" s="384" t="s">
        <v>254</v>
      </c>
      <c r="K42" s="398">
        <f>+'Master Budget Sheet'!BJ179</f>
        <v>64972</v>
      </c>
      <c r="L42" s="411">
        <f>+'Master Budget Sheet'!X185</f>
        <v>0</v>
      </c>
      <c r="M42" s="375">
        <f t="shared" si="0"/>
        <v>0</v>
      </c>
    </row>
    <row r="43" spans="1:14" ht="12.6" thickBot="1">
      <c r="A43" s="166" t="s">
        <v>255</v>
      </c>
      <c r="B43" s="383"/>
      <c r="C43" s="382"/>
      <c r="D43" s="381"/>
      <c r="E43" s="380"/>
      <c r="F43" s="379"/>
      <c r="G43" s="378">
        <v>0</v>
      </c>
      <c r="H43" s="377"/>
      <c r="I43" s="163"/>
      <c r="J43" s="376" t="s">
        <v>256</v>
      </c>
      <c r="K43" s="398">
        <f>+'Master Budget Sheet'!BJ180</f>
        <v>0</v>
      </c>
      <c r="L43" s="411">
        <f>+'Master Budget Sheet'!X186</f>
        <v>0</v>
      </c>
      <c r="M43" s="375">
        <f t="shared" si="0"/>
        <v>0</v>
      </c>
    </row>
    <row r="44" spans="1:14" s="184" customFormat="1" ht="12.6" thickBot="1">
      <c r="B44" s="163"/>
      <c r="C44" s="163"/>
      <c r="D44" s="163"/>
      <c r="E44" s="163"/>
      <c r="F44" s="163"/>
      <c r="G44" s="374" t="s">
        <v>53</v>
      </c>
      <c r="H44" s="373">
        <f>SUM(B30:H43)</f>
        <v>0</v>
      </c>
      <c r="I44" s="372"/>
      <c r="J44" s="371"/>
      <c r="K44" s="163"/>
      <c r="L44" s="370">
        <f>SUM(L29:L43)</f>
        <v>1</v>
      </c>
      <c r="M44" s="369">
        <f>SUM(M29:M43)</f>
        <v>53914</v>
      </c>
    </row>
    <row r="45" spans="1:14" ht="4.95" customHeight="1" thickTop="1" thickBot="1">
      <c r="A45" s="163"/>
      <c r="B45" s="163"/>
      <c r="C45" s="163"/>
      <c r="D45" s="163"/>
      <c r="E45" s="163"/>
      <c r="F45" s="163"/>
      <c r="G45" s="350"/>
      <c r="H45" s="163"/>
      <c r="I45" s="163"/>
      <c r="J45" s="163"/>
      <c r="K45" s="163"/>
      <c r="L45" s="163"/>
      <c r="M45" s="163"/>
    </row>
    <row r="46" spans="1:14" s="344" customFormat="1" ht="9.6" customHeight="1">
      <c r="A46" s="163"/>
      <c r="B46" s="163"/>
      <c r="C46" s="163"/>
      <c r="D46" s="163"/>
      <c r="E46" s="163"/>
      <c r="F46" s="163"/>
      <c r="G46" s="368"/>
      <c r="H46" s="163"/>
      <c r="J46" s="367" t="s">
        <v>260</v>
      </c>
      <c r="K46" s="366"/>
      <c r="L46" s="365"/>
      <c r="M46" s="364"/>
      <c r="N46" s="338"/>
    </row>
    <row r="47" spans="1:14" s="344" customFormat="1" ht="12">
      <c r="A47" s="163"/>
      <c r="B47" s="362"/>
      <c r="C47" s="362"/>
      <c r="D47" s="362"/>
      <c r="E47" s="362"/>
      <c r="F47" s="362"/>
      <c r="G47" s="350"/>
      <c r="H47" s="362"/>
      <c r="J47" s="348" t="s">
        <v>385</v>
      </c>
      <c r="K47" s="343"/>
      <c r="L47" s="343"/>
      <c r="M47" s="363"/>
      <c r="N47" s="338"/>
    </row>
    <row r="48" spans="1:14" s="356" customFormat="1" ht="12">
      <c r="A48" s="362"/>
      <c r="B48" s="163"/>
      <c r="C48" s="163"/>
      <c r="D48" s="163"/>
      <c r="E48" s="163"/>
      <c r="F48" s="163"/>
      <c r="G48" s="350"/>
      <c r="H48" s="163"/>
      <c r="J48" s="361" t="s">
        <v>261</v>
      </c>
      <c r="K48" s="360" t="s">
        <v>168</v>
      </c>
      <c r="L48" s="359" t="s">
        <v>372</v>
      </c>
      <c r="M48" s="358" t="s">
        <v>259</v>
      </c>
      <c r="N48" s="357"/>
    </row>
    <row r="49" spans="1:15" s="344" customFormat="1" ht="12">
      <c r="A49" s="163"/>
      <c r="B49" s="163"/>
      <c r="C49" s="163"/>
      <c r="D49" s="163"/>
      <c r="E49" s="163"/>
      <c r="F49" s="163"/>
      <c r="G49" s="350"/>
      <c r="H49" s="163"/>
      <c r="J49" s="355" t="s">
        <v>262</v>
      </c>
      <c r="K49" s="354">
        <f>+'Master Budget Sheet'!X188</f>
        <v>1</v>
      </c>
      <c r="L49" s="353">
        <f>+'Master Budget Sheet'!BK182</f>
        <v>2000</v>
      </c>
      <c r="M49" s="352">
        <f>K49*L49</f>
        <v>2000</v>
      </c>
      <c r="N49" s="338"/>
    </row>
    <row r="50" spans="1:15" s="344" customFormat="1" ht="12">
      <c r="A50" s="163"/>
      <c r="B50" s="163"/>
      <c r="C50" s="163"/>
      <c r="D50" s="163"/>
      <c r="E50" s="163"/>
      <c r="F50" s="163"/>
      <c r="G50" s="350"/>
      <c r="H50" s="163"/>
      <c r="J50" s="355" t="s">
        <v>263</v>
      </c>
      <c r="K50" s="354">
        <f>+'Master Budget Sheet'!X189</f>
        <v>1</v>
      </c>
      <c r="L50" s="353">
        <f>+'Master Budget Sheet'!BK183</f>
        <v>3500</v>
      </c>
      <c r="M50" s="352">
        <f>K50*L50</f>
        <v>3500</v>
      </c>
      <c r="N50" s="338"/>
    </row>
    <row r="51" spans="1:15" s="344" customFormat="1" ht="12">
      <c r="A51" s="163"/>
      <c r="B51" s="163"/>
      <c r="C51" s="163"/>
      <c r="D51" s="163"/>
      <c r="E51" s="163"/>
      <c r="F51" s="163"/>
      <c r="G51" s="350"/>
      <c r="H51" s="163"/>
      <c r="I51" s="343"/>
      <c r="J51" s="349"/>
      <c r="K51" s="351"/>
      <c r="L51" s="346" t="s">
        <v>264</v>
      </c>
      <c r="M51" s="345">
        <f>SUM(M49:M50)</f>
        <v>5500</v>
      </c>
      <c r="N51" s="338"/>
    </row>
    <row r="52" spans="1:15" s="344" customFormat="1" ht="13.8">
      <c r="A52" s="163"/>
      <c r="B52" s="163"/>
      <c r="C52" s="163"/>
      <c r="D52" s="163"/>
      <c r="E52" s="163"/>
      <c r="F52" s="163"/>
      <c r="G52" s="350"/>
      <c r="H52" s="163"/>
      <c r="I52" s="343"/>
      <c r="J52" s="349"/>
      <c r="K52" s="282" t="s">
        <v>366</v>
      </c>
      <c r="L52" s="346"/>
      <c r="M52" s="345"/>
      <c r="N52" s="270" t="s">
        <v>384</v>
      </c>
    </row>
    <row r="53" spans="1:15" s="344" customFormat="1" ht="12">
      <c r="A53" s="163"/>
      <c r="B53" s="163"/>
      <c r="C53" s="163"/>
      <c r="D53" s="163"/>
      <c r="E53" s="163"/>
      <c r="F53" s="163"/>
      <c r="G53" s="163"/>
      <c r="H53" s="163"/>
      <c r="I53" s="343"/>
      <c r="J53" s="348"/>
      <c r="K53" s="347"/>
      <c r="L53" s="346" t="s">
        <v>383</v>
      </c>
      <c r="M53" s="345">
        <f>M44+M51</f>
        <v>59414</v>
      </c>
      <c r="N53" s="338"/>
    </row>
    <row r="54" spans="1:15" ht="12.6" thickBot="1">
      <c r="A54" s="163"/>
      <c r="B54" s="163"/>
      <c r="C54" s="163"/>
      <c r="D54" s="163"/>
      <c r="E54" s="163"/>
      <c r="F54" s="163"/>
      <c r="G54" s="163"/>
      <c r="H54" s="163"/>
      <c r="I54" s="343"/>
      <c r="J54" s="342"/>
      <c r="K54" s="341"/>
      <c r="L54" s="340" t="s">
        <v>363</v>
      </c>
      <c r="M54" s="339">
        <f>IF(L44&gt;0, M53/L44,0)</f>
        <v>59414</v>
      </c>
      <c r="N54" s="338"/>
    </row>
    <row r="55" spans="1:15" ht="10.199999999999999" customHeight="1" thickBot="1">
      <c r="A55" s="163"/>
      <c r="I55" s="163"/>
      <c r="J55" s="163"/>
      <c r="K55" s="163"/>
      <c r="L55" s="163"/>
      <c r="M55" s="163"/>
    </row>
    <row r="56" spans="1:15" s="337" customFormat="1" ht="47.55" customHeight="1" thickBot="1">
      <c r="A56" s="1239" t="s">
        <v>382</v>
      </c>
      <c r="B56" s="1240"/>
      <c r="C56" s="1240"/>
      <c r="D56" s="1240"/>
      <c r="E56" s="1240"/>
      <c r="F56" s="1240"/>
      <c r="G56" s="1240"/>
      <c r="H56" s="1240"/>
      <c r="I56" s="1240"/>
      <c r="J56" s="1240"/>
      <c r="K56" s="1240"/>
      <c r="L56" s="1240"/>
      <c r="M56" s="1240"/>
      <c r="N56" s="1240"/>
      <c r="O56" s="1241"/>
    </row>
  </sheetData>
  <mergeCells count="1">
    <mergeCell ref="A56:O56"/>
  </mergeCells>
  <pageMargins left="0.75" right="0.25" top="0" bottom="0" header="0.3" footer="0.3"/>
  <pageSetup scale="76"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8">
    <tabColor rgb="FFFFFF00"/>
    <pageSetUpPr fitToPage="1"/>
  </sheetPr>
  <dimension ref="C1:M27"/>
  <sheetViews>
    <sheetView showGridLines="0" zoomScale="85" workbookViewId="0">
      <selection activeCell="D21" sqref="D21"/>
    </sheetView>
  </sheetViews>
  <sheetFormatPr defaultColWidth="10.44140625" defaultRowHeight="13.2"/>
  <cols>
    <col min="1" max="2" width="5.44140625" style="260" customWidth="1"/>
    <col min="3" max="3" width="33.44140625" style="63" customWidth="1"/>
    <col min="4" max="4" width="24.5546875" style="64" customWidth="1"/>
    <col min="5" max="5" width="10.44140625" style="63"/>
    <col min="6" max="10" width="10.44140625" style="260"/>
    <col min="11" max="11" width="11.5546875" style="260" customWidth="1"/>
    <col min="12" max="12" width="12.44140625" style="260" customWidth="1"/>
    <col min="13" max="16384" width="10.44140625" style="260"/>
  </cols>
  <sheetData>
    <row r="1" spans="3:13" ht="13.8" thickBot="1"/>
    <row r="2" spans="3:13">
      <c r="C2" s="65"/>
      <c r="D2" s="66"/>
      <c r="E2" s="67"/>
      <c r="F2" s="267"/>
      <c r="G2" s="267"/>
      <c r="H2" s="267"/>
      <c r="I2" s="267"/>
      <c r="J2" s="267"/>
      <c r="K2" s="267"/>
      <c r="L2" s="267"/>
      <c r="M2" s="266"/>
    </row>
    <row r="3" spans="3:13">
      <c r="C3" s="68" t="s">
        <v>119</v>
      </c>
      <c r="D3" s="69"/>
      <c r="E3" s="70"/>
      <c r="F3" s="264"/>
      <c r="G3" s="264"/>
      <c r="H3" s="264"/>
      <c r="I3" s="264"/>
      <c r="J3" s="264"/>
      <c r="K3" s="264"/>
      <c r="M3" s="263"/>
    </row>
    <row r="4" spans="3:13">
      <c r="C4" s="68" t="s">
        <v>120</v>
      </c>
      <c r="D4" s="69"/>
      <c r="E4" s="70"/>
      <c r="F4" s="264"/>
      <c r="G4" s="264"/>
      <c r="H4" s="264"/>
      <c r="I4" s="264"/>
      <c r="J4" s="264"/>
      <c r="K4" s="264"/>
      <c r="M4" s="263"/>
    </row>
    <row r="5" spans="3:13">
      <c r="C5" s="68" t="s">
        <v>355</v>
      </c>
      <c r="D5" s="71"/>
      <c r="E5" s="72"/>
      <c r="F5" s="265"/>
      <c r="G5" s="265"/>
      <c r="H5" s="265"/>
      <c r="I5" s="264"/>
      <c r="J5" s="264"/>
      <c r="K5" s="264"/>
      <c r="M5" s="263"/>
    </row>
    <row r="6" spans="3:13">
      <c r="C6" s="68"/>
      <c r="D6" s="69"/>
      <c r="E6" s="70"/>
      <c r="F6" s="264"/>
      <c r="G6" s="264"/>
      <c r="H6" s="264"/>
      <c r="I6" s="264"/>
      <c r="J6" s="264"/>
      <c r="K6" s="264"/>
      <c r="M6" s="263"/>
    </row>
    <row r="7" spans="3:13" ht="25.05" customHeight="1">
      <c r="C7" s="73" t="s">
        <v>121</v>
      </c>
      <c r="D7" s="74"/>
      <c r="E7" s="64" t="s">
        <v>122</v>
      </c>
      <c r="M7" s="263"/>
    </row>
    <row r="8" spans="3:13" ht="25.05" customHeight="1">
      <c r="C8" s="73" t="s">
        <v>123</v>
      </c>
      <c r="D8" s="74"/>
      <c r="E8" s="64" t="s">
        <v>122</v>
      </c>
      <c r="M8" s="263"/>
    </row>
    <row r="9" spans="3:13" ht="25.05" customHeight="1">
      <c r="C9" s="73" t="s">
        <v>124</v>
      </c>
      <c r="D9" s="75">
        <f>+'Master Budget Sheet'!AC19</f>
        <v>13.79</v>
      </c>
      <c r="E9" s="64" t="s">
        <v>125</v>
      </c>
      <c r="M9" s="263"/>
    </row>
    <row r="10" spans="3:13" ht="25.05" customHeight="1">
      <c r="C10" s="76" t="s">
        <v>126</v>
      </c>
      <c r="D10" s="77" t="s">
        <v>127</v>
      </c>
      <c r="E10" s="78" t="s">
        <v>128</v>
      </c>
      <c r="M10" s="263"/>
    </row>
    <row r="11" spans="3:13" ht="25.05" customHeight="1">
      <c r="C11" s="73" t="s">
        <v>129</v>
      </c>
      <c r="D11" s="79">
        <f>'AdminIndex (3)'!H61</f>
        <v>1.3201000000000001</v>
      </c>
      <c r="E11" s="80" t="s">
        <v>130</v>
      </c>
      <c r="M11" s="263"/>
    </row>
    <row r="12" spans="3:13" ht="25.05" customHeight="1">
      <c r="C12" s="73" t="s">
        <v>131</v>
      </c>
      <c r="D12" s="81">
        <f>'Instructional fte (3)'!E43</f>
        <v>59519</v>
      </c>
      <c r="E12" s="80" t="s">
        <v>353</v>
      </c>
      <c r="M12" s="263"/>
    </row>
    <row r="13" spans="3:13" ht="25.05" customHeight="1">
      <c r="C13" s="73" t="s">
        <v>354</v>
      </c>
      <c r="D13" s="269">
        <f>'Pupil Services fte (3)'!M54</f>
        <v>61609</v>
      </c>
      <c r="E13" s="80" t="s">
        <v>352</v>
      </c>
      <c r="M13" s="263"/>
    </row>
    <row r="14" spans="3:13" ht="25.05" customHeight="1">
      <c r="C14" s="73" t="s">
        <v>132</v>
      </c>
      <c r="D14" s="79">
        <f>'AdminIndex (3)'!H40</f>
        <v>2</v>
      </c>
      <c r="E14" s="80" t="s">
        <v>130</v>
      </c>
      <c r="M14" s="263"/>
    </row>
    <row r="15" spans="3:13" ht="22.2" customHeight="1">
      <c r="C15" s="73" t="s">
        <v>133</v>
      </c>
      <c r="D15" s="82">
        <f>'Instructional fte (3)'!B26</f>
        <v>15</v>
      </c>
      <c r="E15" s="80" t="s">
        <v>353</v>
      </c>
      <c r="M15" s="263"/>
    </row>
    <row r="16" spans="3:13" ht="25.05" customHeight="1">
      <c r="C16" s="73" t="s">
        <v>134</v>
      </c>
      <c r="D16" s="79">
        <f>'Pupil Services fte (3)'!L44</f>
        <v>1</v>
      </c>
      <c r="E16" s="80" t="s">
        <v>352</v>
      </c>
      <c r="M16" s="263"/>
    </row>
    <row r="17" spans="3:13" ht="25.05" customHeight="1">
      <c r="C17" s="73" t="s">
        <v>135</v>
      </c>
      <c r="D17" s="83">
        <f>+'Master Budget Sheet'!AB193</f>
        <v>8.1</v>
      </c>
      <c r="E17" s="64" t="s">
        <v>122</v>
      </c>
      <c r="M17" s="263"/>
    </row>
    <row r="18" spans="3:13" ht="25.05" customHeight="1">
      <c r="C18" s="73" t="s">
        <v>136</v>
      </c>
      <c r="D18" s="84">
        <f>+'Master Budget Sheet'!AC90</f>
        <v>185000</v>
      </c>
      <c r="E18" s="64" t="s">
        <v>122</v>
      </c>
      <c r="M18" s="263"/>
    </row>
    <row r="19" spans="3:13" ht="25.05" customHeight="1">
      <c r="C19" s="73" t="s">
        <v>137</v>
      </c>
      <c r="D19" s="84">
        <f>+'Master Budget Sheet'!AC163</f>
        <v>890385.99600000004</v>
      </c>
      <c r="E19" s="64" t="s">
        <v>122</v>
      </c>
      <c r="M19" s="263"/>
    </row>
    <row r="20" spans="3:13" ht="25.05" customHeight="1">
      <c r="C20" s="73" t="s">
        <v>138</v>
      </c>
      <c r="D20" s="84">
        <f>+'Master Budget Sheet'!AC191</f>
        <v>71359</v>
      </c>
      <c r="E20" s="64" t="s">
        <v>122</v>
      </c>
      <c r="M20" s="263"/>
    </row>
    <row r="21" spans="3:13" ht="25.05" customHeight="1">
      <c r="C21" s="73" t="s">
        <v>139</v>
      </c>
      <c r="D21" s="84">
        <f>+'Master Budget Sheet'!AC193</f>
        <v>198987.5</v>
      </c>
      <c r="E21" s="64" t="s">
        <v>122</v>
      </c>
      <c r="M21" s="263"/>
    </row>
    <row r="22" spans="3:13" ht="20.100000000000001" customHeight="1">
      <c r="C22" s="73" t="s">
        <v>140</v>
      </c>
      <c r="D22" s="85"/>
      <c r="M22" s="263"/>
    </row>
    <row r="23" spans="3:13" ht="20.100000000000001" customHeight="1">
      <c r="C23" s="86" t="s">
        <v>141</v>
      </c>
      <c r="M23" s="263"/>
    </row>
    <row r="24" spans="3:13" ht="20.100000000000001" customHeight="1">
      <c r="C24" s="87" t="s">
        <v>142</v>
      </c>
      <c r="M24" s="263"/>
    </row>
    <row r="25" spans="3:13" ht="20.100000000000001" customHeight="1">
      <c r="C25" s="87"/>
      <c r="M25" s="263"/>
    </row>
    <row r="26" spans="3:13" ht="20.100000000000001" customHeight="1">
      <c r="C26" s="73" t="s">
        <v>143</v>
      </c>
      <c r="M26" s="263"/>
    </row>
    <row r="27" spans="3:13" ht="13.8" thickBot="1">
      <c r="C27" s="88" t="s">
        <v>144</v>
      </c>
      <c r="D27" s="89"/>
      <c r="E27" s="90"/>
      <c r="F27" s="262"/>
      <c r="G27" s="262"/>
      <c r="H27" s="262"/>
      <c r="I27" s="262"/>
      <c r="J27" s="262"/>
      <c r="K27" s="262"/>
      <c r="L27" s="262"/>
      <c r="M27" s="261"/>
    </row>
  </sheetData>
  <printOptions horizontalCentered="1" verticalCentered="1"/>
  <pageMargins left="0.47" right="0.2" top="0.52" bottom="0.25" header="0.5" footer="0.22"/>
  <pageSetup scale="81" orientation="landscape"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9">
    <pageSetUpPr fitToPage="1"/>
  </sheetPr>
  <dimension ref="A1:AA53"/>
  <sheetViews>
    <sheetView zoomScaleNormal="100" workbookViewId="0">
      <selection activeCell="W10" sqref="W10"/>
    </sheetView>
  </sheetViews>
  <sheetFormatPr defaultColWidth="10.44140625" defaultRowHeight="13.8"/>
  <cols>
    <col min="1" max="1" width="8.21875" style="91" customWidth="1"/>
    <col min="2" max="2" width="4.44140625" style="91" customWidth="1"/>
    <col min="3" max="3" width="13.77734375" style="91" customWidth="1"/>
    <col min="4" max="4" width="2" style="91" customWidth="1"/>
    <col min="5" max="5" width="13.77734375" style="91" customWidth="1"/>
    <col min="6" max="6" width="2" style="91" customWidth="1"/>
    <col min="7" max="7" width="13.77734375" style="91" customWidth="1"/>
    <col min="8" max="8" width="1.21875" style="91" customWidth="1"/>
    <col min="9" max="9" width="13.77734375" style="91" customWidth="1"/>
    <col min="10" max="10" width="2.21875" style="91" customWidth="1"/>
    <col min="11" max="11" width="13.77734375" style="91" customWidth="1"/>
    <col min="12" max="12" width="1.21875" style="91" customWidth="1"/>
    <col min="13" max="13" width="14.77734375" style="91" customWidth="1"/>
    <col min="14" max="14" width="1.21875" style="91" customWidth="1"/>
    <col min="15" max="15" width="13.77734375" style="91" customWidth="1"/>
    <col min="16" max="16" width="1.21875" style="91" customWidth="1"/>
    <col min="17" max="17" width="13.77734375" style="91" customWidth="1"/>
    <col min="18" max="18" width="1.21875" style="91" customWidth="1"/>
    <col min="19" max="19" width="13.77734375" style="91" customWidth="1"/>
    <col min="20" max="20" width="1.21875" style="91" customWidth="1"/>
    <col min="21" max="21" width="13.77734375" style="91" customWidth="1"/>
    <col min="22" max="22" width="1.21875" style="91" customWidth="1"/>
    <col min="23" max="23" width="13.77734375" style="91" customWidth="1"/>
    <col min="24" max="24" width="1.21875" style="91" customWidth="1"/>
    <col min="25" max="25" width="13.77734375" style="91" customWidth="1"/>
    <col min="26" max="26" width="1.21875" style="91" customWidth="1"/>
    <col min="27" max="16384" width="10.44140625" style="91"/>
  </cols>
  <sheetData>
    <row r="1" spans="1:25">
      <c r="A1" s="1233"/>
      <c r="B1" s="1233"/>
      <c r="C1" s="1233"/>
      <c r="D1" s="1233"/>
      <c r="E1" s="1233"/>
      <c r="F1" s="1233"/>
      <c r="G1" s="1233"/>
      <c r="H1" s="1233"/>
      <c r="I1" s="1233"/>
      <c r="J1" s="1233"/>
      <c r="K1" s="1233"/>
      <c r="L1" s="1233"/>
      <c r="M1" s="1233"/>
      <c r="N1" s="1233"/>
      <c r="O1" s="1233"/>
      <c r="P1" s="1233"/>
      <c r="Q1" s="1233"/>
      <c r="R1" s="1233"/>
      <c r="S1" s="1233"/>
      <c r="T1" s="1233"/>
      <c r="U1" s="1233"/>
      <c r="V1" s="1233"/>
      <c r="W1" s="1233"/>
      <c r="X1" s="1233"/>
      <c r="Y1" s="1233"/>
    </row>
    <row r="2" spans="1:25">
      <c r="A2" s="1233" t="s">
        <v>145</v>
      </c>
      <c r="B2" s="1233"/>
      <c r="C2" s="1233"/>
      <c r="D2" s="1233"/>
      <c r="E2" s="1233"/>
      <c r="F2" s="1233"/>
      <c r="G2" s="1233"/>
      <c r="H2" s="1233"/>
      <c r="I2" s="1233"/>
      <c r="J2" s="1233"/>
      <c r="K2" s="1233"/>
      <c r="L2" s="1233"/>
      <c r="M2" s="1233"/>
      <c r="N2" s="1233"/>
      <c r="O2" s="1233"/>
      <c r="P2" s="1233"/>
      <c r="Q2" s="1233"/>
      <c r="R2" s="1233"/>
      <c r="S2" s="1233"/>
      <c r="T2" s="1233"/>
      <c r="U2" s="1233"/>
      <c r="V2" s="1233"/>
      <c r="W2" s="1233"/>
      <c r="X2" s="1233"/>
      <c r="Y2" s="1233"/>
    </row>
    <row r="3" spans="1:25">
      <c r="A3" s="1233" t="s">
        <v>146</v>
      </c>
      <c r="B3" s="1233"/>
      <c r="C3" s="1233"/>
      <c r="D3" s="1233"/>
      <c r="E3" s="1233"/>
      <c r="F3" s="1233"/>
      <c r="G3" s="1233"/>
      <c r="H3" s="1233"/>
      <c r="I3" s="1233"/>
      <c r="J3" s="1233"/>
      <c r="K3" s="1233"/>
      <c r="L3" s="1233"/>
      <c r="M3" s="1233"/>
      <c r="N3" s="1233"/>
      <c r="O3" s="1233"/>
      <c r="P3" s="1233"/>
      <c r="Q3" s="1233"/>
      <c r="R3" s="1233"/>
      <c r="S3" s="1233"/>
      <c r="T3" s="1233"/>
      <c r="U3" s="1233"/>
      <c r="V3" s="1233"/>
      <c r="W3" s="1233"/>
      <c r="X3" s="1233"/>
      <c r="Y3" s="1233"/>
    </row>
    <row r="4" spans="1:25">
      <c r="A4" s="1233" t="s">
        <v>147</v>
      </c>
      <c r="B4" s="1233"/>
      <c r="C4" s="1233"/>
      <c r="D4" s="1233"/>
      <c r="E4" s="1233"/>
      <c r="F4" s="1233"/>
      <c r="G4" s="1233"/>
      <c r="H4" s="1233"/>
      <c r="I4" s="1233"/>
      <c r="J4" s="1233"/>
      <c r="K4" s="1233"/>
      <c r="L4" s="1233"/>
      <c r="M4" s="1233"/>
      <c r="N4" s="1233"/>
      <c r="O4" s="1233"/>
      <c r="P4" s="1233"/>
      <c r="Q4" s="1233"/>
      <c r="R4" s="1233"/>
      <c r="S4" s="1233"/>
      <c r="T4" s="1233"/>
      <c r="U4" s="1233"/>
      <c r="V4" s="1233"/>
      <c r="W4" s="1233"/>
      <c r="X4" s="1233"/>
      <c r="Y4" s="1233"/>
    </row>
    <row r="7" spans="1:25">
      <c r="A7" s="91" t="s">
        <v>148</v>
      </c>
      <c r="B7" s="92">
        <f>'Enter Data Elements (3)'!D7</f>
        <v>0</v>
      </c>
      <c r="C7" s="93">
        <f>'Enter Data Elements (3)'!D8</f>
        <v>0</v>
      </c>
      <c r="D7" s="94"/>
      <c r="E7" s="94"/>
    </row>
    <row r="9" spans="1:25">
      <c r="A9" s="91" t="s">
        <v>149</v>
      </c>
      <c r="P9" s="91" t="s">
        <v>150</v>
      </c>
      <c r="W9" s="94"/>
    </row>
    <row r="10" spans="1:25">
      <c r="A10" s="91" t="s">
        <v>151</v>
      </c>
      <c r="I10" s="95">
        <v>1.84399</v>
      </c>
      <c r="J10" s="95"/>
      <c r="P10" s="91" t="s">
        <v>151</v>
      </c>
      <c r="W10" s="96">
        <f>'Enter Data Elements (3)'!D11</f>
        <v>1.3201000000000001</v>
      </c>
    </row>
    <row r="11" spans="1:25">
      <c r="A11" s="91" t="s">
        <v>152</v>
      </c>
      <c r="I11" s="97">
        <v>1.86643</v>
      </c>
      <c r="J11" s="95"/>
      <c r="K11" s="98">
        <f>IF(I10&gt;I11,ROUND(I11/I10,4),1)</f>
        <v>1</v>
      </c>
      <c r="P11" s="91" t="s">
        <v>153</v>
      </c>
      <c r="W11" s="99">
        <f>W10*K11</f>
        <v>1.3201000000000001</v>
      </c>
    </row>
    <row r="12" spans="1:25">
      <c r="A12" s="91" t="s">
        <v>154</v>
      </c>
      <c r="I12" s="100">
        <v>0.2034</v>
      </c>
      <c r="P12" s="91" t="s">
        <v>155</v>
      </c>
      <c r="W12" s="101">
        <f>'Enter Data Elements (3)'!D9</f>
        <v>13.79</v>
      </c>
    </row>
    <row r="13" spans="1:25">
      <c r="I13" s="97"/>
      <c r="J13" s="95"/>
      <c r="K13" s="98"/>
    </row>
    <row r="14" spans="1:25">
      <c r="J14" s="102"/>
      <c r="W14" s="103"/>
    </row>
    <row r="16" spans="1:25" ht="16.2" customHeight="1">
      <c r="C16" s="112" t="s">
        <v>156</v>
      </c>
      <c r="D16" s="112"/>
      <c r="E16" s="112" t="s">
        <v>156</v>
      </c>
      <c r="F16" s="112"/>
      <c r="G16" s="1234" t="s">
        <v>157</v>
      </c>
      <c r="H16" s="1235"/>
      <c r="I16" s="1236"/>
      <c r="J16" s="104"/>
      <c r="K16" s="112" t="s">
        <v>158</v>
      </c>
      <c r="L16" s="112"/>
      <c r="M16" s="112" t="s">
        <v>159</v>
      </c>
      <c r="N16" s="112"/>
      <c r="O16" s="112" t="s">
        <v>160</v>
      </c>
      <c r="P16" s="112"/>
      <c r="Q16" s="112" t="s">
        <v>156</v>
      </c>
      <c r="R16" s="112"/>
      <c r="S16" s="112" t="s">
        <v>156</v>
      </c>
      <c r="T16" s="112"/>
      <c r="U16" s="112" t="s">
        <v>161</v>
      </c>
      <c r="V16" s="112"/>
      <c r="W16" s="112" t="s">
        <v>162</v>
      </c>
      <c r="Y16" s="112" t="s">
        <v>163</v>
      </c>
    </row>
    <row r="17" spans="1:25">
      <c r="C17" s="112" t="s">
        <v>164</v>
      </c>
      <c r="D17" s="112"/>
      <c r="E17" s="112" t="s">
        <v>164</v>
      </c>
      <c r="F17" s="112"/>
      <c r="G17" s="104" t="s">
        <v>165</v>
      </c>
      <c r="H17" s="104"/>
      <c r="I17" s="104" t="s">
        <v>166</v>
      </c>
      <c r="J17" s="112"/>
      <c r="K17" s="112" t="s">
        <v>167</v>
      </c>
      <c r="L17" s="112"/>
      <c r="M17" s="112" t="s">
        <v>156</v>
      </c>
      <c r="N17" s="112"/>
      <c r="O17" s="112" t="s">
        <v>168</v>
      </c>
      <c r="P17" s="112"/>
      <c r="Q17" s="112" t="s">
        <v>164</v>
      </c>
      <c r="S17" s="112" t="s">
        <v>169</v>
      </c>
      <c r="U17" s="112" t="s">
        <v>170</v>
      </c>
      <c r="V17" s="112"/>
      <c r="W17" s="112" t="s">
        <v>170</v>
      </c>
      <c r="Y17" s="112" t="s">
        <v>171</v>
      </c>
    </row>
    <row r="18" spans="1:25">
      <c r="C18" s="112" t="s">
        <v>172</v>
      </c>
      <c r="E18" s="112" t="s">
        <v>168</v>
      </c>
      <c r="G18" s="112" t="s">
        <v>173</v>
      </c>
      <c r="H18" s="112"/>
      <c r="I18" s="112" t="s">
        <v>173</v>
      </c>
      <c r="K18" s="112" t="s">
        <v>164</v>
      </c>
      <c r="L18" s="112"/>
      <c r="M18" s="112" t="s">
        <v>164</v>
      </c>
      <c r="Q18" s="112" t="s">
        <v>168</v>
      </c>
      <c r="Y18" s="112" t="s">
        <v>174</v>
      </c>
    </row>
    <row r="19" spans="1:25">
      <c r="G19" s="112"/>
      <c r="I19" s="112"/>
      <c r="K19" s="112" t="s">
        <v>168</v>
      </c>
      <c r="L19" s="112"/>
      <c r="M19" s="112" t="s">
        <v>168</v>
      </c>
      <c r="Y19" s="112" t="s">
        <v>175</v>
      </c>
    </row>
    <row r="20" spans="1:25">
      <c r="E20" s="112" t="s">
        <v>176</v>
      </c>
      <c r="F20" s="112"/>
      <c r="L20" s="112"/>
      <c r="M20" s="112" t="s">
        <v>177</v>
      </c>
      <c r="Q20" s="105" t="s">
        <v>178</v>
      </c>
      <c r="W20" s="112" t="s">
        <v>179</v>
      </c>
      <c r="Y20" s="112" t="s">
        <v>180</v>
      </c>
    </row>
    <row r="21" spans="1:25">
      <c r="C21" s="112" t="s">
        <v>181</v>
      </c>
      <c r="D21" s="112"/>
      <c r="E21" s="112" t="s">
        <v>182</v>
      </c>
      <c r="F21" s="112"/>
      <c r="G21" s="112" t="s">
        <v>183</v>
      </c>
      <c r="H21" s="112"/>
      <c r="I21" s="112" t="s">
        <v>184</v>
      </c>
      <c r="J21" s="112"/>
      <c r="K21" s="112" t="s">
        <v>185</v>
      </c>
      <c r="L21" s="112"/>
      <c r="M21" s="112" t="s">
        <v>186</v>
      </c>
      <c r="N21" s="112"/>
      <c r="O21" s="112" t="s">
        <v>187</v>
      </c>
      <c r="P21" s="112"/>
      <c r="Q21" s="112" t="s">
        <v>188</v>
      </c>
      <c r="R21" s="112"/>
      <c r="S21" s="104" t="str">
        <f>LOWER("I")</f>
        <v>i</v>
      </c>
      <c r="T21" s="112"/>
      <c r="U21" s="112" t="s">
        <v>189</v>
      </c>
      <c r="V21" s="112"/>
      <c r="W21" s="112" t="s">
        <v>190</v>
      </c>
      <c r="X21" s="112"/>
      <c r="Y21" s="112" t="s">
        <v>191</v>
      </c>
    </row>
    <row r="22" spans="1:25">
      <c r="O22" s="94"/>
    </row>
    <row r="23" spans="1:25">
      <c r="A23" s="91" t="s">
        <v>192</v>
      </c>
      <c r="C23" s="106">
        <v>7.4999999999999997E-2</v>
      </c>
      <c r="D23" s="107"/>
      <c r="E23" s="108">
        <f>$W$12*C23</f>
        <v>1.0342499999999999</v>
      </c>
      <c r="G23" s="109"/>
      <c r="I23" s="109"/>
      <c r="K23" s="109"/>
      <c r="M23" s="108">
        <f>E23+G23</f>
        <v>1.0342499999999999</v>
      </c>
      <c r="O23" s="96">
        <f>'Enter Data Elements (3)'!D14</f>
        <v>2</v>
      </c>
      <c r="Q23" s="108">
        <f>M23</f>
        <v>1.0342499999999999</v>
      </c>
      <c r="S23" s="108">
        <f>W11</f>
        <v>1.3201000000000001</v>
      </c>
      <c r="U23" s="110">
        <f>+'Master Budget Sheet'!AC13</f>
        <v>44446</v>
      </c>
      <c r="W23" s="111">
        <f>S23*U23</f>
        <v>58673.164600000004</v>
      </c>
      <c r="Y23" s="111">
        <f>Q23*W23</f>
        <v>60682.720487549996</v>
      </c>
    </row>
    <row r="24" spans="1:25">
      <c r="O24" s="94"/>
      <c r="Q24" s="105"/>
    </row>
    <row r="25" spans="1:25">
      <c r="A25" s="91" t="s">
        <v>193</v>
      </c>
      <c r="C25" s="106">
        <v>1.0209999999999999</v>
      </c>
      <c r="D25" s="107"/>
      <c r="E25" s="108">
        <f>$W$12*C25</f>
        <v>14.079589999999998</v>
      </c>
      <c r="G25" s="109"/>
      <c r="I25" s="109"/>
      <c r="K25" s="109"/>
      <c r="M25" s="108">
        <f>E25+G25+I25+K25</f>
        <v>14.079589999999998</v>
      </c>
      <c r="O25" s="96">
        <f>'Enter Data Elements (3)'!D15</f>
        <v>15</v>
      </c>
      <c r="Q25" s="108">
        <f>M25</f>
        <v>14.079589999999998</v>
      </c>
      <c r="S25" s="109"/>
      <c r="U25" s="109"/>
      <c r="W25" s="101">
        <f>'Enter Data Elements (3)'!D12</f>
        <v>59519</v>
      </c>
      <c r="Y25" s="111">
        <f>Q25*W25</f>
        <v>838003.11720999982</v>
      </c>
    </row>
    <row r="26" spans="1:25" ht="12.75" customHeight="1">
      <c r="O26" s="94"/>
      <c r="Q26" s="105"/>
      <c r="S26" s="112"/>
    </row>
    <row r="27" spans="1:25">
      <c r="A27" s="91" t="s">
        <v>194</v>
      </c>
      <c r="C27" s="106">
        <v>7.9000000000000001E-2</v>
      </c>
      <c r="D27" s="107"/>
      <c r="E27" s="108">
        <f>$W$12*C27</f>
        <v>1.08941</v>
      </c>
      <c r="G27" s="109"/>
      <c r="I27" s="109"/>
      <c r="K27" s="109"/>
      <c r="M27" s="108">
        <f>E27+G27+I27+K27</f>
        <v>1.08941</v>
      </c>
      <c r="O27" s="96">
        <f>'Enter Data Elements (3)'!D16</f>
        <v>1</v>
      </c>
      <c r="Q27" s="108">
        <f>M27</f>
        <v>1.08941</v>
      </c>
      <c r="S27" s="109"/>
      <c r="U27" s="109"/>
      <c r="W27" s="101">
        <f>IF('Enter Data Elements (3)'!D13&gt;0,'Enter Data Elements (3)'!D13, W25)</f>
        <v>61609</v>
      </c>
      <c r="Y27" s="111">
        <f>Q27*W27</f>
        <v>67117.460689999993</v>
      </c>
    </row>
    <row r="28" spans="1:25" ht="12.75" customHeight="1">
      <c r="O28" s="94"/>
      <c r="Q28" s="105"/>
      <c r="S28" s="112"/>
    </row>
    <row r="29" spans="1:25">
      <c r="A29" s="91" t="s">
        <v>195</v>
      </c>
      <c r="C29" s="106">
        <v>0.375</v>
      </c>
      <c r="D29" s="107"/>
      <c r="E29" s="108">
        <f>$W$12*C29</f>
        <v>5.1712499999999997</v>
      </c>
      <c r="G29" s="109"/>
      <c r="I29" s="109"/>
      <c r="K29" s="109"/>
      <c r="M29" s="113">
        <f>E29</f>
        <v>5.1712499999999997</v>
      </c>
      <c r="O29" s="96">
        <f>'Enter Data Elements (3)'!D17</f>
        <v>8.1</v>
      </c>
      <c r="Q29" s="108">
        <f>M29</f>
        <v>5.1712499999999997</v>
      </c>
      <c r="S29" s="109"/>
      <c r="U29" s="110">
        <f>+'Master Budget Sheet'!AC15</f>
        <v>39966</v>
      </c>
      <c r="W29" s="109"/>
      <c r="Y29" s="109"/>
    </row>
    <row r="30" spans="1:25">
      <c r="O30" s="94"/>
    </row>
    <row r="31" spans="1:25">
      <c r="A31" s="91" t="s">
        <v>196</v>
      </c>
      <c r="M31" s="108">
        <f>M23+M25+M27+M29</f>
        <v>21.374499999999998</v>
      </c>
      <c r="O31" s="108">
        <f>O23+O25+O27+O29</f>
        <v>26.1</v>
      </c>
      <c r="Q31" s="108">
        <f>Q23+Q25+Q27+Q29</f>
        <v>21.374499999999998</v>
      </c>
    </row>
    <row r="36" spans="1:27">
      <c r="C36" s="112" t="s">
        <v>195</v>
      </c>
      <c r="G36" s="112" t="s">
        <v>171</v>
      </c>
      <c r="I36" s="112" t="s">
        <v>160</v>
      </c>
      <c r="K36" s="112" t="s">
        <v>174</v>
      </c>
      <c r="M36" s="114" t="s">
        <v>197</v>
      </c>
      <c r="O36" s="112" t="s">
        <v>198</v>
      </c>
      <c r="Q36" s="112" t="s">
        <v>199</v>
      </c>
      <c r="S36" s="112" t="s">
        <v>174</v>
      </c>
      <c r="U36" s="112" t="s">
        <v>200</v>
      </c>
      <c r="W36" s="114" t="s">
        <v>174</v>
      </c>
      <c r="Y36" s="1232" t="s">
        <v>1216</v>
      </c>
    </row>
    <row r="37" spans="1:27">
      <c r="C37" s="112" t="s">
        <v>171</v>
      </c>
      <c r="G37" s="112" t="s">
        <v>174</v>
      </c>
      <c r="I37" s="112" t="s">
        <v>170</v>
      </c>
      <c r="K37" s="112" t="s">
        <v>175</v>
      </c>
      <c r="M37" s="115" t="s">
        <v>175</v>
      </c>
      <c r="O37" s="112" t="s">
        <v>164</v>
      </c>
      <c r="Q37" s="112" t="s">
        <v>164</v>
      </c>
      <c r="S37" s="112" t="s">
        <v>175</v>
      </c>
      <c r="U37" s="112" t="s">
        <v>170</v>
      </c>
      <c r="W37" s="115" t="s">
        <v>175</v>
      </c>
      <c r="Y37" s="1232"/>
    </row>
    <row r="38" spans="1:27">
      <c r="C38" s="112" t="s">
        <v>174</v>
      </c>
      <c r="G38" s="112" t="s">
        <v>175</v>
      </c>
      <c r="K38" s="112" t="s">
        <v>201</v>
      </c>
      <c r="M38" s="116"/>
      <c r="S38" s="112" t="s">
        <v>202</v>
      </c>
      <c r="U38" s="112" t="s">
        <v>175</v>
      </c>
      <c r="W38" s="117"/>
      <c r="Y38" s="1232"/>
    </row>
    <row r="39" spans="1:27">
      <c r="C39" s="112" t="s">
        <v>175</v>
      </c>
      <c r="G39" s="112"/>
      <c r="K39" s="112" t="s">
        <v>203</v>
      </c>
      <c r="M39" s="116"/>
      <c r="S39" s="118"/>
      <c r="U39" s="105"/>
      <c r="W39" s="117"/>
      <c r="Y39" s="851"/>
    </row>
    <row r="40" spans="1:27">
      <c r="C40" s="112" t="s">
        <v>204</v>
      </c>
      <c r="G40" s="112" t="s">
        <v>359</v>
      </c>
      <c r="K40" s="91" t="s">
        <v>358</v>
      </c>
      <c r="M40" s="115" t="str">
        <f>"p x "&amp;I12</f>
        <v>p x 0.2034</v>
      </c>
      <c r="O40" s="112" t="s">
        <v>205</v>
      </c>
      <c r="S40" s="112"/>
      <c r="U40" s="112"/>
      <c r="W40" s="117" t="s">
        <v>357</v>
      </c>
      <c r="Y40" s="851"/>
    </row>
    <row r="41" spans="1:27">
      <c r="C41" s="112" t="s">
        <v>206</v>
      </c>
      <c r="G41" s="112" t="s">
        <v>207</v>
      </c>
      <c r="I41" s="112" t="s">
        <v>208</v>
      </c>
      <c r="K41" s="112" t="s">
        <v>356</v>
      </c>
      <c r="M41" s="115" t="s">
        <v>209</v>
      </c>
      <c r="O41" s="112" t="s">
        <v>210</v>
      </c>
      <c r="Q41" s="112" t="s">
        <v>211</v>
      </c>
      <c r="S41" s="112" t="s">
        <v>212</v>
      </c>
      <c r="U41" s="112" t="s">
        <v>213</v>
      </c>
      <c r="W41" s="115" t="s">
        <v>214</v>
      </c>
      <c r="Y41" s="851"/>
      <c r="AA41" s="112"/>
    </row>
    <row r="42" spans="1:27">
      <c r="F42" s="94"/>
      <c r="G42" s="94"/>
      <c r="H42" s="94"/>
      <c r="I42" s="94"/>
      <c r="M42" s="116"/>
      <c r="U42" s="112"/>
      <c r="W42" s="115"/>
      <c r="Y42" s="851"/>
    </row>
    <row r="43" spans="1:27">
      <c r="A43" s="91" t="s">
        <v>192</v>
      </c>
      <c r="C43" s="109"/>
      <c r="F43" s="94"/>
      <c r="G43" s="119">
        <f>Y23</f>
        <v>60682.720487549996</v>
      </c>
      <c r="H43" s="94"/>
      <c r="I43" s="101">
        <f>'Enter Data Elements (3)'!D18</f>
        <v>185000</v>
      </c>
      <c r="K43" s="120"/>
      <c r="M43" s="121">
        <f>IF($G$51&gt;$I$51,ROUND(G43/$G$51*$M$51,2),ROUND(I43/$I$51*$M$51,2))</f>
        <v>32784.49</v>
      </c>
      <c r="O43" s="122"/>
      <c r="Q43" s="122"/>
      <c r="S43" s="122"/>
      <c r="U43" s="122"/>
      <c r="V43" s="123"/>
      <c r="W43" s="124">
        <f>G43</f>
        <v>60682.720487549996</v>
      </c>
      <c r="Y43" s="851">
        <f>0.0765+0.1269</f>
        <v>0.20340000000000003</v>
      </c>
      <c r="AA43" s="111"/>
    </row>
    <row r="44" spans="1:27">
      <c r="F44" s="94"/>
      <c r="G44" s="94"/>
      <c r="H44" s="94"/>
      <c r="I44" s="125"/>
      <c r="M44" s="116"/>
      <c r="S44" s="112"/>
      <c r="U44" s="105"/>
      <c r="W44" s="117"/>
      <c r="Y44" s="851"/>
    </row>
    <row r="45" spans="1:27">
      <c r="A45" s="91" t="s">
        <v>193</v>
      </c>
      <c r="C45" s="109"/>
      <c r="F45" s="118"/>
      <c r="G45" s="119">
        <f>Y25</f>
        <v>838003.11720999982</v>
      </c>
      <c r="H45" s="94"/>
      <c r="I45" s="101">
        <f>'Enter Data Elements (3)'!D19</f>
        <v>890385.99600000004</v>
      </c>
      <c r="K45" s="120"/>
      <c r="M45" s="121">
        <f>IF($G$51&gt;$I$51,ROUND(G45/$G$51*$M$51,2),ROUND(I45/$I$51*$M$51,2))</f>
        <v>157788.39000000001</v>
      </c>
      <c r="O45" s="122"/>
      <c r="Q45" s="122"/>
      <c r="S45" s="122"/>
      <c r="U45" s="122"/>
      <c r="W45" s="124">
        <f>G45</f>
        <v>838003.11720999982</v>
      </c>
      <c r="Y45" s="851">
        <f>0.0765+0.1269</f>
        <v>0.20340000000000003</v>
      </c>
      <c r="AA45" s="111"/>
    </row>
    <row r="46" spans="1:27">
      <c r="F46" s="118"/>
      <c r="G46" s="119" t="s">
        <v>235</v>
      </c>
      <c r="H46" s="94"/>
      <c r="I46" s="125"/>
      <c r="M46" s="116"/>
      <c r="S46" s="112"/>
      <c r="U46" s="105"/>
      <c r="W46" s="117"/>
      <c r="Y46" s="851"/>
    </row>
    <row r="47" spans="1:27">
      <c r="A47" s="91" t="s">
        <v>194</v>
      </c>
      <c r="C47" s="109"/>
      <c r="F47" s="94"/>
      <c r="G47" s="119">
        <f>Y27</f>
        <v>67117.460689999993</v>
      </c>
      <c r="H47" s="94"/>
      <c r="I47" s="101">
        <f>'Enter Data Elements (3)'!D20</f>
        <v>71359</v>
      </c>
      <c r="K47" s="120"/>
      <c r="M47" s="121">
        <f>IF($G$51&gt;$I$51,ROUND(G47/$G$51*$M$51,2),ROUND(I47/$I$51*$M$51,2))</f>
        <v>12645.78</v>
      </c>
      <c r="O47" s="122"/>
      <c r="Q47" s="122"/>
      <c r="S47" s="122"/>
      <c r="U47" s="122"/>
      <c r="W47" s="124">
        <f>G47</f>
        <v>67117.460689999993</v>
      </c>
      <c r="Y47" s="851">
        <f>0.0765+0.1269</f>
        <v>0.20340000000000003</v>
      </c>
    </row>
    <row r="48" spans="1:27">
      <c r="F48" s="94"/>
      <c r="G48" s="94"/>
      <c r="H48" s="94"/>
      <c r="I48" s="125"/>
      <c r="M48" s="116"/>
      <c r="S48" s="112"/>
      <c r="U48" s="105"/>
      <c r="W48" s="117"/>
      <c r="Y48" s="851"/>
    </row>
    <row r="49" spans="1:27">
      <c r="A49" s="91" t="s">
        <v>195</v>
      </c>
      <c r="C49" s="111">
        <f>Q29*U29</f>
        <v>206674.17749999999</v>
      </c>
      <c r="F49" s="118"/>
      <c r="G49" s="119">
        <f>C49</f>
        <v>206674.17749999999</v>
      </c>
      <c r="H49" s="94"/>
      <c r="I49" s="101">
        <f>'Enter Data Elements (3)'!D21</f>
        <v>198987.5</v>
      </c>
      <c r="K49" s="120"/>
      <c r="M49" s="121">
        <f>IF($G$51&gt;$I$51,ROUND(G49/$G$51*$M$51,2),ROUND(I49/$I$51*$M$51,2))</f>
        <v>35263.26</v>
      </c>
      <c r="O49" s="122"/>
      <c r="Q49" s="122"/>
      <c r="S49" s="122"/>
      <c r="U49" s="122"/>
      <c r="W49" s="124">
        <f>G49</f>
        <v>206674.17749999999</v>
      </c>
      <c r="Y49" s="851">
        <f>0.0765+0.1118</f>
        <v>0.1883</v>
      </c>
      <c r="AA49" s="111"/>
    </row>
    <row r="50" spans="1:27">
      <c r="I50" s="105"/>
      <c r="K50" s="126">
        <f>SUM(K43:K49)</f>
        <v>0</v>
      </c>
      <c r="M50" s="116"/>
      <c r="S50" s="112"/>
      <c r="U50" s="105"/>
      <c r="W50" s="117"/>
      <c r="Y50" s="851"/>
    </row>
    <row r="51" spans="1:27">
      <c r="A51" s="91" t="s">
        <v>196</v>
      </c>
      <c r="G51" s="111">
        <f>G43+G45+G47+G49</f>
        <v>1172477.4758875498</v>
      </c>
      <c r="I51" s="111">
        <f>I43+I45+I47+I49</f>
        <v>1345732.496</v>
      </c>
      <c r="K51" s="111">
        <f>MIN(G51,I51)</f>
        <v>1172477.4758875498</v>
      </c>
      <c r="M51" s="127">
        <f>ROUND(K51*$I$12,2)</f>
        <v>238481.92000000001</v>
      </c>
      <c r="O51" s="111"/>
      <c r="Q51" s="111"/>
      <c r="W51" s="127">
        <f>W43+W45+W47+W49</f>
        <v>1172477.4758875498</v>
      </c>
      <c r="Y51" s="851"/>
    </row>
    <row r="53" spans="1:27">
      <c r="I53" s="111"/>
    </row>
  </sheetData>
  <mergeCells count="6">
    <mergeCell ref="Y36:Y38"/>
    <mergeCell ref="A1:Y1"/>
    <mergeCell ref="A2:Y2"/>
    <mergeCell ref="A3:Y3"/>
    <mergeCell ref="A4:Y4"/>
    <mergeCell ref="G16:I16"/>
  </mergeCells>
  <pageMargins left="0.25" right="0.25" top="0.75" bottom="0.75" header="0.3" footer="0.3"/>
  <pageSetup scale="68" orientation="landscape" horizontalDpi="1800" verticalDpi="1800"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80"/>
  <dimension ref="A1:J127"/>
  <sheetViews>
    <sheetView workbookViewId="0">
      <selection activeCell="H26" sqref="H26"/>
    </sheetView>
  </sheetViews>
  <sheetFormatPr defaultColWidth="10.44140625" defaultRowHeight="10.95" customHeight="1"/>
  <cols>
    <col min="1" max="1" width="10.44140625" style="139" customWidth="1"/>
    <col min="2" max="5" width="9.21875" style="139" customWidth="1"/>
    <col min="6" max="6" width="10.5546875" style="139" customWidth="1"/>
    <col min="7" max="8" width="9.21875" style="139" customWidth="1"/>
    <col min="9" max="9" width="8.77734375" style="129" customWidth="1"/>
    <col min="10" max="16384" width="10.44140625" style="139"/>
  </cols>
  <sheetData>
    <row r="1" spans="1:8" ht="10.95" customHeight="1">
      <c r="A1" s="128"/>
      <c r="B1" s="128"/>
      <c r="C1" s="128"/>
      <c r="D1" s="128"/>
      <c r="E1" s="128"/>
      <c r="F1" s="128"/>
      <c r="G1" s="128"/>
      <c r="H1" s="128"/>
    </row>
    <row r="2" spans="1:8" ht="10.95" customHeight="1">
      <c r="A2" s="130" t="s">
        <v>416</v>
      </c>
      <c r="B2" s="128"/>
      <c r="C2" s="128"/>
      <c r="D2" s="128"/>
      <c r="E2" s="128"/>
      <c r="F2" s="128"/>
      <c r="G2" s="128"/>
      <c r="H2" s="128"/>
    </row>
    <row r="3" spans="1:8" ht="10.95" customHeight="1">
      <c r="A3" s="130"/>
      <c r="B3" s="128"/>
      <c r="C3" s="128"/>
      <c r="D3" s="128"/>
      <c r="E3" s="128"/>
      <c r="F3" s="128"/>
      <c r="G3" s="128"/>
      <c r="H3" s="128"/>
    </row>
    <row r="4" spans="1:8" ht="10.95" customHeight="1">
      <c r="A4" s="131"/>
      <c r="B4" s="132"/>
      <c r="C4" s="132"/>
      <c r="D4" s="132"/>
      <c r="E4" s="133" t="s">
        <v>215</v>
      </c>
      <c r="F4" s="133" t="s">
        <v>216</v>
      </c>
      <c r="G4" s="133" t="s">
        <v>217</v>
      </c>
      <c r="H4" s="133" t="s">
        <v>218</v>
      </c>
    </row>
    <row r="5" spans="1:8" ht="10.95" customHeight="1">
      <c r="A5" s="134" t="s">
        <v>219</v>
      </c>
      <c r="B5" s="134" t="s">
        <v>220</v>
      </c>
      <c r="C5" s="134" t="s">
        <v>221</v>
      </c>
      <c r="D5" s="134" t="s">
        <v>222</v>
      </c>
      <c r="E5" s="133" t="s">
        <v>223</v>
      </c>
      <c r="F5" s="133" t="s">
        <v>224</v>
      </c>
      <c r="G5" s="133" t="s">
        <v>225</v>
      </c>
      <c r="H5" s="133" t="s">
        <v>226</v>
      </c>
    </row>
    <row r="6" spans="1:8" ht="10.95" customHeight="1">
      <c r="A6" s="133">
        <v>0</v>
      </c>
      <c r="B6" s="135">
        <v>1</v>
      </c>
      <c r="C6" s="135">
        <v>1.0375000000000001</v>
      </c>
      <c r="D6" s="135">
        <v>1.0764</v>
      </c>
      <c r="E6" s="135">
        <v>1.1168</v>
      </c>
      <c r="F6" s="135">
        <v>1.1587000000000001</v>
      </c>
      <c r="G6" s="135">
        <v>1.2021999999999999</v>
      </c>
      <c r="H6" s="135">
        <v>1.2473000000000001</v>
      </c>
    </row>
    <row r="7" spans="1:8" ht="10.95" customHeight="1">
      <c r="A7" s="133">
        <v>1</v>
      </c>
      <c r="B7" s="135">
        <v>1.0375000000000001</v>
      </c>
      <c r="C7" s="135">
        <v>1.0764</v>
      </c>
      <c r="D7" s="135">
        <v>1.1168</v>
      </c>
      <c r="E7" s="135">
        <v>1.1587000000000001</v>
      </c>
      <c r="F7" s="135">
        <v>1.2021999999999999</v>
      </c>
      <c r="G7" s="135">
        <v>1.2473000000000001</v>
      </c>
      <c r="H7" s="135">
        <v>1.2941</v>
      </c>
    </row>
    <row r="8" spans="1:8" ht="10.95" customHeight="1">
      <c r="A8" s="133">
        <v>2</v>
      </c>
      <c r="B8" s="135">
        <v>1.0764</v>
      </c>
      <c r="C8" s="135">
        <v>1.1168</v>
      </c>
      <c r="D8" s="135">
        <v>1.1587000000000001</v>
      </c>
      <c r="E8" s="135">
        <v>1.2021999999999999</v>
      </c>
      <c r="F8" s="135">
        <v>1.2473000000000001</v>
      </c>
      <c r="G8" s="135">
        <v>1.2941</v>
      </c>
      <c r="H8" s="135">
        <v>1.3426</v>
      </c>
    </row>
    <row r="9" spans="1:8" ht="10.95" customHeight="1">
      <c r="A9" s="133">
        <v>3</v>
      </c>
      <c r="B9" s="135">
        <v>1.1168</v>
      </c>
      <c r="C9" s="135">
        <v>1.1587000000000001</v>
      </c>
      <c r="D9" s="135">
        <v>1.2021999999999999</v>
      </c>
      <c r="E9" s="135">
        <v>1.2473000000000001</v>
      </c>
      <c r="F9" s="135">
        <v>1.2941</v>
      </c>
      <c r="G9" s="135">
        <v>1.3426</v>
      </c>
      <c r="H9" s="135">
        <v>1.3929</v>
      </c>
    </row>
    <row r="10" spans="1:8" ht="10.95" customHeight="1">
      <c r="A10" s="133">
        <v>4</v>
      </c>
      <c r="B10" s="135">
        <v>1.1587000000000001</v>
      </c>
      <c r="C10" s="135">
        <v>1.2021999999999999</v>
      </c>
      <c r="D10" s="135">
        <v>1.2473000000000001</v>
      </c>
      <c r="E10" s="135">
        <v>1.2941</v>
      </c>
      <c r="F10" s="135">
        <v>1.3426</v>
      </c>
      <c r="G10" s="135">
        <v>1.3929</v>
      </c>
      <c r="H10" s="135">
        <v>1.4451000000000001</v>
      </c>
    </row>
    <row r="11" spans="1:8" ht="10.95" customHeight="1">
      <c r="A11" s="133">
        <v>5</v>
      </c>
      <c r="B11" s="135">
        <v>1.2021999999999999</v>
      </c>
      <c r="C11" s="135">
        <v>1.2473000000000001</v>
      </c>
      <c r="D11" s="135">
        <v>1.2941</v>
      </c>
      <c r="E11" s="135">
        <v>1.3426</v>
      </c>
      <c r="F11" s="135">
        <v>1.3929</v>
      </c>
      <c r="G11" s="135">
        <v>1.4451000000000001</v>
      </c>
      <c r="H11" s="135">
        <v>1.4993000000000001</v>
      </c>
    </row>
    <row r="12" spans="1:8" ht="10.95" customHeight="1">
      <c r="A12" s="133">
        <v>6</v>
      </c>
      <c r="B12" s="135">
        <v>1.2473000000000001</v>
      </c>
      <c r="C12" s="135">
        <v>1.2941</v>
      </c>
      <c r="D12" s="135">
        <v>1.3426</v>
      </c>
      <c r="E12" s="135">
        <v>1.3929</v>
      </c>
      <c r="F12" s="135">
        <v>1.4451000000000001</v>
      </c>
      <c r="G12" s="135">
        <v>1.4993000000000001</v>
      </c>
      <c r="H12" s="135">
        <v>1.5555000000000001</v>
      </c>
    </row>
    <row r="13" spans="1:8" ht="10.95" customHeight="1">
      <c r="A13" s="133">
        <v>7</v>
      </c>
      <c r="B13" s="135">
        <v>1.2941</v>
      </c>
      <c r="C13" s="135">
        <v>1.3426</v>
      </c>
      <c r="D13" s="135">
        <v>1.3929</v>
      </c>
      <c r="E13" s="135">
        <v>1.4451000000000001</v>
      </c>
      <c r="F13" s="135">
        <v>1.4993000000000001</v>
      </c>
      <c r="G13" s="135">
        <v>1.5555000000000001</v>
      </c>
      <c r="H13" s="135">
        <v>1.6137999999999999</v>
      </c>
    </row>
    <row r="14" spans="1:8" ht="10.95" customHeight="1">
      <c r="A14" s="133">
        <v>8</v>
      </c>
      <c r="B14" s="135">
        <v>1.3426</v>
      </c>
      <c r="C14" s="135">
        <v>1.3929</v>
      </c>
      <c r="D14" s="135">
        <v>1.4451000000000001</v>
      </c>
      <c r="E14" s="135">
        <v>1.4993000000000001</v>
      </c>
      <c r="F14" s="135">
        <v>1.5555000000000001</v>
      </c>
      <c r="G14" s="135">
        <v>1.6137999999999999</v>
      </c>
      <c r="H14" s="135">
        <v>1.6742999999999999</v>
      </c>
    </row>
    <row r="15" spans="1:8" ht="10.95" customHeight="1">
      <c r="A15" s="133">
        <v>9</v>
      </c>
      <c r="B15" s="135">
        <v>1.3929</v>
      </c>
      <c r="C15" s="135">
        <v>1.4451000000000001</v>
      </c>
      <c r="D15" s="135">
        <v>1.4993000000000001</v>
      </c>
      <c r="E15" s="135">
        <v>1.5555000000000001</v>
      </c>
      <c r="F15" s="135">
        <v>1.6137999999999999</v>
      </c>
      <c r="G15" s="135">
        <v>1.6742999999999999</v>
      </c>
      <c r="H15" s="135">
        <v>1.7371000000000001</v>
      </c>
    </row>
    <row r="16" spans="1:8" ht="10.95" customHeight="1">
      <c r="A16" s="133">
        <v>10</v>
      </c>
      <c r="B16" s="135">
        <v>1.3929</v>
      </c>
      <c r="C16" s="135">
        <v>1.4993000000000001</v>
      </c>
      <c r="D16" s="135">
        <v>1.5555000000000001</v>
      </c>
      <c r="E16" s="135">
        <v>1.6137999999999999</v>
      </c>
      <c r="F16" s="135">
        <v>1.6742999999999999</v>
      </c>
      <c r="G16" s="135">
        <v>1.7371000000000001</v>
      </c>
      <c r="H16" s="135">
        <v>1.8022</v>
      </c>
    </row>
    <row r="17" spans="1:8" ht="10.95" customHeight="1">
      <c r="A17" s="133">
        <v>11</v>
      </c>
      <c r="B17" s="135">
        <v>1.3929</v>
      </c>
      <c r="C17" s="135">
        <v>1.4993000000000001</v>
      </c>
      <c r="D17" s="135">
        <v>1.5555000000000001</v>
      </c>
      <c r="E17" s="135">
        <v>1.6137999999999999</v>
      </c>
      <c r="F17" s="135">
        <v>1.7371000000000001</v>
      </c>
      <c r="G17" s="135">
        <v>1.8022</v>
      </c>
      <c r="H17" s="135">
        <v>1.8697999999999999</v>
      </c>
    </row>
    <row r="18" spans="1:8" ht="10.95" customHeight="1">
      <c r="A18" s="133">
        <v>12</v>
      </c>
      <c r="B18" s="135">
        <v>1.3929</v>
      </c>
      <c r="C18" s="135">
        <v>1.4993000000000001</v>
      </c>
      <c r="D18" s="135">
        <v>1.5555000000000001</v>
      </c>
      <c r="E18" s="135">
        <v>1.6137999999999999</v>
      </c>
      <c r="F18" s="135">
        <v>1.7371000000000001</v>
      </c>
      <c r="G18" s="135">
        <v>1.8697999999999999</v>
      </c>
      <c r="H18" s="135">
        <v>1.9399</v>
      </c>
    </row>
    <row r="19" spans="1:8" ht="10.95" customHeight="1">
      <c r="A19" s="133" t="s">
        <v>227</v>
      </c>
      <c r="B19" s="135">
        <v>1.3929</v>
      </c>
      <c r="C19" s="135">
        <v>1.4993000000000001</v>
      </c>
      <c r="D19" s="135">
        <v>1.5555000000000001</v>
      </c>
      <c r="E19" s="135">
        <v>1.6137999999999999</v>
      </c>
      <c r="F19" s="135">
        <v>1.7371000000000001</v>
      </c>
      <c r="G19" s="135">
        <v>1.8697999999999999</v>
      </c>
      <c r="H19" s="135">
        <v>2.0125999999999999</v>
      </c>
    </row>
    <row r="20" spans="1:8" ht="10.95" customHeight="1">
      <c r="A20" s="136"/>
      <c r="B20" s="137"/>
      <c r="C20" s="137"/>
      <c r="D20" s="137"/>
      <c r="E20" s="137"/>
      <c r="F20" s="137"/>
      <c r="G20" s="137"/>
      <c r="H20" s="137"/>
    </row>
    <row r="21" spans="1:8" ht="10.95" customHeight="1">
      <c r="A21" s="136"/>
      <c r="B21" s="129"/>
      <c r="C21" s="129"/>
      <c r="D21" s="129"/>
      <c r="E21" s="129"/>
      <c r="F21" s="129"/>
      <c r="G21" s="129"/>
      <c r="H21" s="129"/>
    </row>
    <row r="22" spans="1:8" ht="10.95" customHeight="1">
      <c r="A22" s="128" t="s">
        <v>228</v>
      </c>
      <c r="B22" s="128"/>
      <c r="C22" s="128"/>
      <c r="D22" s="128"/>
      <c r="E22" s="128"/>
      <c r="F22" s="128"/>
      <c r="G22" s="128"/>
      <c r="H22" s="128"/>
    </row>
    <row r="23" spans="1:8" ht="10.95" customHeight="1">
      <c r="A23" s="131"/>
      <c r="B23" s="132"/>
      <c r="C23" s="132"/>
      <c r="D23" s="132"/>
      <c r="E23" s="133" t="s">
        <v>215</v>
      </c>
      <c r="F23" s="133" t="s">
        <v>216</v>
      </c>
      <c r="G23" s="133" t="s">
        <v>217</v>
      </c>
      <c r="H23" s="133" t="s">
        <v>218</v>
      </c>
    </row>
    <row r="24" spans="1:8" ht="10.95" customHeight="1">
      <c r="A24" s="134" t="s">
        <v>219</v>
      </c>
      <c r="B24" s="134" t="s">
        <v>220</v>
      </c>
      <c r="C24" s="134" t="s">
        <v>221</v>
      </c>
      <c r="D24" s="134" t="s">
        <v>222</v>
      </c>
      <c r="E24" s="133" t="s">
        <v>336</v>
      </c>
      <c r="F24" s="133" t="s">
        <v>337</v>
      </c>
      <c r="G24" s="133" t="s">
        <v>339</v>
      </c>
      <c r="H24" s="133" t="s">
        <v>338</v>
      </c>
    </row>
    <row r="25" spans="1:8" ht="10.95" customHeight="1">
      <c r="A25" s="133">
        <v>0</v>
      </c>
      <c r="B25" s="138">
        <f>SUMIFS('Master Budget Sheet'!$AB$87:$AB$87,'Master Budget Sheet'!$F$87:$F$87,B$24,'Master Budget Sheet'!$E$87:$E$87,$A25-1)</f>
        <v>0</v>
      </c>
      <c r="C25" s="138">
        <f>SUMIFS('Master Budget Sheet'!$AB$87:$AB$87,'Master Budget Sheet'!$F$87:$F$87,C$24,'Master Budget Sheet'!$E$87:$E$87,$A25-1)</f>
        <v>0</v>
      </c>
      <c r="D25" s="138">
        <f>SUMIFS('Master Budget Sheet'!$AB$87:$AB$87,'Master Budget Sheet'!$F$87:$F$87,D$24,'Master Budget Sheet'!$E$87:$E$87,$A25-1)</f>
        <v>0</v>
      </c>
      <c r="E25" s="138">
        <f>SUMIFS('Master Budget Sheet'!$AB$87:$AB$87,'Master Budget Sheet'!$F$87:$F$87,E$24,'Master Budget Sheet'!$E$87:$E$87,$A25-1)</f>
        <v>0</v>
      </c>
      <c r="F25" s="138">
        <f>SUMIFS('Master Budget Sheet'!$AB$87:$AB$87,'Master Budget Sheet'!$F$87:$F$87,F$24,'Master Budget Sheet'!$E$87:$E$87,$A25-1)</f>
        <v>0</v>
      </c>
      <c r="G25" s="138">
        <f>SUMIFS('Master Budget Sheet'!$AB$87:$AB$87,'Master Budget Sheet'!$F$87:$F$87,G$24,'Master Budget Sheet'!$E$87:$E$87,$A25-1)</f>
        <v>0</v>
      </c>
      <c r="H25" s="138">
        <f>SUMIFS('Master Budget Sheet'!$AB$87:$AB$89,'Master Budget Sheet'!$F$87:$F$89,H$24,'Master Budget Sheet'!$E$87:$E$89,$A25-1)</f>
        <v>1</v>
      </c>
    </row>
    <row r="26" spans="1:8" ht="10.95" customHeight="1">
      <c r="A26" s="133">
        <v>1</v>
      </c>
      <c r="B26" s="138">
        <f>SUMIFS('Master Budget Sheet'!$AB$87:$AB$87,'Master Budget Sheet'!$F$87:$F$87,B$24,'Master Budget Sheet'!$E$87:$E$87,$A26-1)</f>
        <v>0</v>
      </c>
      <c r="C26" s="138">
        <f>SUMIFS('Master Budget Sheet'!$AB$87:$AB$87,'Master Budget Sheet'!$F$87:$F$87,C$24,'Master Budget Sheet'!$E$87:$E$87,$A26-1)</f>
        <v>0</v>
      </c>
      <c r="D26" s="138">
        <f>SUMIFS('Master Budget Sheet'!$AB$87:$AB$87,'Master Budget Sheet'!$F$87:$F$87,D$24,'Master Budget Sheet'!$E$87:$E$87,$A26-1)</f>
        <v>0</v>
      </c>
      <c r="E26" s="138">
        <f>SUMIFS('Master Budget Sheet'!$AB$87:$AB$87,'Master Budget Sheet'!$F$87:$F$87,E$24,'Master Budget Sheet'!$E$87:$E$87,$A26-1)</f>
        <v>0</v>
      </c>
      <c r="F26" s="138">
        <f>SUMIFS('Master Budget Sheet'!$AB$87:$AB$87,'Master Budget Sheet'!$F$87:$F$87,F$24,'Master Budget Sheet'!$E$87:$E$87,$A26-1)</f>
        <v>0</v>
      </c>
      <c r="G26" s="138">
        <f>SUMIFS('Master Budget Sheet'!$AB$87:$AB$87,'Master Budget Sheet'!$F$87:$F$87,G$24,'Master Budget Sheet'!$E$87:$E$87,$A26-1)</f>
        <v>0</v>
      </c>
      <c r="H26" s="138">
        <f>SUMIFS('Master Budget Sheet'!$AB$87:$AB$89,'Master Budget Sheet'!$F$87:$F$89,H$24,'Master Budget Sheet'!$E$87:$E$89,$A26-1)</f>
        <v>0</v>
      </c>
    </row>
    <row r="27" spans="1:8" ht="10.95" customHeight="1">
      <c r="A27" s="133">
        <v>2</v>
      </c>
      <c r="B27" s="138">
        <f>SUMIFS('Master Budget Sheet'!$AB$87:$AB$87,'Master Budget Sheet'!$F$87:$F$87,B$24,'Master Budget Sheet'!$E$87:$E$87,$A27-1)</f>
        <v>0</v>
      </c>
      <c r="C27" s="138">
        <f>SUMIFS('Master Budget Sheet'!$AB$87:$AB$87,'Master Budget Sheet'!$F$87:$F$87,C$24,'Master Budget Sheet'!$E$87:$E$87,$A27-1)</f>
        <v>0</v>
      </c>
      <c r="D27" s="138">
        <f>SUMIFS('Master Budget Sheet'!$AB$87:$AB$87,'Master Budget Sheet'!$F$87:$F$87,D$24,'Master Budget Sheet'!$E$87:$E$87,$A27-1)</f>
        <v>0</v>
      </c>
      <c r="E27" s="138">
        <f>SUMIFS('Master Budget Sheet'!$AB$87:$AB$87,'Master Budget Sheet'!$F$87:$F$87,E$24,'Master Budget Sheet'!$E$87:$E$87,$A27-1)</f>
        <v>0</v>
      </c>
      <c r="F27" s="138">
        <f>SUMIFS('Master Budget Sheet'!$AB$87:$AB$87,'Master Budget Sheet'!$F$87:$F$87,F$24,'Master Budget Sheet'!$E$87:$E$87,$A27-1)</f>
        <v>0</v>
      </c>
      <c r="G27" s="138">
        <f>SUMIFS('Master Budget Sheet'!$AB$87:$AB$87,'Master Budget Sheet'!$F$87:$F$87,G$24,'Master Budget Sheet'!$E$87:$E$87,$A27-1)</f>
        <v>0</v>
      </c>
      <c r="H27" s="138">
        <f>SUMIFS('Master Budget Sheet'!$AB$87:$AB$87,'Master Budget Sheet'!$F$87:$F$87,H$24,'Master Budget Sheet'!$E$87:$E$87,$A27-1)</f>
        <v>0</v>
      </c>
    </row>
    <row r="28" spans="1:8" ht="10.95" customHeight="1">
      <c r="A28" s="133">
        <v>3</v>
      </c>
      <c r="B28" s="138">
        <f>SUMIFS('Master Budget Sheet'!$AB$87:$AB$87,'Master Budget Sheet'!$F$87:$F$87,B$24,'Master Budget Sheet'!$E$87:$E$87,$A28-1)</f>
        <v>0</v>
      </c>
      <c r="C28" s="138">
        <f>SUMIFS('Master Budget Sheet'!$AB$87:$AB$87,'Master Budget Sheet'!$F$87:$F$87,C$24,'Master Budget Sheet'!$E$87:$E$87,$A28-1)</f>
        <v>0</v>
      </c>
      <c r="D28" s="138">
        <f>SUMIFS('Master Budget Sheet'!$AB$87:$AB$87,'Master Budget Sheet'!$F$87:$F$87,D$24,'Master Budget Sheet'!$E$87:$E$87,$A28-1)</f>
        <v>0</v>
      </c>
      <c r="E28" s="138">
        <f>SUMIFS('Master Budget Sheet'!$AB$87:$AB$87,'Master Budget Sheet'!$F$87:$F$87,E$24,'Master Budget Sheet'!$E$87:$E$87,$A28-1)</f>
        <v>0</v>
      </c>
      <c r="F28" s="138">
        <f>SUMIFS('Master Budget Sheet'!$AB$87:$AB$87,'Master Budget Sheet'!$F$87:$F$87,F$24,'Master Budget Sheet'!$E$87:$E$87,$A28-1)</f>
        <v>0</v>
      </c>
      <c r="G28" s="138">
        <f>SUMIFS('Master Budget Sheet'!$AB$87:$AB$87,'Master Budget Sheet'!$F$87:$F$87,G$24,'Master Budget Sheet'!$E$87:$E$87,$A28-1)</f>
        <v>0</v>
      </c>
      <c r="H28" s="138">
        <f>SUMIFS('Master Budget Sheet'!$AB$87:$AB$87,'Master Budget Sheet'!$F$87:$F$87,H$24,'Master Budget Sheet'!$E$87:$E$87,$A28-1)</f>
        <v>1</v>
      </c>
    </row>
    <row r="29" spans="1:8" ht="10.95" customHeight="1">
      <c r="A29" s="133">
        <v>4</v>
      </c>
      <c r="B29" s="138">
        <f>SUMIFS('Master Budget Sheet'!$AB$87:$AB$87,'Master Budget Sheet'!$F$87:$F$87,B$24,'Master Budget Sheet'!$E$87:$E$87,$A29-1)</f>
        <v>0</v>
      </c>
      <c r="C29" s="138">
        <f>SUMIFS('Master Budget Sheet'!$AB$87:$AB$87,'Master Budget Sheet'!$F$87:$F$87,C$24,'Master Budget Sheet'!$E$87:$E$87,$A29-1)</f>
        <v>0</v>
      </c>
      <c r="D29" s="138">
        <f>SUMIFS('Master Budget Sheet'!$AB$87:$AB$87,'Master Budget Sheet'!$F$87:$F$87,D$24,'Master Budget Sheet'!$E$87:$E$87,$A29-1)</f>
        <v>0</v>
      </c>
      <c r="E29" s="138">
        <f>SUMIFS('Master Budget Sheet'!$AB$87:$AB$87,'Master Budget Sheet'!$F$87:$F$87,E$24,'Master Budget Sheet'!$E$87:$E$87,$A29-1)</f>
        <v>0</v>
      </c>
      <c r="F29" s="138">
        <f>SUMIFS('Master Budget Sheet'!$AB$87:$AB$87,'Master Budget Sheet'!$F$87:$F$87,F$24,'Master Budget Sheet'!$E$87:$E$87,$A29-1)</f>
        <v>0</v>
      </c>
      <c r="G29" s="138">
        <f>SUMIFS('Master Budget Sheet'!$AB$87:$AB$87,'Master Budget Sheet'!$F$87:$F$87,G$24,'Master Budget Sheet'!$E$87:$E$87,$A29-1)</f>
        <v>0</v>
      </c>
      <c r="H29" s="138">
        <f>SUMIFS('Master Budget Sheet'!$AB$87:$AB$87,'Master Budget Sheet'!$F$87:$F$87,H$24,'Master Budget Sheet'!$E$87:$E$87,$A29-1)</f>
        <v>0</v>
      </c>
    </row>
    <row r="30" spans="1:8" ht="10.95" customHeight="1">
      <c r="A30" s="133">
        <v>5</v>
      </c>
      <c r="B30" s="138">
        <f>SUMIFS('Master Budget Sheet'!$AB$87:$AB$87,'Master Budget Sheet'!$F$87:$F$87,B$24,'Master Budget Sheet'!$E$87:$E$87,$A30-1)</f>
        <v>0</v>
      </c>
      <c r="C30" s="138">
        <f>SUMIFS('Master Budget Sheet'!$AB$87:$AB$87,'Master Budget Sheet'!$F$87:$F$87,C$24,'Master Budget Sheet'!$E$87:$E$87,$A30-1)</f>
        <v>0</v>
      </c>
      <c r="D30" s="138">
        <f>SUMIFS('Master Budget Sheet'!$AB$87:$AB$87,'Master Budget Sheet'!$F$87:$F$87,D$24,'Master Budget Sheet'!$E$87:$E$87,$A30-1)</f>
        <v>0</v>
      </c>
      <c r="E30" s="138">
        <f>SUMIFS('Master Budget Sheet'!$AB$87:$AB$87,'Master Budget Sheet'!$F$87:$F$87,E$24,'Master Budget Sheet'!$E$87:$E$87,$A30-1)</f>
        <v>0</v>
      </c>
      <c r="F30" s="138">
        <f>SUMIFS('Master Budget Sheet'!$AB$87:$AB$87,'Master Budget Sheet'!$F$87:$F$87,F$24,'Master Budget Sheet'!$E$87:$E$87,$A30-1)</f>
        <v>0</v>
      </c>
      <c r="G30" s="138">
        <f>SUMIFS('Master Budget Sheet'!$AB$87:$AB$87,'Master Budget Sheet'!$F$87:$F$87,G$24,'Master Budget Sheet'!$E$87:$E$87,$A30-1)</f>
        <v>0</v>
      </c>
      <c r="H30" s="138">
        <f>SUMIFS('Master Budget Sheet'!$AB$87:$AB$87,'Master Budget Sheet'!$F$87:$F$87,H$24,'Master Budget Sheet'!$E$87:$E$87,$A30-1)</f>
        <v>0</v>
      </c>
    </row>
    <row r="31" spans="1:8" ht="10.95" customHeight="1">
      <c r="A31" s="133">
        <v>6</v>
      </c>
      <c r="B31" s="138">
        <f>SUMIFS('Master Budget Sheet'!$AB$87:$AB$87,'Master Budget Sheet'!$F$87:$F$87,B$24,'Master Budget Sheet'!$E$87:$E$87,$A31-1)</f>
        <v>0</v>
      </c>
      <c r="C31" s="138">
        <f>SUMIFS('Master Budget Sheet'!$AB$87:$AB$87,'Master Budget Sheet'!$F$87:$F$87,C$24,'Master Budget Sheet'!$E$87:$E$87,$A31-1)</f>
        <v>0</v>
      </c>
      <c r="D31" s="138">
        <f>SUMIFS('Master Budget Sheet'!$AB$87:$AB$87,'Master Budget Sheet'!$F$87:$F$87,D$24,'Master Budget Sheet'!$E$87:$E$87,$A31-1)</f>
        <v>0</v>
      </c>
      <c r="E31" s="138">
        <f>SUMIFS('Master Budget Sheet'!$AB$87:$AB$87,'Master Budget Sheet'!$F$87:$F$87,E$24,'Master Budget Sheet'!$E$87:$E$87,$A31-1)</f>
        <v>0</v>
      </c>
      <c r="F31" s="138">
        <f>SUMIFS('Master Budget Sheet'!$AB$87:$AB$87,'Master Budget Sheet'!$F$87:$F$87,F$24,'Master Budget Sheet'!$E$87:$E$87,$A31-1)</f>
        <v>0</v>
      </c>
      <c r="G31" s="138">
        <f>SUMIFS('Master Budget Sheet'!$AB$87:$AB$87,'Master Budget Sheet'!$F$87:$F$87,G$24,'Master Budget Sheet'!$E$87:$E$87,$A31-1)</f>
        <v>0</v>
      </c>
      <c r="H31" s="138">
        <f>SUMIFS('Master Budget Sheet'!$AB$87:$AB$87,'Master Budget Sheet'!$F$87:$F$87,H$24,'Master Budget Sheet'!$E$87:$E$87,$A31-1)</f>
        <v>0</v>
      </c>
    </row>
    <row r="32" spans="1:8" ht="10.95" customHeight="1">
      <c r="A32" s="133">
        <v>7</v>
      </c>
      <c r="B32" s="138">
        <f>SUMIFS('Master Budget Sheet'!$AB$87:$AB$87,'Master Budget Sheet'!$F$87:$F$87,B$24,'Master Budget Sheet'!$E$87:$E$87,$A32-1)</f>
        <v>0</v>
      </c>
      <c r="C32" s="138">
        <f>SUMIFS('Master Budget Sheet'!$AB$87:$AB$87,'Master Budget Sheet'!$F$87:$F$87,C$24,'Master Budget Sheet'!$E$87:$E$87,$A32-1)</f>
        <v>0</v>
      </c>
      <c r="D32" s="138">
        <f>SUMIFS('Master Budget Sheet'!$AB$87:$AB$87,'Master Budget Sheet'!$F$87:$F$87,D$24,'Master Budget Sheet'!$E$87:$E$87,$A32-1)</f>
        <v>0</v>
      </c>
      <c r="E32" s="138">
        <f>SUMIFS('Master Budget Sheet'!$AB$87:$AB$87,'Master Budget Sheet'!$F$87:$F$87,E$24,'Master Budget Sheet'!$E$87:$E$87,$A32-1)</f>
        <v>0</v>
      </c>
      <c r="F32" s="138">
        <f>SUMIFS('Master Budget Sheet'!$AB$87:$AB$87,'Master Budget Sheet'!$F$87:$F$87,F$24,'Master Budget Sheet'!$E$87:$E$87,$A32-1)</f>
        <v>0</v>
      </c>
      <c r="G32" s="138">
        <f>SUMIFS('Master Budget Sheet'!$AB$87:$AB$87,'Master Budget Sheet'!$F$87:$F$87,G$24,'Master Budget Sheet'!$E$87:$E$87,$A32-1)</f>
        <v>0</v>
      </c>
      <c r="H32" s="138">
        <f>SUMIFS('Master Budget Sheet'!$AB$87:$AB$87,'Master Budget Sheet'!$F$87:$F$87,H$24,'Master Budget Sheet'!$E$87:$E$87,$A32-1)</f>
        <v>0</v>
      </c>
    </row>
    <row r="33" spans="1:10" ht="10.95" customHeight="1">
      <c r="A33" s="133">
        <v>8</v>
      </c>
      <c r="B33" s="138">
        <f>SUMIFS('Master Budget Sheet'!$AB$87:$AB$87,'Master Budget Sheet'!$F$87:$F$87,B$24,'Master Budget Sheet'!$E$87:$E$87,$A33-1)</f>
        <v>0</v>
      </c>
      <c r="C33" s="138">
        <f>SUMIFS('Master Budget Sheet'!$AB$87:$AB$87,'Master Budget Sheet'!$F$87:$F$87,C$24,'Master Budget Sheet'!$E$87:$E$87,$A33-1)</f>
        <v>0</v>
      </c>
      <c r="D33" s="138">
        <f>SUMIFS('Master Budget Sheet'!$AB$87:$AB$87,'Master Budget Sheet'!$F$87:$F$87,D$24,'Master Budget Sheet'!$E$87:$E$87,$A33-1)</f>
        <v>0</v>
      </c>
      <c r="E33" s="138">
        <f>SUMIFS('Master Budget Sheet'!$AB$87:$AB$87,'Master Budget Sheet'!$F$87:$F$87,E$24,'Master Budget Sheet'!$E$87:$E$87,$A33-1)</f>
        <v>0</v>
      </c>
      <c r="F33" s="138">
        <f>SUMIFS('Master Budget Sheet'!$AB$87:$AB$87,'Master Budget Sheet'!$F$87:$F$87,F$24,'Master Budget Sheet'!$E$87:$E$87,$A33-1)</f>
        <v>0</v>
      </c>
      <c r="G33" s="138">
        <f>SUMIFS('Master Budget Sheet'!$AB$87:$AB$87,'Master Budget Sheet'!$F$87:$F$87,G$24,'Master Budget Sheet'!$E$87:$E$87,$A33-1)</f>
        <v>0</v>
      </c>
      <c r="H33" s="138">
        <f>SUMIFS('Master Budget Sheet'!$AB$87:$AB$87,'Master Budget Sheet'!$F$87:$F$87,H$24,'Master Budget Sheet'!$E$87:$E$87,$A33-1)</f>
        <v>0</v>
      </c>
    </row>
    <row r="34" spans="1:10" ht="10.95" customHeight="1">
      <c r="A34" s="133">
        <v>9</v>
      </c>
      <c r="B34" s="138">
        <f>SUMIFS('Master Budget Sheet'!$AB$87:$AB$87,'Master Budget Sheet'!$F$87:$F$87,B$24,'Master Budget Sheet'!$E$87:$E$87,$A34-1)</f>
        <v>0</v>
      </c>
      <c r="C34" s="138">
        <f>SUMIFS('Master Budget Sheet'!$AB$87:$AB$87,'Master Budget Sheet'!$F$87:$F$87,C$24,'Master Budget Sheet'!$E$87:$E$87,$A34-1)</f>
        <v>0</v>
      </c>
      <c r="D34" s="138">
        <f>SUMIFS('Master Budget Sheet'!$AB$87:$AB$87,'Master Budget Sheet'!$F$87:$F$87,D$24,'Master Budget Sheet'!$E$87:$E$87,$A34-1)</f>
        <v>0</v>
      </c>
      <c r="E34" s="138">
        <f>SUMIFS('Master Budget Sheet'!$AB$87:$AB$87,'Master Budget Sheet'!$F$87:$F$87,E$24,'Master Budget Sheet'!$E$87:$E$87,$A34-1)</f>
        <v>0</v>
      </c>
      <c r="F34" s="138">
        <f>SUMIFS('Master Budget Sheet'!$AB$87:$AB$87,'Master Budget Sheet'!$F$87:$F$87,F$24,'Master Budget Sheet'!$E$87:$E$87,$A34-1)</f>
        <v>0</v>
      </c>
      <c r="G34" s="138">
        <f>SUMIFS('Master Budget Sheet'!$AB$87:$AB$87,'Master Budget Sheet'!$F$87:$F$87,G$24,'Master Budget Sheet'!$E$87:$E$87,$A34-1)</f>
        <v>0</v>
      </c>
      <c r="H34" s="138">
        <f>SUMIFS('Master Budget Sheet'!$AB$87:$AB$87,'Master Budget Sheet'!$F$87:$F$87,H$24,'Master Budget Sheet'!$E$87:$E$87,$A34-1)</f>
        <v>0</v>
      </c>
    </row>
    <row r="35" spans="1:10" ht="10.95" customHeight="1">
      <c r="A35" s="133">
        <v>10</v>
      </c>
      <c r="B35" s="138">
        <f>SUMIFS('Master Budget Sheet'!$AB$87:$AB$87,'Master Budget Sheet'!$F$87:$F$87,B$24,'Master Budget Sheet'!$E$87:$E$87,$A35-1)</f>
        <v>0</v>
      </c>
      <c r="C35" s="138">
        <f>SUMIFS('Master Budget Sheet'!$AB$87:$AB$87,'Master Budget Sheet'!$F$87:$F$87,C$24,'Master Budget Sheet'!$E$87:$E$87,$A35-1)</f>
        <v>0</v>
      </c>
      <c r="D35" s="138">
        <f>SUMIFS('Master Budget Sheet'!$AB$87:$AB$87,'Master Budget Sheet'!$F$87:$F$87,D$24,'Master Budget Sheet'!$E$87:$E$87,$A35-1)</f>
        <v>0</v>
      </c>
      <c r="E35" s="138">
        <f>SUMIFS('Master Budget Sheet'!$AB$87:$AB$87,'Master Budget Sheet'!$F$87:$F$87,E$24,'Master Budget Sheet'!$E$87:$E$87,$A35-1)</f>
        <v>0</v>
      </c>
      <c r="F35" s="138">
        <f>SUMIFS('Master Budget Sheet'!$AB$87:$AB$87,'Master Budget Sheet'!$F$87:$F$87,F$24,'Master Budget Sheet'!$E$87:$E$87,$A35-1)</f>
        <v>0</v>
      </c>
      <c r="G35" s="138">
        <f>SUMIFS('Master Budget Sheet'!$AB$87:$AB$87,'Master Budget Sheet'!$F$87:$F$87,G$24,'Master Budget Sheet'!$E$87:$E$87,$A35-1)</f>
        <v>0</v>
      </c>
      <c r="H35" s="138">
        <f>SUMIFS('Master Budget Sheet'!$AB$87:$AB$87,'Master Budget Sheet'!$F$87:$F$87,H$24,'Master Budget Sheet'!$E$87:$E$87,$A35-1)</f>
        <v>0</v>
      </c>
    </row>
    <row r="36" spans="1:10" ht="10.95" customHeight="1">
      <c r="A36" s="133">
        <v>11</v>
      </c>
      <c r="B36" s="138">
        <f>SUMIFS('Master Budget Sheet'!$AB$87:$AB$87,'Master Budget Sheet'!$F$87:$F$87,B$24,'Master Budget Sheet'!$E$87:$E$87,$A36-1)</f>
        <v>0</v>
      </c>
      <c r="C36" s="138">
        <f>SUMIFS('Master Budget Sheet'!$AB$87:$AB$87,'Master Budget Sheet'!$F$87:$F$87,C$24,'Master Budget Sheet'!$E$87:$E$87,$A36-1)</f>
        <v>0</v>
      </c>
      <c r="D36" s="138">
        <f>SUMIFS('Master Budget Sheet'!$AB$87:$AB$87,'Master Budget Sheet'!$F$87:$F$87,D$24,'Master Budget Sheet'!$E$87:$E$87,$A36-1)</f>
        <v>0</v>
      </c>
      <c r="E36" s="138">
        <f>SUMIFS('Master Budget Sheet'!$AB$87:$AB$87,'Master Budget Sheet'!$F$87:$F$87,E$24,'Master Budget Sheet'!$E$87:$E$87,$A36-1)</f>
        <v>0</v>
      </c>
      <c r="F36" s="138">
        <f>SUMIFS('Master Budget Sheet'!$AB$87:$AB$87,'Master Budget Sheet'!$F$87:$F$87,F$24,'Master Budget Sheet'!$E$87:$E$87,$A36-1)</f>
        <v>0</v>
      </c>
      <c r="G36" s="138">
        <f>SUMIFS('Master Budget Sheet'!$AB$87:$AB$87,'Master Budget Sheet'!$F$87:$F$87,G$24,'Master Budget Sheet'!$E$87:$E$87,$A36-1)</f>
        <v>0</v>
      </c>
      <c r="H36" s="138">
        <f>SUMIFS('Master Budget Sheet'!$AB$87:$AB$87,'Master Budget Sheet'!$F$87:$F$87,H$24,'Master Budget Sheet'!$E$87:$E$87,$A36-1)</f>
        <v>0</v>
      </c>
    </row>
    <row r="37" spans="1:10" ht="10.95" customHeight="1">
      <c r="A37" s="133">
        <v>12</v>
      </c>
      <c r="B37" s="138">
        <f>SUMIFS('Master Budget Sheet'!$AB$87:$AB$87,'Master Budget Sheet'!$F$87:$F$87,B$24,'Master Budget Sheet'!$E$87:$E$87,$A37-1)</f>
        <v>0</v>
      </c>
      <c r="C37" s="138">
        <f>SUMIFS('Master Budget Sheet'!$AB$87:$AB$87,'Master Budget Sheet'!$F$87:$F$87,C$24,'Master Budget Sheet'!$E$87:$E$87,$A37-1)</f>
        <v>0</v>
      </c>
      <c r="D37" s="138">
        <f>SUMIFS('Master Budget Sheet'!$AB$87:$AB$87,'Master Budget Sheet'!$F$87:$F$87,D$24,'Master Budget Sheet'!$E$87:$E$87,$A37-1)</f>
        <v>0</v>
      </c>
      <c r="E37" s="138">
        <f>SUMIFS('Master Budget Sheet'!$AB$87:$AB$87,'Master Budget Sheet'!$F$87:$F$87,E$24,'Master Budget Sheet'!$E$87:$E$87,$A37-1)</f>
        <v>0</v>
      </c>
      <c r="F37" s="138">
        <f>SUMIFS('Master Budget Sheet'!$AB$87:$AB$87,'Master Budget Sheet'!$F$87:$F$87,F$24,'Master Budget Sheet'!$E$87:$E$87,$A37-1)</f>
        <v>0</v>
      </c>
      <c r="G37" s="138">
        <f>SUMIFS('Master Budget Sheet'!$AB$87:$AB$87,'Master Budget Sheet'!$F$87:$F$87,G$24,'Master Budget Sheet'!$E$87:$E$87,$A37-1)</f>
        <v>0</v>
      </c>
      <c r="H37" s="138">
        <f>SUMIFS('Master Budget Sheet'!$AB$87:$AB$87,'Master Budget Sheet'!$F$87:$F$87,H$24,'Master Budget Sheet'!$E$87:$E$87,$A37-1)</f>
        <v>0</v>
      </c>
    </row>
    <row r="38" spans="1:10" ht="10.95" customHeight="1">
      <c r="A38" s="133" t="s">
        <v>227</v>
      </c>
      <c r="B38" s="138">
        <f>SUMIFS('Master Budget Sheet'!$AB$87:$AB$87,'Master Budget Sheet'!$F$87:$F$87,B$24,'Master Budget Sheet'!$E$87:$E$87,"&gt;11")</f>
        <v>0</v>
      </c>
      <c r="C38" s="138">
        <f>SUMIFS('Master Budget Sheet'!$AB$87:$AB$87,'Master Budget Sheet'!$F$87:$F$87,C$24,'Master Budget Sheet'!$E$87:$E$87,"&gt;11")</f>
        <v>0</v>
      </c>
      <c r="D38" s="138">
        <f>SUMIFS('Master Budget Sheet'!$AB$87:$AB$87,'Master Budget Sheet'!$F$87:$F$87,D$24,'Master Budget Sheet'!$E$87:$E$87,"&gt;11")</f>
        <v>0</v>
      </c>
      <c r="E38" s="138">
        <f>SUMIFS('Master Budget Sheet'!$AB$87:$AB$87,'Master Budget Sheet'!$F$87:$F$87,E$24,'Master Budget Sheet'!$E$87:$E$87,"&gt;11")</f>
        <v>0</v>
      </c>
      <c r="F38" s="138">
        <f>SUMIFS('Master Budget Sheet'!$AB$87:$AB$87,'Master Budget Sheet'!$F$87:$F$87,F$24,'Master Budget Sheet'!$E$87:$E$87,"&gt;11")</f>
        <v>0</v>
      </c>
      <c r="G38" s="138">
        <f>SUMIFS('Master Budget Sheet'!$AB$87:$AB$87,'Master Budget Sheet'!$F$87:$F$87,G$24,'Master Budget Sheet'!$E$87:$E$87,"&gt;11")</f>
        <v>0</v>
      </c>
      <c r="H38" s="138">
        <f>SUMIFS('Master Budget Sheet'!$AB$87:$AB$87,'Master Budget Sheet'!$F$87:$F$87,H$24,'Master Budget Sheet'!$E$87:$E$87,"&gt;11")</f>
        <v>0</v>
      </c>
    </row>
    <row r="39" spans="1:10" s="143" customFormat="1" ht="10.95" customHeight="1">
      <c r="A39" s="140" t="s">
        <v>229</v>
      </c>
      <c r="B39" s="141">
        <f t="shared" ref="B39:H39" si="0">ROUND(SUM(B25:B38),5)</f>
        <v>0</v>
      </c>
      <c r="C39" s="141">
        <f t="shared" si="0"/>
        <v>0</v>
      </c>
      <c r="D39" s="141">
        <f t="shared" si="0"/>
        <v>0</v>
      </c>
      <c r="E39" s="141">
        <f t="shared" si="0"/>
        <v>0</v>
      </c>
      <c r="F39" s="141">
        <f t="shared" si="0"/>
        <v>0</v>
      </c>
      <c r="G39" s="141">
        <f t="shared" si="0"/>
        <v>0</v>
      </c>
      <c r="H39" s="141">
        <f t="shared" si="0"/>
        <v>2</v>
      </c>
      <c r="I39" s="142"/>
    </row>
    <row r="40" spans="1:10" ht="10.95" customHeight="1">
      <c r="A40" s="136"/>
      <c r="B40" s="129"/>
      <c r="C40" s="129"/>
      <c r="D40" s="129"/>
      <c r="E40" s="129"/>
      <c r="F40" s="144" t="s">
        <v>230</v>
      </c>
      <c r="G40" s="145" t="s">
        <v>231</v>
      </c>
      <c r="H40" s="146">
        <f>ROUND(SUM(B39:H39),5)</f>
        <v>2</v>
      </c>
    </row>
    <row r="41" spans="1:10" ht="10.95" customHeight="1">
      <c r="A41" s="136"/>
      <c r="B41" s="129"/>
      <c r="C41" s="129"/>
      <c r="D41" s="129"/>
      <c r="E41" s="147"/>
      <c r="F41" s="148"/>
      <c r="G41" s="149"/>
      <c r="H41" s="150"/>
      <c r="I41" s="147"/>
    </row>
    <row r="42" spans="1:10" ht="10.95" customHeight="1">
      <c r="A42" s="128" t="s">
        <v>232</v>
      </c>
      <c r="B42" s="128"/>
      <c r="C42" s="128"/>
      <c r="D42" s="128"/>
      <c r="E42" s="128"/>
      <c r="F42" s="128"/>
      <c r="G42" s="128"/>
      <c r="H42" s="128"/>
    </row>
    <row r="43" spans="1:10" ht="10.95" customHeight="1">
      <c r="A43" s="133"/>
      <c r="B43" s="151"/>
      <c r="C43" s="151"/>
      <c r="D43" s="151"/>
      <c r="E43" s="133" t="s">
        <v>215</v>
      </c>
      <c r="F43" s="133" t="s">
        <v>216</v>
      </c>
      <c r="G43" s="133" t="s">
        <v>217</v>
      </c>
      <c r="H43" s="133" t="s">
        <v>218</v>
      </c>
    </row>
    <row r="44" spans="1:10" ht="10.95" customHeight="1">
      <c r="A44" s="133" t="s">
        <v>219</v>
      </c>
      <c r="B44" s="133" t="s">
        <v>220</v>
      </c>
      <c r="C44" s="133" t="s">
        <v>221</v>
      </c>
      <c r="D44" s="133" t="s">
        <v>222</v>
      </c>
      <c r="E44" s="133" t="s">
        <v>223</v>
      </c>
      <c r="F44" s="133" t="s">
        <v>224</v>
      </c>
      <c r="G44" s="133" t="s">
        <v>225</v>
      </c>
      <c r="H44" s="133" t="s">
        <v>226</v>
      </c>
    </row>
    <row r="45" spans="1:10" ht="10.95" customHeight="1">
      <c r="A45" s="133">
        <v>0</v>
      </c>
      <c r="B45" s="141">
        <f t="shared" ref="B45:H58" si="1">ROUND((+B6*B25),5)</f>
        <v>0</v>
      </c>
      <c r="C45" s="141">
        <f t="shared" si="1"/>
        <v>0</v>
      </c>
      <c r="D45" s="141">
        <f t="shared" si="1"/>
        <v>0</v>
      </c>
      <c r="E45" s="141">
        <f t="shared" si="1"/>
        <v>0</v>
      </c>
      <c r="F45" s="141">
        <f t="shared" si="1"/>
        <v>0</v>
      </c>
      <c r="G45" s="141">
        <f t="shared" si="1"/>
        <v>0</v>
      </c>
      <c r="H45" s="141">
        <f t="shared" si="1"/>
        <v>1.2473000000000001</v>
      </c>
      <c r="I45" s="142"/>
      <c r="J45" s="136"/>
    </row>
    <row r="46" spans="1:10" ht="10.95" customHeight="1">
      <c r="A46" s="133">
        <v>1</v>
      </c>
      <c r="B46" s="141">
        <f t="shared" si="1"/>
        <v>0</v>
      </c>
      <c r="C46" s="141">
        <f t="shared" si="1"/>
        <v>0</v>
      </c>
      <c r="D46" s="141">
        <f t="shared" si="1"/>
        <v>0</v>
      </c>
      <c r="E46" s="141">
        <f t="shared" si="1"/>
        <v>0</v>
      </c>
      <c r="F46" s="141">
        <f t="shared" si="1"/>
        <v>0</v>
      </c>
      <c r="G46" s="141">
        <f t="shared" si="1"/>
        <v>0</v>
      </c>
      <c r="H46" s="141">
        <f t="shared" si="1"/>
        <v>0</v>
      </c>
      <c r="I46" s="142"/>
      <c r="J46" s="136"/>
    </row>
    <row r="47" spans="1:10" ht="10.95" customHeight="1">
      <c r="A47" s="133">
        <v>2</v>
      </c>
      <c r="B47" s="141">
        <f t="shared" si="1"/>
        <v>0</v>
      </c>
      <c r="C47" s="141">
        <f t="shared" si="1"/>
        <v>0</v>
      </c>
      <c r="D47" s="141">
        <f t="shared" si="1"/>
        <v>0</v>
      </c>
      <c r="E47" s="141">
        <f t="shared" si="1"/>
        <v>0</v>
      </c>
      <c r="F47" s="141">
        <f t="shared" si="1"/>
        <v>0</v>
      </c>
      <c r="G47" s="141">
        <f t="shared" si="1"/>
        <v>0</v>
      </c>
      <c r="H47" s="141">
        <f t="shared" si="1"/>
        <v>0</v>
      </c>
      <c r="I47" s="142"/>
      <c r="J47" s="136"/>
    </row>
    <row r="48" spans="1:10" ht="10.95" customHeight="1">
      <c r="A48" s="133">
        <v>3</v>
      </c>
      <c r="B48" s="141">
        <f t="shared" si="1"/>
        <v>0</v>
      </c>
      <c r="C48" s="141">
        <f t="shared" si="1"/>
        <v>0</v>
      </c>
      <c r="D48" s="141">
        <f t="shared" si="1"/>
        <v>0</v>
      </c>
      <c r="E48" s="141">
        <f t="shared" si="1"/>
        <v>0</v>
      </c>
      <c r="F48" s="141">
        <f t="shared" si="1"/>
        <v>0</v>
      </c>
      <c r="G48" s="141">
        <f t="shared" si="1"/>
        <v>0</v>
      </c>
      <c r="H48" s="141">
        <f t="shared" si="1"/>
        <v>1.3929</v>
      </c>
      <c r="I48" s="142"/>
      <c r="J48" s="136"/>
    </row>
    <row r="49" spans="1:10" ht="10.95" customHeight="1">
      <c r="A49" s="133">
        <v>4</v>
      </c>
      <c r="B49" s="141">
        <f t="shared" si="1"/>
        <v>0</v>
      </c>
      <c r="C49" s="141">
        <f t="shared" si="1"/>
        <v>0</v>
      </c>
      <c r="D49" s="141">
        <f t="shared" si="1"/>
        <v>0</v>
      </c>
      <c r="E49" s="141">
        <f t="shared" si="1"/>
        <v>0</v>
      </c>
      <c r="F49" s="141">
        <f t="shared" si="1"/>
        <v>0</v>
      </c>
      <c r="G49" s="141">
        <f t="shared" si="1"/>
        <v>0</v>
      </c>
      <c r="H49" s="141">
        <f t="shared" si="1"/>
        <v>0</v>
      </c>
      <c r="I49" s="142"/>
      <c r="J49" s="136"/>
    </row>
    <row r="50" spans="1:10" ht="10.95" customHeight="1">
      <c r="A50" s="133">
        <v>5</v>
      </c>
      <c r="B50" s="141">
        <f t="shared" si="1"/>
        <v>0</v>
      </c>
      <c r="C50" s="141">
        <f t="shared" si="1"/>
        <v>0</v>
      </c>
      <c r="D50" s="141">
        <f t="shared" si="1"/>
        <v>0</v>
      </c>
      <c r="E50" s="141">
        <f t="shared" si="1"/>
        <v>0</v>
      </c>
      <c r="F50" s="141">
        <f t="shared" si="1"/>
        <v>0</v>
      </c>
      <c r="G50" s="141">
        <f t="shared" si="1"/>
        <v>0</v>
      </c>
      <c r="H50" s="141">
        <f t="shared" si="1"/>
        <v>0</v>
      </c>
      <c r="I50" s="142"/>
      <c r="J50" s="136"/>
    </row>
    <row r="51" spans="1:10" ht="10.95" customHeight="1">
      <c r="A51" s="133">
        <v>6</v>
      </c>
      <c r="B51" s="141">
        <f t="shared" si="1"/>
        <v>0</v>
      </c>
      <c r="C51" s="141">
        <f t="shared" si="1"/>
        <v>0</v>
      </c>
      <c r="D51" s="141">
        <f t="shared" si="1"/>
        <v>0</v>
      </c>
      <c r="E51" s="141">
        <f t="shared" si="1"/>
        <v>0</v>
      </c>
      <c r="F51" s="141">
        <f t="shared" si="1"/>
        <v>0</v>
      </c>
      <c r="G51" s="141">
        <f t="shared" si="1"/>
        <v>0</v>
      </c>
      <c r="H51" s="141">
        <f t="shared" si="1"/>
        <v>0</v>
      </c>
      <c r="I51" s="142"/>
      <c r="J51" s="136"/>
    </row>
    <row r="52" spans="1:10" ht="10.95" customHeight="1">
      <c r="A52" s="133">
        <v>7</v>
      </c>
      <c r="B52" s="141">
        <f t="shared" si="1"/>
        <v>0</v>
      </c>
      <c r="C52" s="141">
        <f t="shared" si="1"/>
        <v>0</v>
      </c>
      <c r="D52" s="141">
        <f t="shared" si="1"/>
        <v>0</v>
      </c>
      <c r="E52" s="141">
        <f t="shared" si="1"/>
        <v>0</v>
      </c>
      <c r="F52" s="141">
        <f t="shared" si="1"/>
        <v>0</v>
      </c>
      <c r="G52" s="141">
        <f t="shared" si="1"/>
        <v>0</v>
      </c>
      <c r="H52" s="141">
        <f t="shared" si="1"/>
        <v>0</v>
      </c>
      <c r="I52" s="142"/>
      <c r="J52" s="136"/>
    </row>
    <row r="53" spans="1:10" ht="10.95" customHeight="1">
      <c r="A53" s="133">
        <v>8</v>
      </c>
      <c r="B53" s="141">
        <f t="shared" si="1"/>
        <v>0</v>
      </c>
      <c r="C53" s="141">
        <f t="shared" si="1"/>
        <v>0</v>
      </c>
      <c r="D53" s="141">
        <f t="shared" si="1"/>
        <v>0</v>
      </c>
      <c r="E53" s="141">
        <f t="shared" si="1"/>
        <v>0</v>
      </c>
      <c r="F53" s="141">
        <f t="shared" si="1"/>
        <v>0</v>
      </c>
      <c r="G53" s="141">
        <f t="shared" si="1"/>
        <v>0</v>
      </c>
      <c r="H53" s="141">
        <f t="shared" si="1"/>
        <v>0</v>
      </c>
      <c r="I53" s="142"/>
      <c r="J53" s="136"/>
    </row>
    <row r="54" spans="1:10" ht="10.95" customHeight="1">
      <c r="A54" s="133">
        <v>9</v>
      </c>
      <c r="B54" s="141">
        <f t="shared" si="1"/>
        <v>0</v>
      </c>
      <c r="C54" s="141">
        <f t="shared" si="1"/>
        <v>0</v>
      </c>
      <c r="D54" s="141">
        <f t="shared" si="1"/>
        <v>0</v>
      </c>
      <c r="E54" s="141">
        <f t="shared" si="1"/>
        <v>0</v>
      </c>
      <c r="F54" s="141">
        <f t="shared" si="1"/>
        <v>0</v>
      </c>
      <c r="G54" s="141">
        <f t="shared" si="1"/>
        <v>0</v>
      </c>
      <c r="H54" s="141">
        <f t="shared" si="1"/>
        <v>0</v>
      </c>
      <c r="I54" s="142"/>
      <c r="J54" s="136"/>
    </row>
    <row r="55" spans="1:10" ht="10.95" customHeight="1">
      <c r="A55" s="133">
        <v>10</v>
      </c>
      <c r="B55" s="141">
        <f t="shared" si="1"/>
        <v>0</v>
      </c>
      <c r="C55" s="141">
        <f t="shared" si="1"/>
        <v>0</v>
      </c>
      <c r="D55" s="141">
        <f t="shared" si="1"/>
        <v>0</v>
      </c>
      <c r="E55" s="141">
        <f t="shared" si="1"/>
        <v>0</v>
      </c>
      <c r="F55" s="141">
        <f t="shared" si="1"/>
        <v>0</v>
      </c>
      <c r="G55" s="141">
        <f t="shared" si="1"/>
        <v>0</v>
      </c>
      <c r="H55" s="141">
        <f t="shared" si="1"/>
        <v>0</v>
      </c>
      <c r="I55" s="142"/>
      <c r="J55" s="136"/>
    </row>
    <row r="56" spans="1:10" ht="10.95" customHeight="1">
      <c r="A56" s="133">
        <v>11</v>
      </c>
      <c r="B56" s="141">
        <f t="shared" si="1"/>
        <v>0</v>
      </c>
      <c r="C56" s="141">
        <f t="shared" si="1"/>
        <v>0</v>
      </c>
      <c r="D56" s="141">
        <f t="shared" si="1"/>
        <v>0</v>
      </c>
      <c r="E56" s="141">
        <f t="shared" si="1"/>
        <v>0</v>
      </c>
      <c r="F56" s="141">
        <f t="shared" si="1"/>
        <v>0</v>
      </c>
      <c r="G56" s="141">
        <f t="shared" si="1"/>
        <v>0</v>
      </c>
      <c r="H56" s="141">
        <f t="shared" si="1"/>
        <v>0</v>
      </c>
      <c r="I56" s="142"/>
      <c r="J56" s="136"/>
    </row>
    <row r="57" spans="1:10" ht="10.95" customHeight="1">
      <c r="A57" s="133">
        <v>12</v>
      </c>
      <c r="B57" s="141">
        <f t="shared" si="1"/>
        <v>0</v>
      </c>
      <c r="C57" s="141">
        <f t="shared" si="1"/>
        <v>0</v>
      </c>
      <c r="D57" s="141">
        <f t="shared" si="1"/>
        <v>0</v>
      </c>
      <c r="E57" s="141">
        <f t="shared" si="1"/>
        <v>0</v>
      </c>
      <c r="F57" s="141">
        <f t="shared" si="1"/>
        <v>0</v>
      </c>
      <c r="G57" s="141">
        <f t="shared" si="1"/>
        <v>0</v>
      </c>
      <c r="H57" s="141">
        <f t="shared" si="1"/>
        <v>0</v>
      </c>
      <c r="I57" s="142"/>
      <c r="J57" s="136"/>
    </row>
    <row r="58" spans="1:10" ht="10.95" customHeight="1">
      <c r="A58" s="133" t="s">
        <v>227</v>
      </c>
      <c r="B58" s="141">
        <f t="shared" si="1"/>
        <v>0</v>
      </c>
      <c r="C58" s="141">
        <f t="shared" si="1"/>
        <v>0</v>
      </c>
      <c r="D58" s="141">
        <f t="shared" si="1"/>
        <v>0</v>
      </c>
      <c r="E58" s="141">
        <f t="shared" si="1"/>
        <v>0</v>
      </c>
      <c r="F58" s="141">
        <f t="shared" si="1"/>
        <v>0</v>
      </c>
      <c r="G58" s="141">
        <f t="shared" si="1"/>
        <v>0</v>
      </c>
      <c r="H58" s="141">
        <f t="shared" si="1"/>
        <v>0</v>
      </c>
      <c r="I58" s="142"/>
      <c r="J58" s="136"/>
    </row>
    <row r="59" spans="1:10" s="153" customFormat="1" ht="10.95" customHeight="1">
      <c r="A59" s="133" t="s">
        <v>229</v>
      </c>
      <c r="B59" s="141">
        <f t="shared" ref="B59:H59" si="2">ROUND(SUM(B45:B58),5)</f>
        <v>0</v>
      </c>
      <c r="C59" s="141">
        <f t="shared" si="2"/>
        <v>0</v>
      </c>
      <c r="D59" s="141">
        <f t="shared" si="2"/>
        <v>0</v>
      </c>
      <c r="E59" s="141">
        <f t="shared" si="2"/>
        <v>0</v>
      </c>
      <c r="F59" s="141">
        <f t="shared" si="2"/>
        <v>0</v>
      </c>
      <c r="G59" s="141">
        <f t="shared" si="2"/>
        <v>0</v>
      </c>
      <c r="H59" s="141">
        <f t="shared" si="2"/>
        <v>2.6402000000000001</v>
      </c>
      <c r="I59" s="152"/>
    </row>
    <row r="60" spans="1:10" ht="16.95" customHeight="1">
      <c r="A60" s="136"/>
      <c r="B60" s="154"/>
      <c r="C60" s="154"/>
      <c r="D60" s="154"/>
      <c r="E60" s="154"/>
      <c r="F60" s="155" t="s">
        <v>233</v>
      </c>
      <c r="G60" s="156" t="s">
        <v>234</v>
      </c>
      <c r="H60" s="157">
        <f>ROUND(SUM(B59:H59),5)</f>
        <v>2.6402000000000001</v>
      </c>
    </row>
    <row r="61" spans="1:10" ht="10.95" customHeight="1">
      <c r="A61" s="136"/>
      <c r="B61" s="158"/>
      <c r="C61" s="158"/>
      <c r="D61" s="158"/>
      <c r="E61" s="158"/>
      <c r="F61" s="159" t="s">
        <v>235</v>
      </c>
      <c r="G61" s="160" t="s">
        <v>236</v>
      </c>
      <c r="H61" s="161">
        <f>IF(H40=0,0,ROUND(H60/H40,6))</f>
        <v>1.3201000000000001</v>
      </c>
    </row>
    <row r="62" spans="1:10" ht="10.95" customHeight="1">
      <c r="A62" s="136"/>
      <c r="B62" s="129"/>
      <c r="C62" s="129"/>
      <c r="D62" s="129"/>
      <c r="E62" s="129"/>
      <c r="F62" s="129"/>
      <c r="G62" s="129"/>
      <c r="H62" s="129"/>
    </row>
    <row r="63" spans="1:10" ht="10.95" customHeight="1">
      <c r="A63" s="162"/>
      <c r="B63" s="129"/>
      <c r="C63" s="129"/>
      <c r="D63" s="129"/>
      <c r="E63" s="129"/>
      <c r="F63" s="129"/>
      <c r="G63" s="129"/>
      <c r="H63" s="129"/>
    </row>
    <row r="64" spans="1:10" ht="10.95" customHeight="1">
      <c r="A64" s="162"/>
    </row>
    <row r="65" spans="1:1" ht="10.95" customHeight="1">
      <c r="A65" s="162"/>
    </row>
    <row r="66" spans="1:1" ht="10.95" customHeight="1">
      <c r="A66" s="162"/>
    </row>
    <row r="67" spans="1:1" ht="10.95" customHeight="1">
      <c r="A67" s="162"/>
    </row>
    <row r="68" spans="1:1" ht="10.95" customHeight="1">
      <c r="A68" s="162"/>
    </row>
    <row r="69" spans="1:1" ht="10.95" customHeight="1">
      <c r="A69" s="162"/>
    </row>
    <row r="70" spans="1:1" ht="10.95" customHeight="1">
      <c r="A70" s="162"/>
    </row>
    <row r="71" spans="1:1" ht="10.95" customHeight="1">
      <c r="A71" s="162"/>
    </row>
    <row r="72" spans="1:1" ht="10.95" customHeight="1">
      <c r="A72" s="162"/>
    </row>
    <row r="73" spans="1:1" ht="10.95" customHeight="1">
      <c r="A73" s="162"/>
    </row>
    <row r="74" spans="1:1" ht="10.95" customHeight="1">
      <c r="A74" s="162"/>
    </row>
    <row r="75" spans="1:1" ht="10.95" customHeight="1">
      <c r="A75" s="162"/>
    </row>
    <row r="76" spans="1:1" ht="10.95" customHeight="1">
      <c r="A76" s="162"/>
    </row>
    <row r="77" spans="1:1" ht="10.95" customHeight="1">
      <c r="A77" s="162"/>
    </row>
    <row r="78" spans="1:1" ht="10.95" customHeight="1">
      <c r="A78" s="162"/>
    </row>
    <row r="79" spans="1:1" ht="10.95" customHeight="1">
      <c r="A79" s="162"/>
    </row>
    <row r="80" spans="1:1" ht="10.95" customHeight="1">
      <c r="A80" s="162"/>
    </row>
    <row r="81" spans="1:1" ht="10.95" customHeight="1">
      <c r="A81" s="162"/>
    </row>
    <row r="82" spans="1:1" ht="10.95" customHeight="1">
      <c r="A82" s="162"/>
    </row>
    <row r="83" spans="1:1" ht="10.95" customHeight="1">
      <c r="A83" s="162"/>
    </row>
    <row r="84" spans="1:1" ht="10.95" customHeight="1">
      <c r="A84" s="162"/>
    </row>
    <row r="85" spans="1:1" ht="10.95" customHeight="1">
      <c r="A85" s="162"/>
    </row>
    <row r="86" spans="1:1" ht="10.95" customHeight="1">
      <c r="A86" s="162"/>
    </row>
    <row r="87" spans="1:1" ht="10.95" customHeight="1">
      <c r="A87" s="162"/>
    </row>
    <row r="88" spans="1:1" ht="10.95" customHeight="1">
      <c r="A88" s="162"/>
    </row>
    <row r="89" spans="1:1" ht="10.95" customHeight="1">
      <c r="A89" s="162"/>
    </row>
    <row r="90" spans="1:1" ht="10.95" customHeight="1">
      <c r="A90" s="162"/>
    </row>
    <row r="91" spans="1:1" ht="10.95" customHeight="1">
      <c r="A91" s="162"/>
    </row>
    <row r="92" spans="1:1" ht="10.95" customHeight="1">
      <c r="A92" s="162"/>
    </row>
    <row r="93" spans="1:1" ht="10.95" customHeight="1">
      <c r="A93" s="162"/>
    </row>
    <row r="94" spans="1:1" ht="10.95" customHeight="1">
      <c r="A94" s="162"/>
    </row>
    <row r="95" spans="1:1" ht="10.95" customHeight="1">
      <c r="A95" s="162"/>
    </row>
    <row r="96" spans="1:1" ht="10.95" customHeight="1">
      <c r="A96" s="162"/>
    </row>
    <row r="97" spans="1:1" ht="10.95" customHeight="1">
      <c r="A97" s="162"/>
    </row>
    <row r="98" spans="1:1" ht="10.95" customHeight="1">
      <c r="A98" s="162"/>
    </row>
    <row r="99" spans="1:1" ht="10.95" customHeight="1">
      <c r="A99" s="162"/>
    </row>
    <row r="100" spans="1:1" ht="10.95" customHeight="1">
      <c r="A100" s="162"/>
    </row>
    <row r="101" spans="1:1" ht="10.95" customHeight="1">
      <c r="A101" s="162"/>
    </row>
    <row r="102" spans="1:1" ht="10.95" customHeight="1">
      <c r="A102" s="162"/>
    </row>
    <row r="103" spans="1:1" ht="10.95" customHeight="1">
      <c r="A103" s="162"/>
    </row>
    <row r="104" spans="1:1" ht="10.95" customHeight="1">
      <c r="A104" s="162"/>
    </row>
    <row r="105" spans="1:1" ht="10.95" customHeight="1">
      <c r="A105" s="162"/>
    </row>
    <row r="106" spans="1:1" ht="10.95" customHeight="1">
      <c r="A106" s="162"/>
    </row>
    <row r="107" spans="1:1" ht="10.95" customHeight="1">
      <c r="A107" s="162"/>
    </row>
    <row r="108" spans="1:1" ht="10.95" customHeight="1">
      <c r="A108" s="162"/>
    </row>
    <row r="109" spans="1:1" ht="10.95" customHeight="1">
      <c r="A109" s="162"/>
    </row>
    <row r="110" spans="1:1" ht="10.95" customHeight="1">
      <c r="A110" s="162"/>
    </row>
    <row r="111" spans="1:1" ht="10.95" customHeight="1">
      <c r="A111" s="162"/>
    </row>
    <row r="112" spans="1:1" ht="10.95" customHeight="1">
      <c r="A112" s="162"/>
    </row>
    <row r="113" spans="1:1" ht="10.95" customHeight="1">
      <c r="A113" s="162"/>
    </row>
    <row r="114" spans="1:1" ht="10.95" customHeight="1">
      <c r="A114" s="162"/>
    </row>
    <row r="115" spans="1:1" ht="10.95" customHeight="1">
      <c r="A115" s="162"/>
    </row>
    <row r="116" spans="1:1" ht="10.95" customHeight="1">
      <c r="A116" s="162"/>
    </row>
    <row r="117" spans="1:1" ht="10.95" customHeight="1">
      <c r="A117" s="162"/>
    </row>
    <row r="118" spans="1:1" ht="10.95" customHeight="1">
      <c r="A118" s="162"/>
    </row>
    <row r="119" spans="1:1" ht="10.95" customHeight="1">
      <c r="A119" s="162"/>
    </row>
    <row r="120" spans="1:1" ht="10.95" customHeight="1">
      <c r="A120" s="162"/>
    </row>
    <row r="121" spans="1:1" ht="10.95" customHeight="1">
      <c r="A121" s="162"/>
    </row>
    <row r="122" spans="1:1" ht="10.95" customHeight="1">
      <c r="A122" s="162"/>
    </row>
    <row r="123" spans="1:1" ht="10.95" customHeight="1">
      <c r="A123" s="162"/>
    </row>
    <row r="124" spans="1:1" ht="10.95" customHeight="1">
      <c r="A124" s="162"/>
    </row>
    <row r="125" spans="1:1" ht="10.95" customHeight="1">
      <c r="A125" s="162"/>
    </row>
    <row r="126" spans="1:1" ht="10.95" customHeight="1">
      <c r="A126" s="162"/>
    </row>
    <row r="127" spans="1:1" ht="10.95" customHeight="1">
      <c r="A127" s="162"/>
    </row>
  </sheetData>
  <pageMargins left="0.7" right="0.7" top="0.75" bottom="0.75" header="0.3" footer="0.3"/>
  <pageSetup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82"/>
  <dimension ref="A1:M45"/>
  <sheetViews>
    <sheetView showGridLines="0" topLeftCell="A4" workbookViewId="0">
      <selection activeCell="C13" sqref="C13"/>
    </sheetView>
  </sheetViews>
  <sheetFormatPr defaultColWidth="10.44140625" defaultRowHeight="13.2"/>
  <cols>
    <col min="1" max="1" width="11" style="268" customWidth="1"/>
    <col min="2" max="2" width="12.21875" style="268" customWidth="1"/>
    <col min="3" max="3" width="11.77734375" style="268" customWidth="1"/>
    <col min="4" max="4" width="16.77734375" style="268" customWidth="1"/>
    <col min="5" max="5" width="14.44140625" style="268" customWidth="1"/>
    <col min="6" max="6" width="12.77734375" style="268" customWidth="1"/>
    <col min="7" max="7" width="6.77734375" style="268" customWidth="1"/>
    <col min="8" max="9" width="5.77734375" style="268" customWidth="1"/>
    <col min="10" max="10" width="8.77734375" style="268" customWidth="1"/>
    <col min="11" max="11" width="7.21875" style="268" customWidth="1"/>
    <col min="12" max="12" width="10.44140625" style="272"/>
    <col min="13" max="13" width="13.5546875" style="268" customWidth="1"/>
    <col min="14" max="16384" width="10.44140625" style="268"/>
  </cols>
  <sheetData>
    <row r="1" spans="1:13" ht="13.8">
      <c r="A1" s="336"/>
      <c r="E1" s="181"/>
      <c r="F1" s="181"/>
      <c r="G1" s="181"/>
      <c r="H1" s="181"/>
      <c r="I1" s="181"/>
      <c r="J1" s="181"/>
      <c r="K1" s="181"/>
    </row>
    <row r="2" spans="1:13" s="333" customFormat="1" ht="19.2" customHeight="1">
      <c r="A2" s="335" t="s">
        <v>257</v>
      </c>
      <c r="B2" s="335"/>
      <c r="C2" s="268"/>
      <c r="D2" s="268"/>
      <c r="E2" s="181"/>
      <c r="F2" s="181"/>
      <c r="G2" s="181"/>
      <c r="H2" s="181"/>
      <c r="I2" s="181"/>
      <c r="J2" s="181"/>
      <c r="K2" s="181"/>
      <c r="L2" s="334"/>
    </row>
    <row r="3" spans="1:13" s="175" customFormat="1" ht="16.2" customHeight="1">
      <c r="A3" s="329">
        <v>1</v>
      </c>
      <c r="B3" s="332" t="s">
        <v>381</v>
      </c>
      <c r="C3" s="330"/>
      <c r="D3" s="329"/>
      <c r="E3" s="181"/>
      <c r="F3" s="181"/>
      <c r="G3" s="181"/>
      <c r="H3" s="181"/>
      <c r="I3" s="181"/>
      <c r="J3" s="181"/>
      <c r="K3" s="181"/>
      <c r="L3" s="275"/>
    </row>
    <row r="4" spans="1:13" s="175" customFormat="1" ht="16.2" customHeight="1">
      <c r="A4" s="329">
        <v>2</v>
      </c>
      <c r="B4" s="331" t="s">
        <v>380</v>
      </c>
      <c r="C4" s="330"/>
      <c r="D4" s="329"/>
      <c r="E4" s="181"/>
      <c r="F4" s="181"/>
      <c r="G4" s="181"/>
      <c r="H4" s="181"/>
      <c r="I4" s="181"/>
      <c r="J4" s="181"/>
      <c r="K4" s="181"/>
      <c r="L4" s="275"/>
    </row>
    <row r="5" spans="1:13" s="175" customFormat="1" ht="16.2" customHeight="1">
      <c r="A5" s="174">
        <v>3</v>
      </c>
      <c r="B5" s="331" t="s">
        <v>379</v>
      </c>
      <c r="C5" s="330"/>
      <c r="D5" s="329"/>
      <c r="E5" s="181"/>
      <c r="F5" s="181"/>
      <c r="G5" s="181"/>
      <c r="H5" s="181"/>
      <c r="I5" s="181"/>
      <c r="J5" s="181"/>
      <c r="K5" s="181"/>
      <c r="L5" s="275"/>
    </row>
    <row r="6" spans="1:13" s="175" customFormat="1" ht="16.2" customHeight="1">
      <c r="A6" s="174">
        <v>4</v>
      </c>
      <c r="B6" s="328" t="s">
        <v>378</v>
      </c>
      <c r="C6" s="327"/>
      <c r="D6" s="174"/>
      <c r="E6" s="181"/>
      <c r="F6" s="181"/>
      <c r="G6" s="181"/>
      <c r="H6" s="181"/>
      <c r="I6" s="181"/>
      <c r="J6" s="181"/>
      <c r="K6" s="181"/>
      <c r="L6" s="275"/>
    </row>
    <row r="7" spans="1:13" s="175" customFormat="1" ht="16.2" customHeight="1">
      <c r="A7" s="174">
        <v>5</v>
      </c>
      <c r="B7" s="326" t="s">
        <v>258</v>
      </c>
      <c r="C7" s="325"/>
      <c r="D7" s="324"/>
      <c r="E7" s="181"/>
      <c r="F7" s="181"/>
      <c r="G7" s="181"/>
      <c r="H7" s="181"/>
      <c r="I7" s="181"/>
      <c r="J7" s="181"/>
      <c r="K7" s="181"/>
      <c r="L7" s="275"/>
    </row>
    <row r="8" spans="1:13" s="175" customFormat="1" ht="12.6" customHeight="1">
      <c r="E8" s="181"/>
      <c r="F8" s="181"/>
      <c r="G8" s="181"/>
      <c r="H8" s="181"/>
      <c r="I8" s="181"/>
      <c r="L8" s="275"/>
    </row>
    <row r="9" spans="1:13" customFormat="1" ht="14.4"/>
    <row r="10" spans="1:13" customFormat="1" ht="14.4"/>
    <row r="11" spans="1:13" customFormat="1" ht="14.4"/>
    <row r="12" spans="1:13" s="177" customFormat="1" ht="43.95" customHeight="1">
      <c r="A12" s="320" t="s">
        <v>240</v>
      </c>
      <c r="B12" s="321" t="s">
        <v>377</v>
      </c>
      <c r="C12" s="320" t="s">
        <v>117</v>
      </c>
      <c r="D12" s="319" t="s">
        <v>376</v>
      </c>
      <c r="E12" s="181"/>
      <c r="F12" s="181"/>
      <c r="G12" s="181"/>
      <c r="H12" s="181"/>
      <c r="I12" s="181"/>
      <c r="L12" s="306"/>
    </row>
    <row r="13" spans="1:13" s="177" customFormat="1" ht="15" customHeight="1">
      <c r="A13" s="318" t="s">
        <v>241</v>
      </c>
      <c r="B13" s="317">
        <f>+'Master Budget Sheet'!AB146</f>
        <v>1</v>
      </c>
      <c r="C13" s="316">
        <f>+'Master Budget Sheet'!BK168</f>
        <v>47859</v>
      </c>
      <c r="D13" s="315">
        <f t="shared" ref="D13:D25" si="0">B13*C13</f>
        <v>47859</v>
      </c>
      <c r="E13" s="181"/>
      <c r="F13" s="181"/>
      <c r="G13" s="181"/>
      <c r="H13" s="181"/>
      <c r="I13" s="181"/>
      <c r="L13" s="306"/>
    </row>
    <row r="14" spans="1:13" s="177" customFormat="1" ht="13.8">
      <c r="A14" s="312" t="s">
        <v>460</v>
      </c>
      <c r="B14" s="317">
        <f>+'Master Budget Sheet'!AB147</f>
        <v>1</v>
      </c>
      <c r="C14" s="303">
        <f>+'Master Budget Sheet'!BK169</f>
        <v>48859</v>
      </c>
      <c r="D14" s="313">
        <f t="shared" si="0"/>
        <v>48859</v>
      </c>
      <c r="E14" s="181"/>
      <c r="F14" s="181"/>
      <c r="G14" s="181"/>
      <c r="H14" s="181"/>
      <c r="I14" s="181"/>
      <c r="L14" s="306"/>
    </row>
    <row r="15" spans="1:13" s="181" customFormat="1" ht="13.8">
      <c r="A15" s="314" t="s">
        <v>461</v>
      </c>
      <c r="B15" s="317">
        <f>+'Master Budget Sheet'!AB148</f>
        <v>1.5</v>
      </c>
      <c r="C15" s="303">
        <f>+'Master Budget Sheet'!BK170</f>
        <v>49859</v>
      </c>
      <c r="D15" s="313">
        <f t="shared" si="0"/>
        <v>74788.5</v>
      </c>
      <c r="J15" s="177"/>
      <c r="K15" s="177"/>
      <c r="L15" s="306"/>
      <c r="M15" s="177"/>
    </row>
    <row r="16" spans="1:13" s="181" customFormat="1" ht="13.8">
      <c r="A16" s="312" t="s">
        <v>246</v>
      </c>
      <c r="B16" s="317">
        <f>+'Master Budget Sheet'!AB149</f>
        <v>1</v>
      </c>
      <c r="C16" s="303">
        <f>+'Master Budget Sheet'!BK171</f>
        <v>50859</v>
      </c>
      <c r="D16" s="313">
        <f t="shared" si="0"/>
        <v>50859</v>
      </c>
      <c r="J16" s="177"/>
      <c r="K16" s="177"/>
      <c r="L16" s="306"/>
      <c r="M16" s="177"/>
    </row>
    <row r="17" spans="1:12" s="177" customFormat="1" ht="13.8">
      <c r="A17" s="312" t="s">
        <v>247</v>
      </c>
      <c r="B17" s="317">
        <f>+'Master Budget Sheet'!AB150</f>
        <v>1.2</v>
      </c>
      <c r="C17" s="303">
        <f>+'Master Budget Sheet'!BK172</f>
        <v>52609</v>
      </c>
      <c r="D17" s="313">
        <f t="shared" si="0"/>
        <v>63130.799999999996</v>
      </c>
      <c r="H17" s="181"/>
      <c r="I17" s="181"/>
      <c r="L17" s="306"/>
    </row>
    <row r="18" spans="1:12" s="177" customFormat="1" ht="13.8">
      <c r="A18" s="312" t="s">
        <v>248</v>
      </c>
      <c r="B18" s="317">
        <f>+'Master Budget Sheet'!AB151</f>
        <v>1.3</v>
      </c>
      <c r="C18" s="303">
        <f>+'Master Budget Sheet'!BK173</f>
        <v>54359</v>
      </c>
      <c r="D18" s="313">
        <f t="shared" si="0"/>
        <v>70666.7</v>
      </c>
      <c r="H18" s="181"/>
      <c r="I18" s="181"/>
      <c r="L18" s="306"/>
    </row>
    <row r="19" spans="1:12" s="177" customFormat="1" ht="13.8">
      <c r="A19" s="312" t="s">
        <v>249</v>
      </c>
      <c r="B19" s="317">
        <f>+'Master Budget Sheet'!AB152</f>
        <v>1</v>
      </c>
      <c r="C19" s="303">
        <f>+'Master Budget Sheet'!BK174</f>
        <v>56109</v>
      </c>
      <c r="D19" s="313">
        <f t="shared" si="0"/>
        <v>56109</v>
      </c>
      <c r="H19" s="181"/>
      <c r="I19" s="181"/>
      <c r="L19" s="306"/>
    </row>
    <row r="20" spans="1:12" s="177" customFormat="1" ht="13.95" customHeight="1">
      <c r="A20" s="312" t="s">
        <v>250</v>
      </c>
      <c r="B20" s="317">
        <f>+'Master Budget Sheet'!AB153</f>
        <v>1</v>
      </c>
      <c r="C20" s="303">
        <f>+'Master Budget Sheet'!BK175</f>
        <v>57859</v>
      </c>
      <c r="D20" s="313">
        <f t="shared" si="0"/>
        <v>57859</v>
      </c>
      <c r="E20" s="175"/>
      <c r="F20" s="175"/>
      <c r="G20" s="175"/>
      <c r="H20" s="181"/>
      <c r="I20" s="181"/>
      <c r="L20" s="306"/>
    </row>
    <row r="21" spans="1:12" s="177" customFormat="1" ht="13.8">
      <c r="A21" s="312" t="s">
        <v>440</v>
      </c>
      <c r="B21" s="317">
        <f>+'Master Budget Sheet'!AB154</f>
        <v>2</v>
      </c>
      <c r="C21" s="303">
        <f>+'Master Budget Sheet'!BK176</f>
        <v>61359</v>
      </c>
      <c r="D21" s="313">
        <f t="shared" si="0"/>
        <v>122718</v>
      </c>
      <c r="H21" s="181"/>
      <c r="I21" s="181"/>
      <c r="L21" s="306"/>
    </row>
    <row r="22" spans="1:12" s="177" customFormat="1" ht="13.8">
      <c r="A22" s="312" t="s">
        <v>441</v>
      </c>
      <c r="B22" s="317">
        <f>+'Master Budget Sheet'!AB155</f>
        <v>0</v>
      </c>
      <c r="C22" s="303">
        <f>+'Master Budget Sheet'!BK177</f>
        <v>63359</v>
      </c>
      <c r="D22" s="313">
        <f t="shared" si="0"/>
        <v>0</v>
      </c>
      <c r="H22" s="181"/>
      <c r="I22" s="181"/>
      <c r="L22" s="306"/>
    </row>
    <row r="23" spans="1:12" s="177" customFormat="1" ht="13.8">
      <c r="A23" s="312" t="s">
        <v>442</v>
      </c>
      <c r="B23" s="317">
        <f>+'Master Budget Sheet'!AB156</f>
        <v>0</v>
      </c>
      <c r="C23" s="303">
        <f>+'Master Budget Sheet'!BK178</f>
        <v>65359</v>
      </c>
      <c r="D23" s="313">
        <f t="shared" si="0"/>
        <v>0</v>
      </c>
      <c r="H23" s="181"/>
      <c r="I23" s="181"/>
      <c r="L23" s="306"/>
    </row>
    <row r="24" spans="1:12" s="177" customFormat="1" ht="13.8">
      <c r="A24" s="312" t="s">
        <v>443</v>
      </c>
      <c r="B24" s="317">
        <f>+'Master Budget Sheet'!AB157</f>
        <v>2</v>
      </c>
      <c r="C24" s="303">
        <f>+'Master Budget Sheet'!BK179</f>
        <v>67359</v>
      </c>
      <c r="D24" s="313">
        <f t="shared" si="0"/>
        <v>134718</v>
      </c>
      <c r="H24" s="181"/>
      <c r="I24" s="181"/>
      <c r="L24" s="306"/>
    </row>
    <row r="25" spans="1:12" s="177" customFormat="1" ht="13.8">
      <c r="A25" s="312" t="s">
        <v>444</v>
      </c>
      <c r="B25" s="317">
        <f>+'Master Budget Sheet'!AB158</f>
        <v>2</v>
      </c>
      <c r="C25" s="303">
        <f>+'Master Budget Sheet'!BK180</f>
        <v>69359</v>
      </c>
      <c r="D25" s="311">
        <f t="shared" si="0"/>
        <v>138718</v>
      </c>
      <c r="H25" s="181"/>
      <c r="I25" s="181"/>
      <c r="L25" s="306"/>
    </row>
    <row r="26" spans="1:12" s="177" customFormat="1" ht="14.4" thickBot="1">
      <c r="A26" s="271" t="s">
        <v>375</v>
      </c>
      <c r="B26" s="310">
        <f>SUM(B13:B25)</f>
        <v>15</v>
      </c>
      <c r="D26" s="309" t="s">
        <v>374</v>
      </c>
      <c r="E26" s="308">
        <f>SUM(D13:D25)</f>
        <v>866285</v>
      </c>
      <c r="H26" s="181"/>
      <c r="I26" s="181"/>
      <c r="L26" s="306"/>
    </row>
    <row r="27" spans="1:12" s="177" customFormat="1" ht="14.4" thickTop="1">
      <c r="E27" s="307"/>
      <c r="H27" s="181"/>
      <c r="I27" s="181"/>
      <c r="L27" s="306"/>
    </row>
    <row r="28" spans="1:12" s="175" customFormat="1" ht="13.8">
      <c r="A28" s="283" t="s">
        <v>260</v>
      </c>
      <c r="B28" s="283"/>
      <c r="C28" s="275"/>
      <c r="D28" s="275"/>
      <c r="E28" s="300"/>
      <c r="F28" s="275"/>
      <c r="G28" s="275"/>
      <c r="H28" s="275"/>
      <c r="I28" s="275"/>
      <c r="J28" s="182"/>
      <c r="L28" s="275"/>
    </row>
    <row r="29" spans="1:12" s="175" customFormat="1" ht="21" customHeight="1">
      <c r="A29" s="286" t="s">
        <v>373</v>
      </c>
      <c r="B29" s="286"/>
      <c r="C29" s="286"/>
      <c r="D29" s="286"/>
      <c r="E29" s="300"/>
      <c r="F29" s="275"/>
      <c r="G29" s="275"/>
      <c r="H29" s="275"/>
      <c r="I29" s="275"/>
      <c r="L29" s="275"/>
    </row>
    <row r="30" spans="1:12" s="175" customFormat="1" ht="13.8">
      <c r="A30" s="286" t="s">
        <v>261</v>
      </c>
      <c r="B30" s="285" t="s">
        <v>168</v>
      </c>
      <c r="C30" s="283" t="s">
        <v>372</v>
      </c>
      <c r="D30" s="305" t="s">
        <v>259</v>
      </c>
      <c r="E30" s="290"/>
      <c r="F30" s="283"/>
      <c r="G30" s="283"/>
      <c r="H30" s="283"/>
      <c r="I30" s="283"/>
      <c r="L30" s="275"/>
    </row>
    <row r="31" spans="1:12" s="179" customFormat="1" ht="13.8">
      <c r="A31" s="304" t="s">
        <v>262</v>
      </c>
      <c r="B31" s="317">
        <f>+'Master Budget Sheet'!AB160</f>
        <v>3</v>
      </c>
      <c r="C31" s="303">
        <f>+'Master Budget Sheet'!BK182</f>
        <v>2000</v>
      </c>
      <c r="D31" s="302">
        <f>B31*C31</f>
        <v>6000</v>
      </c>
      <c r="E31" s="300"/>
      <c r="F31" s="275"/>
      <c r="G31" s="275"/>
      <c r="H31" s="275"/>
      <c r="I31" s="275"/>
      <c r="L31" s="275"/>
    </row>
    <row r="32" spans="1:12" s="175" customFormat="1" ht="13.8">
      <c r="A32" s="304" t="s">
        <v>263</v>
      </c>
      <c r="B32" s="317">
        <f>+'Master Budget Sheet'!AB161</f>
        <v>5</v>
      </c>
      <c r="C32" s="303">
        <f>+'Master Budget Sheet'!BK183</f>
        <v>3500</v>
      </c>
      <c r="D32" s="302">
        <f>B32*C32</f>
        <v>17500</v>
      </c>
      <c r="E32" s="300"/>
      <c r="F32" s="275"/>
      <c r="G32" s="275"/>
      <c r="H32" s="275"/>
      <c r="I32" s="275"/>
      <c r="L32" s="275"/>
    </row>
    <row r="33" spans="1:12" s="175" customFormat="1" ht="13.8">
      <c r="A33" s="275"/>
      <c r="C33" s="275"/>
      <c r="D33" s="279" t="s">
        <v>264</v>
      </c>
      <c r="E33" s="277">
        <f>SUM(D31:D32)</f>
        <v>23500</v>
      </c>
      <c r="F33" s="275"/>
      <c r="G33" s="275"/>
      <c r="H33" s="275"/>
      <c r="I33" s="275"/>
      <c r="L33" s="275"/>
    </row>
    <row r="34" spans="1:12" s="175" customFormat="1" ht="23.55" customHeight="1">
      <c r="A34" s="301" t="s">
        <v>362</v>
      </c>
      <c r="C34" s="275"/>
      <c r="D34" s="275"/>
      <c r="E34" s="300"/>
      <c r="F34" s="275"/>
      <c r="G34" s="275"/>
      <c r="H34" s="275"/>
      <c r="I34" s="275"/>
      <c r="L34" s="275"/>
    </row>
    <row r="35" spans="1:12" s="175" customFormat="1" ht="13.8">
      <c r="A35" s="299" t="s">
        <v>371</v>
      </c>
      <c r="B35" s="299"/>
      <c r="C35" s="298"/>
      <c r="D35" s="298"/>
      <c r="E35" s="297"/>
      <c r="F35" s="275"/>
      <c r="G35" s="275"/>
      <c r="H35" s="275"/>
      <c r="I35" s="275"/>
      <c r="J35" s="182"/>
      <c r="L35" s="275"/>
    </row>
    <row r="36" spans="1:12" s="175" customFormat="1" ht="25.2" customHeight="1">
      <c r="A36" s="1237" t="s">
        <v>370</v>
      </c>
      <c r="B36" s="1238"/>
      <c r="C36" s="1238"/>
      <c r="D36" s="1238"/>
      <c r="E36" s="1238"/>
      <c r="F36" s="275"/>
      <c r="G36" s="275"/>
      <c r="H36" s="275"/>
      <c r="I36" s="275"/>
      <c r="L36" s="275"/>
    </row>
    <row r="37" spans="1:12" s="175" customFormat="1" ht="13.8">
      <c r="A37" s="296" t="s">
        <v>235</v>
      </c>
      <c r="B37" s="294" t="s">
        <v>168</v>
      </c>
      <c r="C37" s="295" t="s">
        <v>369</v>
      </c>
      <c r="D37" s="294" t="s">
        <v>259</v>
      </c>
      <c r="E37" s="290"/>
      <c r="F37" s="283"/>
      <c r="G37" s="283"/>
      <c r="H37" s="283"/>
      <c r="I37" s="283"/>
      <c r="L37" s="275"/>
    </row>
    <row r="38" spans="1:12" s="175" customFormat="1" ht="13.8">
      <c r="A38" s="293" t="s">
        <v>368</v>
      </c>
      <c r="B38" s="317">
        <f>+'Master Budget Sheet'!AB162</f>
        <v>1</v>
      </c>
      <c r="C38" s="292">
        <v>3000</v>
      </c>
      <c r="D38" s="291">
        <f>B38*C38</f>
        <v>3000</v>
      </c>
      <c r="E38" s="290"/>
      <c r="F38" s="283"/>
      <c r="G38" s="283"/>
      <c r="H38" s="283"/>
      <c r="I38" s="283"/>
      <c r="L38" s="275"/>
    </row>
    <row r="39" spans="1:12" s="175" customFormat="1" ht="13.8">
      <c r="A39" s="286"/>
      <c r="B39" s="285"/>
      <c r="C39" s="289"/>
      <c r="D39" s="288" t="s">
        <v>367</v>
      </c>
      <c r="E39" s="287">
        <f>D38</f>
        <v>3000</v>
      </c>
      <c r="F39" s="283"/>
      <c r="G39" s="283"/>
      <c r="H39" s="283"/>
      <c r="I39" s="283"/>
      <c r="L39" s="275"/>
    </row>
    <row r="40" spans="1:12" s="175" customFormat="1" ht="13.8">
      <c r="A40" s="286"/>
      <c r="B40" s="285"/>
      <c r="C40" s="284"/>
      <c r="D40" s="279"/>
      <c r="E40" s="277"/>
      <c r="F40" s="283"/>
      <c r="G40" s="283"/>
      <c r="H40" s="283"/>
      <c r="I40" s="283"/>
      <c r="L40" s="275"/>
    </row>
    <row r="41" spans="1:12" ht="13.8">
      <c r="A41" s="175"/>
      <c r="B41" s="175"/>
      <c r="C41" s="282" t="s">
        <v>366</v>
      </c>
      <c r="D41" s="281"/>
      <c r="E41" s="280">
        <v>0</v>
      </c>
      <c r="F41" s="270" t="s">
        <v>365</v>
      </c>
      <c r="G41" s="270"/>
      <c r="H41" s="270"/>
      <c r="I41" s="175"/>
      <c r="J41" s="175"/>
      <c r="K41" s="175"/>
      <c r="L41" s="275"/>
    </row>
    <row r="42" spans="1:12" s="175" customFormat="1" ht="13.8">
      <c r="A42" s="275"/>
      <c r="B42" s="275"/>
      <c r="C42" s="279" t="s">
        <v>364</v>
      </c>
      <c r="D42" s="278"/>
      <c r="E42" s="277">
        <f>SUM(E26:E41)</f>
        <v>892785</v>
      </c>
      <c r="F42" s="275"/>
      <c r="G42" s="275"/>
      <c r="H42" s="275"/>
      <c r="I42" s="275"/>
      <c r="L42" s="275"/>
    </row>
    <row r="43" spans="1:12" s="175" customFormat="1" ht="14.4" thickBot="1">
      <c r="A43" s="272"/>
      <c r="B43" s="272"/>
      <c r="D43" s="275" t="s">
        <v>363</v>
      </c>
      <c r="E43" s="276">
        <f>E42/B26</f>
        <v>59519</v>
      </c>
      <c r="F43" s="275"/>
      <c r="G43" s="275"/>
      <c r="H43" s="275"/>
      <c r="I43" s="275"/>
      <c r="L43" s="275"/>
    </row>
    <row r="44" spans="1:12" s="175" customFormat="1" ht="15" customHeight="1" thickTop="1">
      <c r="A44" s="268"/>
      <c r="B44" s="268"/>
      <c r="L44" s="275"/>
    </row>
    <row r="45" spans="1:12" s="273" customFormat="1" ht="67.95" customHeight="1">
      <c r="A45"/>
      <c r="B45"/>
      <c r="C45"/>
      <c r="D45"/>
      <c r="E45"/>
      <c r="F45"/>
      <c r="L45" s="274"/>
    </row>
  </sheetData>
  <mergeCells count="1">
    <mergeCell ref="A36:E36"/>
  </mergeCells>
  <pageMargins left="0.75" right="0.25" top="0" bottom="0" header="0.3" footer="0.3"/>
  <pageSetup orientation="portrait" horizontalDpi="1800" verticalDpi="1800"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84">
    <tabColor rgb="FF002060"/>
    <pageSetUpPr fitToPage="1"/>
  </sheetPr>
  <dimension ref="A1:O56"/>
  <sheetViews>
    <sheetView topLeftCell="A16" workbookViewId="0">
      <selection activeCell="K29" sqref="K29"/>
    </sheetView>
  </sheetViews>
  <sheetFormatPr defaultColWidth="10.44140625" defaultRowHeight="10.199999999999999"/>
  <cols>
    <col min="1" max="1" width="6.21875" style="185" customWidth="1"/>
    <col min="2" max="2" width="6.77734375" style="185" customWidth="1"/>
    <col min="3" max="3" width="7.44140625" style="185" customWidth="1"/>
    <col min="4" max="4" width="9.21875" style="185" customWidth="1"/>
    <col min="5" max="5" width="7.44140625" style="185" customWidth="1"/>
    <col min="6" max="6" width="8.5546875" style="185" customWidth="1"/>
    <col min="7" max="7" width="8.21875" style="185" customWidth="1"/>
    <col min="8" max="8" width="8.5546875" style="185" customWidth="1"/>
    <col min="9" max="9" width="1.44140625" style="185" customWidth="1"/>
    <col min="10" max="10" width="13.77734375" style="185" customWidth="1"/>
    <col min="11" max="11" width="11" style="185" customWidth="1"/>
    <col min="12" max="12" width="13.5546875" style="185" customWidth="1"/>
    <col min="13" max="14" width="12.77734375" style="185" customWidth="1"/>
    <col min="15" max="15" width="10.44140625" style="185"/>
    <col min="16" max="16" width="3.77734375" style="185" customWidth="1"/>
    <col min="17" max="16384" width="10.44140625" style="185"/>
  </cols>
  <sheetData>
    <row r="1" spans="1:13" s="455" customFormat="1" ht="18">
      <c r="L1" s="456"/>
    </row>
    <row r="2" spans="1:13" s="172" customFormat="1" ht="18" customHeight="1">
      <c r="A2" s="504" t="s">
        <v>470</v>
      </c>
      <c r="C2" s="171"/>
    </row>
    <row r="3" spans="1:13" s="454" customFormat="1" ht="15" customHeight="1">
      <c r="A3" s="513">
        <v>1</v>
      </c>
      <c r="B3" s="514" t="s">
        <v>466</v>
      </c>
      <c r="C3" s="515"/>
      <c r="D3" s="516"/>
      <c r="E3" s="511"/>
      <c r="F3" s="511"/>
      <c r="G3" s="173"/>
    </row>
    <row r="4" spans="1:13" s="454" customFormat="1" ht="31.95" customHeight="1">
      <c r="A4" s="517">
        <v>2</v>
      </c>
      <c r="B4" s="518" t="s">
        <v>467</v>
      </c>
      <c r="C4" s="519"/>
      <c r="D4" s="520"/>
      <c r="E4" s="511"/>
      <c r="F4" s="511"/>
      <c r="G4" s="173"/>
    </row>
    <row r="5" spans="1:13" s="454" customFormat="1" ht="15" customHeight="1">
      <c r="A5" s="517">
        <v>4</v>
      </c>
      <c r="B5" s="521" t="s">
        <v>468</v>
      </c>
      <c r="C5" s="513"/>
      <c r="D5" s="517"/>
      <c r="E5" s="512"/>
      <c r="F5" s="512"/>
      <c r="G5" s="173"/>
    </row>
    <row r="6" spans="1:13" ht="19.95" customHeight="1">
      <c r="A6" s="517">
        <v>5</v>
      </c>
      <c r="B6" s="518" t="s">
        <v>469</v>
      </c>
      <c r="C6" s="519"/>
      <c r="D6" s="520"/>
      <c r="E6" s="451"/>
      <c r="F6" s="451"/>
      <c r="G6" s="450"/>
    </row>
    <row r="9" spans="1:13" s="184" customFormat="1" ht="12">
      <c r="A9" s="371"/>
      <c r="B9" s="371"/>
      <c r="C9" s="371"/>
      <c r="D9" s="371"/>
      <c r="E9" s="371" t="s">
        <v>391</v>
      </c>
      <c r="F9" s="371"/>
      <c r="G9" s="371"/>
      <c r="H9" s="371"/>
      <c r="I9" s="371"/>
      <c r="J9" s="371"/>
      <c r="K9" s="371"/>
      <c r="L9" s="371"/>
      <c r="M9" s="371"/>
    </row>
    <row r="10" spans="1:13" s="421" customFormat="1" ht="12" customHeight="1">
      <c r="A10" s="449" t="s">
        <v>390</v>
      </c>
      <c r="B10" s="170"/>
      <c r="C10" s="170"/>
      <c r="D10" s="448"/>
      <c r="E10" s="374" t="s">
        <v>215</v>
      </c>
      <c r="F10" s="374" t="s">
        <v>216</v>
      </c>
      <c r="G10" s="374" t="s">
        <v>217</v>
      </c>
      <c r="H10" s="374" t="s">
        <v>218</v>
      </c>
      <c r="I10" s="444"/>
      <c r="J10" s="445" t="s">
        <v>304</v>
      </c>
      <c r="K10" s="445" t="s">
        <v>238</v>
      </c>
      <c r="L10" s="447" t="s">
        <v>386</v>
      </c>
      <c r="M10" s="446"/>
    </row>
    <row r="11" spans="1:13" s="421" customFormat="1" ht="24.6" customHeight="1">
      <c r="A11" s="166" t="s">
        <v>239</v>
      </c>
      <c r="B11" s="374" t="s">
        <v>220</v>
      </c>
      <c r="C11" s="374" t="s">
        <v>221</v>
      </c>
      <c r="D11" s="374" t="s">
        <v>222</v>
      </c>
      <c r="E11" s="374" t="s">
        <v>223</v>
      </c>
      <c r="F11" s="374" t="s">
        <v>224</v>
      </c>
      <c r="G11" s="374" t="s">
        <v>225</v>
      </c>
      <c r="H11" s="374" t="s">
        <v>226</v>
      </c>
      <c r="I11" s="444"/>
      <c r="J11" s="167" t="s">
        <v>240</v>
      </c>
      <c r="K11" s="167" t="s">
        <v>169</v>
      </c>
      <c r="L11" s="445" t="s">
        <v>389</v>
      </c>
      <c r="M11" s="419"/>
    </row>
    <row r="12" spans="1:13" s="421" customFormat="1" ht="12">
      <c r="A12" s="164"/>
      <c r="B12" s="164"/>
      <c r="C12" s="164"/>
      <c r="D12" s="164"/>
      <c r="E12" s="164"/>
      <c r="F12" s="164"/>
      <c r="G12" s="164"/>
      <c r="H12" s="164"/>
      <c r="I12" s="444"/>
      <c r="J12" s="443" t="s">
        <v>241</v>
      </c>
      <c r="K12" s="443" t="s">
        <v>242</v>
      </c>
      <c r="L12" s="442">
        <v>33400</v>
      </c>
      <c r="M12" s="419"/>
    </row>
    <row r="13" spans="1:13" s="421" customFormat="1" ht="12">
      <c r="A13" s="166">
        <v>0</v>
      </c>
      <c r="B13" s="430" t="s">
        <v>243</v>
      </c>
      <c r="C13" s="430" t="s">
        <v>243</v>
      </c>
      <c r="D13" s="430" t="s">
        <v>243</v>
      </c>
      <c r="E13" s="430" t="s">
        <v>243</v>
      </c>
      <c r="F13" s="430" t="s">
        <v>243</v>
      </c>
      <c r="G13" s="430" t="s">
        <v>243</v>
      </c>
      <c r="H13" s="430" t="s">
        <v>243</v>
      </c>
      <c r="I13" s="165"/>
      <c r="J13" s="441"/>
      <c r="K13" s="440">
        <v>1</v>
      </c>
      <c r="L13" s="439"/>
      <c r="M13" s="419"/>
    </row>
    <row r="14" spans="1:13" s="421" customFormat="1" ht="12">
      <c r="A14" s="166">
        <v>1</v>
      </c>
      <c r="B14" s="430" t="s">
        <v>243</v>
      </c>
      <c r="C14" s="430" t="s">
        <v>243</v>
      </c>
      <c r="D14" s="430" t="s">
        <v>243</v>
      </c>
      <c r="E14" s="430" t="s">
        <v>243</v>
      </c>
      <c r="F14" s="430" t="s">
        <v>243</v>
      </c>
      <c r="G14" s="430" t="s">
        <v>243</v>
      </c>
      <c r="H14" s="430" t="s">
        <v>243</v>
      </c>
      <c r="I14" s="165"/>
      <c r="J14" s="438" t="s">
        <v>243</v>
      </c>
      <c r="K14" s="437" t="s">
        <v>244</v>
      </c>
      <c r="L14" s="436">
        <v>34250</v>
      </c>
      <c r="M14" s="419"/>
    </row>
    <row r="15" spans="1:13" s="421" customFormat="1" ht="12">
      <c r="A15" s="166">
        <v>2</v>
      </c>
      <c r="B15" s="430" t="s">
        <v>243</v>
      </c>
      <c r="C15" s="430" t="s">
        <v>243</v>
      </c>
      <c r="D15" s="430" t="s">
        <v>243</v>
      </c>
      <c r="E15" s="430" t="s">
        <v>243</v>
      </c>
      <c r="F15" s="430" t="s">
        <v>243</v>
      </c>
      <c r="G15" s="430" t="s">
        <v>243</v>
      </c>
      <c r="H15" s="430" t="s">
        <v>243</v>
      </c>
      <c r="I15" s="165"/>
      <c r="J15" s="168" t="s">
        <v>235</v>
      </c>
      <c r="K15" s="435">
        <v>1.3426</v>
      </c>
      <c r="L15" s="168"/>
      <c r="M15" s="419"/>
    </row>
    <row r="16" spans="1:13" s="421" customFormat="1" ht="12">
      <c r="A16" s="166">
        <v>3</v>
      </c>
      <c r="B16" s="430" t="s">
        <v>243</v>
      </c>
      <c r="C16" s="430" t="s">
        <v>243</v>
      </c>
      <c r="D16" s="430" t="s">
        <v>243</v>
      </c>
      <c r="E16" s="430" t="s">
        <v>243</v>
      </c>
      <c r="F16" s="430" t="s">
        <v>243</v>
      </c>
      <c r="G16" s="430" t="s">
        <v>245</v>
      </c>
      <c r="H16" s="423" t="s">
        <v>245</v>
      </c>
      <c r="I16" s="165"/>
      <c r="J16" s="398" t="s">
        <v>245</v>
      </c>
      <c r="K16" s="434">
        <v>1.3929</v>
      </c>
      <c r="L16" s="398">
        <v>35117</v>
      </c>
      <c r="M16" s="419"/>
    </row>
    <row r="17" spans="1:13" s="421" customFormat="1" ht="12">
      <c r="A17" s="166">
        <v>4</v>
      </c>
      <c r="B17" s="430" t="s">
        <v>243</v>
      </c>
      <c r="C17" s="430" t="s">
        <v>243</v>
      </c>
      <c r="D17" s="430" t="s">
        <v>243</v>
      </c>
      <c r="E17" s="430" t="s">
        <v>243</v>
      </c>
      <c r="F17" s="430" t="s">
        <v>243</v>
      </c>
      <c r="G17" s="423" t="s">
        <v>245</v>
      </c>
      <c r="H17" s="391" t="s">
        <v>246</v>
      </c>
      <c r="I17" s="165"/>
      <c r="J17" s="391" t="s">
        <v>246</v>
      </c>
      <c r="K17" s="429">
        <v>1.4451000000000001</v>
      </c>
      <c r="L17" s="391">
        <v>37249</v>
      </c>
      <c r="M17" s="419"/>
    </row>
    <row r="18" spans="1:13" s="421" customFormat="1" ht="12">
      <c r="A18" s="166">
        <v>5</v>
      </c>
      <c r="B18" s="430" t="s">
        <v>243</v>
      </c>
      <c r="C18" s="430" t="s">
        <v>243</v>
      </c>
      <c r="D18" s="430" t="s">
        <v>243</v>
      </c>
      <c r="E18" s="430" t="s">
        <v>243</v>
      </c>
      <c r="F18" s="423" t="s">
        <v>245</v>
      </c>
      <c r="G18" s="391" t="s">
        <v>246</v>
      </c>
      <c r="H18" s="396" t="s">
        <v>247</v>
      </c>
      <c r="I18" s="165"/>
      <c r="J18" s="396" t="s">
        <v>247</v>
      </c>
      <c r="K18" s="433">
        <v>1.4993000000000001</v>
      </c>
      <c r="L18" s="396">
        <v>38758</v>
      </c>
      <c r="M18" s="419"/>
    </row>
    <row r="19" spans="1:13" s="421" customFormat="1" ht="12">
      <c r="A19" s="166">
        <v>6</v>
      </c>
      <c r="B19" s="430" t="s">
        <v>243</v>
      </c>
      <c r="C19" s="430" t="s">
        <v>243</v>
      </c>
      <c r="D19" s="430" t="s">
        <v>243</v>
      </c>
      <c r="E19" s="423" t="s">
        <v>245</v>
      </c>
      <c r="F19" s="391" t="s">
        <v>246</v>
      </c>
      <c r="G19" s="396" t="s">
        <v>247</v>
      </c>
      <c r="H19" s="395" t="s">
        <v>248</v>
      </c>
      <c r="I19" s="165"/>
      <c r="J19" s="395" t="s">
        <v>248</v>
      </c>
      <c r="K19" s="432">
        <v>1.5555000000000001</v>
      </c>
      <c r="L19" s="395">
        <v>39546</v>
      </c>
      <c r="M19" s="419"/>
    </row>
    <row r="20" spans="1:13" s="421" customFormat="1" ht="12">
      <c r="A20" s="166">
        <v>7</v>
      </c>
      <c r="B20" s="430" t="s">
        <v>243</v>
      </c>
      <c r="C20" s="430" t="s">
        <v>243</v>
      </c>
      <c r="D20" s="423" t="s">
        <v>245</v>
      </c>
      <c r="E20" s="391" t="s">
        <v>246</v>
      </c>
      <c r="F20" s="396" t="s">
        <v>247</v>
      </c>
      <c r="G20" s="395" t="s">
        <v>248</v>
      </c>
      <c r="H20" s="394" t="s">
        <v>249</v>
      </c>
      <c r="I20" s="165"/>
      <c r="J20" s="394" t="s">
        <v>249</v>
      </c>
      <c r="K20" s="431">
        <v>1.6137999999999999</v>
      </c>
      <c r="L20" s="394">
        <v>41113</v>
      </c>
      <c r="M20" s="419"/>
    </row>
    <row r="21" spans="1:13" s="421" customFormat="1" ht="12">
      <c r="A21" s="166">
        <v>8</v>
      </c>
      <c r="B21" s="430" t="s">
        <v>243</v>
      </c>
      <c r="C21" s="423" t="s">
        <v>245</v>
      </c>
      <c r="D21" s="391" t="s">
        <v>246</v>
      </c>
      <c r="E21" s="396" t="s">
        <v>247</v>
      </c>
      <c r="F21" s="395" t="s">
        <v>248</v>
      </c>
      <c r="G21" s="394" t="s">
        <v>249</v>
      </c>
      <c r="H21" s="427" t="s">
        <v>250</v>
      </c>
      <c r="I21" s="165"/>
      <c r="J21" s="391" t="s">
        <v>250</v>
      </c>
      <c r="K21" s="429">
        <v>1.6742999999999999</v>
      </c>
      <c r="L21" s="391">
        <v>41961</v>
      </c>
      <c r="M21" s="419"/>
    </row>
    <row r="22" spans="1:13" s="421" customFormat="1" ht="12">
      <c r="A22" s="166">
        <v>9</v>
      </c>
      <c r="B22" s="423" t="s">
        <v>245</v>
      </c>
      <c r="C22" s="391" t="s">
        <v>246</v>
      </c>
      <c r="D22" s="396" t="s">
        <v>247</v>
      </c>
      <c r="E22" s="395" t="s">
        <v>248</v>
      </c>
      <c r="F22" s="394" t="s">
        <v>249</v>
      </c>
      <c r="G22" s="427" t="s">
        <v>250</v>
      </c>
      <c r="H22" s="390" t="s">
        <v>251</v>
      </c>
      <c r="I22" s="165"/>
      <c r="J22" s="390" t="s">
        <v>251</v>
      </c>
      <c r="K22" s="428">
        <v>1.7371000000000001</v>
      </c>
      <c r="L22" s="390">
        <v>43591</v>
      </c>
      <c r="M22" s="419"/>
    </row>
    <row r="23" spans="1:13" s="421" customFormat="1" ht="12">
      <c r="A23" s="166">
        <v>10</v>
      </c>
      <c r="B23" s="423" t="s">
        <v>245</v>
      </c>
      <c r="C23" s="396" t="s">
        <v>247</v>
      </c>
      <c r="D23" s="395" t="s">
        <v>248</v>
      </c>
      <c r="E23" s="394" t="s">
        <v>249</v>
      </c>
      <c r="F23" s="427" t="s">
        <v>250</v>
      </c>
      <c r="G23" s="390" t="s">
        <v>251</v>
      </c>
      <c r="H23" s="391" t="s">
        <v>252</v>
      </c>
      <c r="I23" s="165"/>
      <c r="J23" s="388" t="s">
        <v>252</v>
      </c>
      <c r="K23" s="426">
        <v>1.8022</v>
      </c>
      <c r="L23" s="388">
        <v>44503</v>
      </c>
      <c r="M23" s="419"/>
    </row>
    <row r="24" spans="1:13" s="421" customFormat="1" ht="12">
      <c r="A24" s="166">
        <v>11</v>
      </c>
      <c r="B24" s="423" t="s">
        <v>245</v>
      </c>
      <c r="C24" s="396" t="s">
        <v>247</v>
      </c>
      <c r="D24" s="395" t="s">
        <v>248</v>
      </c>
      <c r="E24" s="394" t="s">
        <v>249</v>
      </c>
      <c r="F24" s="390" t="s">
        <v>251</v>
      </c>
      <c r="G24" s="391" t="s">
        <v>252</v>
      </c>
      <c r="H24" s="386" t="s">
        <v>253</v>
      </c>
      <c r="I24" s="165"/>
      <c r="J24" s="386" t="s">
        <v>253</v>
      </c>
      <c r="K24" s="425">
        <v>1.8697999999999999</v>
      </c>
      <c r="L24" s="386">
        <v>46201</v>
      </c>
      <c r="M24" s="419"/>
    </row>
    <row r="25" spans="1:13" s="421" customFormat="1" ht="12">
      <c r="A25" s="166">
        <v>12</v>
      </c>
      <c r="B25" s="423" t="s">
        <v>245</v>
      </c>
      <c r="C25" s="396" t="s">
        <v>247</v>
      </c>
      <c r="D25" s="395" t="s">
        <v>248</v>
      </c>
      <c r="E25" s="394" t="s">
        <v>249</v>
      </c>
      <c r="F25" s="390" t="s">
        <v>251</v>
      </c>
      <c r="G25" s="386" t="s">
        <v>253</v>
      </c>
      <c r="H25" s="384" t="s">
        <v>254</v>
      </c>
      <c r="I25" s="165"/>
      <c r="J25" s="384" t="s">
        <v>254</v>
      </c>
      <c r="K25" s="424">
        <v>1.9399</v>
      </c>
      <c r="L25" s="384">
        <v>47183</v>
      </c>
      <c r="M25" s="419"/>
    </row>
    <row r="26" spans="1:13" s="421" customFormat="1" ht="12">
      <c r="A26" s="166" t="s">
        <v>255</v>
      </c>
      <c r="B26" s="423" t="s">
        <v>245</v>
      </c>
      <c r="C26" s="396" t="s">
        <v>247</v>
      </c>
      <c r="D26" s="395" t="s">
        <v>248</v>
      </c>
      <c r="E26" s="394" t="s">
        <v>249</v>
      </c>
      <c r="F26" s="390" t="s">
        <v>251</v>
      </c>
      <c r="G26" s="386" t="s">
        <v>253</v>
      </c>
      <c r="H26" s="376" t="s">
        <v>256</v>
      </c>
      <c r="I26" s="165"/>
      <c r="J26" s="376" t="s">
        <v>256</v>
      </c>
      <c r="K26" s="422">
        <v>2.0125999999999999</v>
      </c>
      <c r="L26" s="376">
        <v>48202</v>
      </c>
      <c r="M26" s="419"/>
    </row>
    <row r="27" spans="1:13" ht="6" customHeight="1">
      <c r="A27" s="420"/>
      <c r="B27" s="163"/>
      <c r="C27" s="163"/>
      <c r="D27" s="163"/>
      <c r="E27" s="163"/>
      <c r="F27" s="163"/>
      <c r="G27" s="163"/>
      <c r="H27" s="163"/>
      <c r="I27" s="163"/>
      <c r="J27" s="163"/>
      <c r="K27" s="163"/>
      <c r="L27" s="419"/>
      <c r="M27" s="419"/>
    </row>
    <row r="28" spans="1:13" ht="34.950000000000003" customHeight="1" thickBot="1">
      <c r="A28" s="169" t="s">
        <v>388</v>
      </c>
      <c r="B28" s="170"/>
      <c r="C28" s="418"/>
      <c r="D28" s="417"/>
      <c r="E28" s="374" t="s">
        <v>215</v>
      </c>
      <c r="F28" s="374" t="s">
        <v>216</v>
      </c>
      <c r="G28" s="374" t="s">
        <v>217</v>
      </c>
      <c r="H28" s="374" t="s">
        <v>218</v>
      </c>
      <c r="I28" s="163"/>
      <c r="J28" s="416" t="s">
        <v>387</v>
      </c>
      <c r="K28" s="414" t="s">
        <v>405</v>
      </c>
      <c r="L28" s="415" t="s">
        <v>406</v>
      </c>
      <c r="M28" s="414" t="s">
        <v>405</v>
      </c>
    </row>
    <row r="29" spans="1:13" ht="12.6" customHeight="1" thickBot="1">
      <c r="A29" s="166" t="s">
        <v>239</v>
      </c>
      <c r="B29" s="374" t="s">
        <v>220</v>
      </c>
      <c r="C29" s="374" t="s">
        <v>221</v>
      </c>
      <c r="D29" s="374" t="s">
        <v>222</v>
      </c>
      <c r="E29" s="374" t="s">
        <v>223</v>
      </c>
      <c r="F29" s="374" t="s">
        <v>224</v>
      </c>
      <c r="G29" s="374" t="s">
        <v>225</v>
      </c>
      <c r="H29" s="374" t="s">
        <v>226</v>
      </c>
      <c r="I29" s="163"/>
      <c r="J29" s="413" t="s">
        <v>265</v>
      </c>
      <c r="K29" s="316">
        <f>+'Master Budget Sheet'!BK168</f>
        <v>47859</v>
      </c>
      <c r="L29" s="411">
        <f>+'Master Budget Sheet'!AB174</f>
        <v>0</v>
      </c>
      <c r="M29" s="410">
        <f>K29*L29</f>
        <v>0</v>
      </c>
    </row>
    <row r="30" spans="1:13" s="405" customFormat="1" ht="15.6" customHeight="1" thickBot="1">
      <c r="A30" s="393">
        <v>0</v>
      </c>
      <c r="B30" s="392"/>
      <c r="C30" s="392"/>
      <c r="D30" s="392"/>
      <c r="E30" s="392"/>
      <c r="F30" s="392"/>
      <c r="G30" s="392"/>
      <c r="H30" s="392"/>
      <c r="I30" s="163"/>
      <c r="J30" s="409"/>
      <c r="K30" s="408"/>
      <c r="L30" s="407"/>
      <c r="M30" s="406"/>
    </row>
    <row r="31" spans="1:13" ht="12.6" thickBot="1">
      <c r="A31" s="393">
        <v>1</v>
      </c>
      <c r="B31" s="392"/>
      <c r="C31" s="392"/>
      <c r="D31" s="392"/>
      <c r="E31" s="392"/>
      <c r="F31" s="392"/>
      <c r="G31" s="392"/>
      <c r="H31" s="392"/>
      <c r="I31" s="163"/>
      <c r="J31" s="404" t="s">
        <v>243</v>
      </c>
      <c r="K31" s="403">
        <f>+'Master Budget Sheet'!BK169</f>
        <v>48859</v>
      </c>
      <c r="L31" s="411">
        <f>+'Master Budget Sheet'!AB175</f>
        <v>0</v>
      </c>
      <c r="M31" s="402">
        <f>K31*L31</f>
        <v>0</v>
      </c>
    </row>
    <row r="32" spans="1:13" ht="12.6" thickBot="1">
      <c r="A32" s="393">
        <v>2</v>
      </c>
      <c r="B32" s="392"/>
      <c r="C32" s="392"/>
      <c r="D32" s="392"/>
      <c r="E32" s="392"/>
      <c r="F32" s="392"/>
      <c r="G32" s="392"/>
      <c r="H32" s="392"/>
      <c r="I32" s="163"/>
      <c r="J32" s="400"/>
      <c r="K32" s="401"/>
      <c r="L32" s="400"/>
      <c r="M32" s="399"/>
    </row>
    <row r="33" spans="1:14" ht="12.6" thickBot="1">
      <c r="A33" s="393">
        <v>3</v>
      </c>
      <c r="B33" s="392"/>
      <c r="C33" s="392"/>
      <c r="D33" s="392"/>
      <c r="E33" s="392"/>
      <c r="F33" s="392"/>
      <c r="G33" s="392"/>
      <c r="H33" s="383"/>
      <c r="I33" s="163"/>
      <c r="J33" s="398" t="s">
        <v>245</v>
      </c>
      <c r="K33" s="398">
        <f>+'Master Budget Sheet'!BK170</f>
        <v>49859</v>
      </c>
      <c r="L33" s="411">
        <f>+'Master Budget Sheet'!AB176</f>
        <v>0</v>
      </c>
      <c r="M33" s="397">
        <f t="shared" ref="M33:M43" si="0">K33*L33</f>
        <v>0</v>
      </c>
    </row>
    <row r="34" spans="1:14" ht="12.6" thickBot="1">
      <c r="A34" s="393">
        <v>4</v>
      </c>
      <c r="B34" s="392"/>
      <c r="C34" s="392"/>
      <c r="D34" s="392"/>
      <c r="E34" s="392"/>
      <c r="F34" s="392"/>
      <c r="G34" s="383"/>
      <c r="H34" s="387"/>
      <c r="I34" s="163"/>
      <c r="J34" s="391" t="s">
        <v>246</v>
      </c>
      <c r="K34" s="391">
        <f>+'Master Budget Sheet'!BK171</f>
        <v>50859</v>
      </c>
      <c r="L34" s="411">
        <f>+'Master Budget Sheet'!AB177</f>
        <v>0</v>
      </c>
      <c r="M34" s="375">
        <f t="shared" si="0"/>
        <v>0</v>
      </c>
    </row>
    <row r="35" spans="1:14" ht="12.6" thickBot="1">
      <c r="A35" s="393">
        <v>5</v>
      </c>
      <c r="B35" s="392"/>
      <c r="C35" s="392"/>
      <c r="D35" s="392"/>
      <c r="E35" s="392"/>
      <c r="F35" s="383"/>
      <c r="G35" s="387"/>
      <c r="H35" s="382"/>
      <c r="I35" s="163"/>
      <c r="J35" s="396" t="s">
        <v>247</v>
      </c>
      <c r="K35" s="396">
        <f>+'Master Budget Sheet'!BK172</f>
        <v>52609</v>
      </c>
      <c r="L35" s="411">
        <f>+'Master Budget Sheet'!AB178</f>
        <v>0</v>
      </c>
      <c r="M35" s="375">
        <f t="shared" si="0"/>
        <v>0</v>
      </c>
    </row>
    <row r="36" spans="1:14" ht="12.6" thickBot="1">
      <c r="A36" s="393">
        <v>6</v>
      </c>
      <c r="B36" s="392"/>
      <c r="C36" s="392"/>
      <c r="D36" s="392"/>
      <c r="E36" s="383"/>
      <c r="F36" s="387"/>
      <c r="G36" s="382"/>
      <c r="H36" s="381"/>
      <c r="I36" s="163"/>
      <c r="J36" s="395" t="s">
        <v>248</v>
      </c>
      <c r="K36" s="395">
        <f>+'Master Budget Sheet'!BK173</f>
        <v>54359</v>
      </c>
      <c r="L36" s="411">
        <f>+'Master Budget Sheet'!AB179</f>
        <v>0</v>
      </c>
      <c r="M36" s="375">
        <f t="shared" si="0"/>
        <v>0</v>
      </c>
    </row>
    <row r="37" spans="1:14" ht="12.6" thickBot="1">
      <c r="A37" s="393">
        <v>7</v>
      </c>
      <c r="B37" s="392"/>
      <c r="C37" s="392"/>
      <c r="D37" s="383"/>
      <c r="E37" s="387"/>
      <c r="F37" s="382"/>
      <c r="G37" s="381"/>
      <c r="H37" s="380"/>
      <c r="I37" s="163"/>
      <c r="J37" s="394" t="s">
        <v>249</v>
      </c>
      <c r="K37" s="394">
        <f>+'Master Budget Sheet'!BK174</f>
        <v>56109</v>
      </c>
      <c r="L37" s="411">
        <f>+'Master Budget Sheet'!AB180</f>
        <v>1</v>
      </c>
      <c r="M37" s="375">
        <f t="shared" si="0"/>
        <v>56109</v>
      </c>
    </row>
    <row r="38" spans="1:14" ht="12.6" thickBot="1">
      <c r="A38" s="393">
        <v>8</v>
      </c>
      <c r="B38" s="392"/>
      <c r="C38" s="383"/>
      <c r="D38" s="387"/>
      <c r="E38" s="382"/>
      <c r="F38" s="381"/>
      <c r="G38" s="380">
        <v>0</v>
      </c>
      <c r="H38" s="389"/>
      <c r="I38" s="163"/>
      <c r="J38" s="391" t="s">
        <v>250</v>
      </c>
      <c r="K38" s="391">
        <f>+'Master Budget Sheet'!BK175</f>
        <v>57859</v>
      </c>
      <c r="L38" s="411">
        <f>+'Master Budget Sheet'!AB181</f>
        <v>0</v>
      </c>
      <c r="M38" s="375">
        <f t="shared" si="0"/>
        <v>0</v>
      </c>
    </row>
    <row r="39" spans="1:14" ht="12.6" thickBot="1">
      <c r="A39" s="166">
        <v>9</v>
      </c>
      <c r="B39" s="383"/>
      <c r="C39" s="387"/>
      <c r="D39" s="382"/>
      <c r="E39" s="381"/>
      <c r="F39" s="380"/>
      <c r="G39" s="389"/>
      <c r="H39" s="379"/>
      <c r="I39" s="163"/>
      <c r="J39" s="390" t="s">
        <v>251</v>
      </c>
      <c r="K39" s="390">
        <f>+'Master Budget Sheet'!BK176</f>
        <v>61359</v>
      </c>
      <c r="L39" s="411">
        <f>+'Master Budget Sheet'!AB182</f>
        <v>0</v>
      </c>
      <c r="M39" s="375">
        <f t="shared" si="0"/>
        <v>0</v>
      </c>
    </row>
    <row r="40" spans="1:14" ht="12.6" thickBot="1">
      <c r="A40" s="166">
        <v>10</v>
      </c>
      <c r="B40" s="383"/>
      <c r="C40" s="382"/>
      <c r="D40" s="381"/>
      <c r="E40" s="380"/>
      <c r="F40" s="389"/>
      <c r="G40" s="379"/>
      <c r="H40" s="387"/>
      <c r="I40" s="163"/>
      <c r="J40" s="388" t="s">
        <v>252</v>
      </c>
      <c r="K40" s="388">
        <f>+'Master Budget Sheet'!BK177</f>
        <v>63359</v>
      </c>
      <c r="L40" s="411">
        <f>+'Master Budget Sheet'!AB183</f>
        <v>0</v>
      </c>
      <c r="M40" s="375">
        <f t="shared" si="0"/>
        <v>0</v>
      </c>
    </row>
    <row r="41" spans="1:14" ht="12.6" thickBot="1">
      <c r="A41" s="166">
        <v>11</v>
      </c>
      <c r="B41" s="383"/>
      <c r="C41" s="382"/>
      <c r="D41" s="381"/>
      <c r="E41" s="380"/>
      <c r="F41" s="379"/>
      <c r="G41" s="387"/>
      <c r="H41" s="378"/>
      <c r="I41" s="163"/>
      <c r="J41" s="386" t="s">
        <v>253</v>
      </c>
      <c r="K41" s="386">
        <f>+'Master Budget Sheet'!BK178</f>
        <v>65359</v>
      </c>
      <c r="L41" s="411">
        <f>+'Master Budget Sheet'!AB184</f>
        <v>0</v>
      </c>
      <c r="M41" s="375">
        <f t="shared" si="0"/>
        <v>0</v>
      </c>
    </row>
    <row r="42" spans="1:14" ht="12.6" thickBot="1">
      <c r="A42" s="166">
        <v>12</v>
      </c>
      <c r="B42" s="383"/>
      <c r="C42" s="382"/>
      <c r="D42" s="381"/>
      <c r="E42" s="380"/>
      <c r="F42" s="379"/>
      <c r="G42" s="378"/>
      <c r="H42" s="385"/>
      <c r="I42" s="163"/>
      <c r="J42" s="384" t="s">
        <v>254</v>
      </c>
      <c r="K42" s="384">
        <f>+'Master Budget Sheet'!BK179</f>
        <v>67359</v>
      </c>
      <c r="L42" s="411">
        <f>+'Master Budget Sheet'!AB185</f>
        <v>0</v>
      </c>
      <c r="M42" s="375">
        <f t="shared" si="0"/>
        <v>0</v>
      </c>
    </row>
    <row r="43" spans="1:14" ht="12.6" thickBot="1">
      <c r="A43" s="166" t="s">
        <v>255</v>
      </c>
      <c r="B43" s="383"/>
      <c r="C43" s="382"/>
      <c r="D43" s="381"/>
      <c r="E43" s="380"/>
      <c r="F43" s="379"/>
      <c r="G43" s="378">
        <v>0</v>
      </c>
      <c r="H43" s="377"/>
      <c r="I43" s="163"/>
      <c r="J43" s="376" t="s">
        <v>256</v>
      </c>
      <c r="K43" s="376">
        <f>+'Master Budget Sheet'!BK180</f>
        <v>69359</v>
      </c>
      <c r="L43" s="411">
        <f>+'Master Budget Sheet'!AB186</f>
        <v>0</v>
      </c>
      <c r="M43" s="375">
        <f t="shared" si="0"/>
        <v>0</v>
      </c>
    </row>
    <row r="44" spans="1:14" s="184" customFormat="1" ht="12.6" thickBot="1">
      <c r="B44" s="163"/>
      <c r="C44" s="163"/>
      <c r="D44" s="163"/>
      <c r="E44" s="163"/>
      <c r="F44" s="163"/>
      <c r="G44" s="374" t="s">
        <v>53</v>
      </c>
      <c r="H44" s="373">
        <f>SUM(B30:H43)</f>
        <v>0</v>
      </c>
      <c r="I44" s="372"/>
      <c r="J44" s="371"/>
      <c r="K44" s="163"/>
      <c r="L44" s="370">
        <f>SUM(L29:L43)</f>
        <v>1</v>
      </c>
      <c r="M44" s="369">
        <f>SUM(M29:M43)</f>
        <v>56109</v>
      </c>
    </row>
    <row r="45" spans="1:14" ht="4.95" customHeight="1" thickTop="1" thickBot="1">
      <c r="A45" s="163"/>
      <c r="B45" s="163"/>
      <c r="C45" s="163"/>
      <c r="D45" s="163"/>
      <c r="E45" s="163"/>
      <c r="F45" s="163"/>
      <c r="G45" s="350"/>
      <c r="H45" s="163"/>
      <c r="I45" s="163"/>
      <c r="J45" s="163"/>
      <c r="K45" s="163"/>
      <c r="L45" s="163"/>
      <c r="M45" s="163"/>
    </row>
    <row r="46" spans="1:14" s="344" customFormat="1" ht="9.6" customHeight="1">
      <c r="A46" s="163"/>
      <c r="B46" s="163"/>
      <c r="C46" s="163"/>
      <c r="D46" s="163"/>
      <c r="E46" s="163"/>
      <c r="F46" s="163"/>
      <c r="G46" s="368"/>
      <c r="H46" s="163"/>
      <c r="J46" s="367" t="s">
        <v>260</v>
      </c>
      <c r="K46" s="366"/>
      <c r="L46" s="365"/>
      <c r="M46" s="364"/>
      <c r="N46" s="338"/>
    </row>
    <row r="47" spans="1:14" s="344" customFormat="1" ht="12">
      <c r="A47" s="163"/>
      <c r="B47" s="362"/>
      <c r="C47" s="362"/>
      <c r="D47" s="362"/>
      <c r="E47" s="362"/>
      <c r="F47" s="362"/>
      <c r="G47" s="350"/>
      <c r="H47" s="362"/>
      <c r="J47" s="348" t="s">
        <v>385</v>
      </c>
      <c r="K47" s="343"/>
      <c r="L47" s="343"/>
      <c r="M47" s="363"/>
      <c r="N47" s="338"/>
    </row>
    <row r="48" spans="1:14" s="356" customFormat="1" ht="12">
      <c r="A48" s="362"/>
      <c r="B48" s="163"/>
      <c r="C48" s="163"/>
      <c r="D48" s="163"/>
      <c r="E48" s="163"/>
      <c r="F48" s="163"/>
      <c r="G48" s="350"/>
      <c r="H48" s="163"/>
      <c r="J48" s="361" t="s">
        <v>261</v>
      </c>
      <c r="K48" s="360" t="s">
        <v>168</v>
      </c>
      <c r="L48" s="359" t="s">
        <v>372</v>
      </c>
      <c r="M48" s="358" t="s">
        <v>259</v>
      </c>
      <c r="N48" s="357"/>
    </row>
    <row r="49" spans="1:15" s="344" customFormat="1" ht="12">
      <c r="A49" s="163"/>
      <c r="B49" s="163"/>
      <c r="C49" s="163"/>
      <c r="D49" s="163"/>
      <c r="E49" s="163"/>
      <c r="F49" s="163"/>
      <c r="G49" s="350"/>
      <c r="H49" s="163"/>
      <c r="J49" s="355" t="s">
        <v>262</v>
      </c>
      <c r="K49" s="354">
        <f>+'Master Budget Sheet'!AB188</f>
        <v>1</v>
      </c>
      <c r="L49" s="353">
        <f>+'Master Budget Sheet'!BK182</f>
        <v>2000</v>
      </c>
      <c r="M49" s="352">
        <f>K49*L49</f>
        <v>2000</v>
      </c>
      <c r="N49" s="338"/>
    </row>
    <row r="50" spans="1:15" s="344" customFormat="1" ht="12">
      <c r="A50" s="163"/>
      <c r="B50" s="163"/>
      <c r="C50" s="163"/>
      <c r="D50" s="163"/>
      <c r="E50" s="163"/>
      <c r="F50" s="163"/>
      <c r="G50" s="350"/>
      <c r="H50" s="163"/>
      <c r="J50" s="355" t="s">
        <v>263</v>
      </c>
      <c r="K50" s="354">
        <f>+'Master Budget Sheet'!AB189</f>
        <v>1</v>
      </c>
      <c r="L50" s="353">
        <f>+'Master Budget Sheet'!BK183</f>
        <v>3500</v>
      </c>
      <c r="M50" s="352">
        <f>K50*L50</f>
        <v>3500</v>
      </c>
      <c r="N50" s="338"/>
    </row>
    <row r="51" spans="1:15" s="344" customFormat="1" ht="12">
      <c r="A51" s="163"/>
      <c r="B51" s="163"/>
      <c r="C51" s="163"/>
      <c r="D51" s="163"/>
      <c r="E51" s="163"/>
      <c r="F51" s="163"/>
      <c r="G51" s="350"/>
      <c r="H51" s="163"/>
      <c r="I51" s="343"/>
      <c r="J51" s="349"/>
      <c r="K51" s="351"/>
      <c r="L51" s="346" t="s">
        <v>264</v>
      </c>
      <c r="M51" s="345">
        <f>SUM(M49:M50)</f>
        <v>5500</v>
      </c>
      <c r="N51" s="338"/>
    </row>
    <row r="52" spans="1:15" s="344" customFormat="1" ht="13.8">
      <c r="A52" s="163"/>
      <c r="B52" s="163"/>
      <c r="C52" s="163"/>
      <c r="D52" s="163"/>
      <c r="E52" s="163"/>
      <c r="F52" s="163"/>
      <c r="G52" s="350"/>
      <c r="H52" s="163"/>
      <c r="I52" s="343"/>
      <c r="J52" s="349"/>
      <c r="K52" s="282" t="s">
        <v>366</v>
      </c>
      <c r="L52" s="346"/>
      <c r="M52" s="345"/>
      <c r="N52" s="270" t="s">
        <v>384</v>
      </c>
    </row>
    <row r="53" spans="1:15" s="344" customFormat="1" ht="12">
      <c r="A53" s="163"/>
      <c r="B53" s="163"/>
      <c r="C53" s="163"/>
      <c r="D53" s="163"/>
      <c r="E53" s="163"/>
      <c r="F53" s="163"/>
      <c r="G53" s="163"/>
      <c r="H53" s="163"/>
      <c r="I53" s="343"/>
      <c r="J53" s="348"/>
      <c r="K53" s="347"/>
      <c r="L53" s="346" t="s">
        <v>383</v>
      </c>
      <c r="M53" s="345">
        <f>M44+M51</f>
        <v>61609</v>
      </c>
      <c r="N53" s="338"/>
    </row>
    <row r="54" spans="1:15" ht="12.6" thickBot="1">
      <c r="A54" s="163"/>
      <c r="B54" s="163"/>
      <c r="C54" s="163"/>
      <c r="D54" s="163"/>
      <c r="E54" s="163"/>
      <c r="F54" s="163"/>
      <c r="G54" s="163"/>
      <c r="H54" s="163"/>
      <c r="I54" s="343"/>
      <c r="J54" s="342"/>
      <c r="K54" s="341"/>
      <c r="L54" s="340" t="s">
        <v>363</v>
      </c>
      <c r="M54" s="339">
        <f>IF(L44&gt;0, M53/L44,0)</f>
        <v>61609</v>
      </c>
      <c r="N54" s="338"/>
    </row>
    <row r="55" spans="1:15" ht="10.199999999999999" customHeight="1" thickBot="1">
      <c r="A55" s="163"/>
      <c r="I55" s="163"/>
      <c r="J55" s="163"/>
      <c r="K55" s="163"/>
      <c r="L55" s="163"/>
      <c r="M55" s="163"/>
    </row>
    <row r="56" spans="1:15" s="337" customFormat="1" ht="47.55" customHeight="1" thickBot="1">
      <c r="A56" s="1239" t="s">
        <v>382</v>
      </c>
      <c r="B56" s="1240"/>
      <c r="C56" s="1240"/>
      <c r="D56" s="1240"/>
      <c r="E56" s="1240"/>
      <c r="F56" s="1240"/>
      <c r="G56" s="1240"/>
      <c r="H56" s="1240"/>
      <c r="I56" s="1240"/>
      <c r="J56" s="1240"/>
      <c r="K56" s="1240"/>
      <c r="L56" s="1240"/>
      <c r="M56" s="1240"/>
      <c r="N56" s="1240"/>
      <c r="O56" s="1241"/>
    </row>
  </sheetData>
  <mergeCells count="1">
    <mergeCell ref="A56:O56"/>
  </mergeCells>
  <pageMargins left="0.75" right="0.25" top="0" bottom="0" header="0.3" footer="0.3"/>
  <pageSetup scale="76"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86">
    <tabColor rgb="FFFFFF00"/>
    <pageSetUpPr fitToPage="1"/>
  </sheetPr>
  <dimension ref="C1:M27"/>
  <sheetViews>
    <sheetView showGridLines="0" zoomScale="85" workbookViewId="0">
      <selection activeCell="O57" sqref="O57"/>
    </sheetView>
  </sheetViews>
  <sheetFormatPr defaultColWidth="10.44140625" defaultRowHeight="13.2"/>
  <cols>
    <col min="1" max="2" width="5.44140625" style="260" customWidth="1"/>
    <col min="3" max="3" width="33.44140625" style="63" customWidth="1"/>
    <col min="4" max="4" width="24.5546875" style="64" customWidth="1"/>
    <col min="5" max="5" width="10.44140625" style="63"/>
    <col min="6" max="10" width="10.44140625" style="260"/>
    <col min="11" max="11" width="11.5546875" style="260" customWidth="1"/>
    <col min="12" max="12" width="12.44140625" style="260" customWidth="1"/>
    <col min="13" max="16384" width="10.44140625" style="260"/>
  </cols>
  <sheetData>
    <row r="1" spans="3:13" ht="13.8" thickBot="1"/>
    <row r="2" spans="3:13">
      <c r="C2" s="65"/>
      <c r="D2" s="66"/>
      <c r="E2" s="67"/>
      <c r="F2" s="267"/>
      <c r="G2" s="267"/>
      <c r="H2" s="267"/>
      <c r="I2" s="267"/>
      <c r="J2" s="267"/>
      <c r="K2" s="267"/>
      <c r="L2" s="267"/>
      <c r="M2" s="266"/>
    </row>
    <row r="3" spans="3:13">
      <c r="C3" s="68" t="s">
        <v>119</v>
      </c>
      <c r="D3" s="69"/>
      <c r="E3" s="70"/>
      <c r="F3" s="264"/>
      <c r="G3" s="264"/>
      <c r="H3" s="264"/>
      <c r="I3" s="264"/>
      <c r="J3" s="264"/>
      <c r="K3" s="264"/>
      <c r="M3" s="263"/>
    </row>
    <row r="4" spans="3:13">
      <c r="C4" s="68" t="s">
        <v>120</v>
      </c>
      <c r="D4" s="69"/>
      <c r="E4" s="70"/>
      <c r="F4" s="264"/>
      <c r="G4" s="264"/>
      <c r="H4" s="264"/>
      <c r="I4" s="264"/>
      <c r="J4" s="264"/>
      <c r="K4" s="264"/>
      <c r="M4" s="263"/>
    </row>
    <row r="5" spans="3:13">
      <c r="C5" s="68" t="s">
        <v>355</v>
      </c>
      <c r="D5" s="71"/>
      <c r="E5" s="72"/>
      <c r="F5" s="265"/>
      <c r="G5" s="265"/>
      <c r="H5" s="265"/>
      <c r="I5" s="264"/>
      <c r="J5" s="264"/>
      <c r="K5" s="264"/>
      <c r="M5" s="263"/>
    </row>
    <row r="6" spans="3:13">
      <c r="C6" s="68"/>
      <c r="D6" s="69"/>
      <c r="E6" s="70"/>
      <c r="F6" s="264"/>
      <c r="G6" s="264"/>
      <c r="H6" s="264"/>
      <c r="I6" s="264"/>
      <c r="J6" s="264"/>
      <c r="K6" s="264"/>
      <c r="M6" s="263"/>
    </row>
    <row r="7" spans="3:13" ht="25.05" customHeight="1">
      <c r="C7" s="73" t="s">
        <v>121</v>
      </c>
      <c r="D7" s="74"/>
      <c r="E7" s="64" t="s">
        <v>122</v>
      </c>
      <c r="M7" s="263"/>
    </row>
    <row r="8" spans="3:13" ht="25.05" customHeight="1">
      <c r="C8" s="73" t="s">
        <v>123</v>
      </c>
      <c r="D8" s="74"/>
      <c r="E8" s="64" t="s">
        <v>122</v>
      </c>
      <c r="M8" s="263"/>
    </row>
    <row r="9" spans="3:13" ht="25.05" customHeight="1">
      <c r="C9" s="73" t="s">
        <v>124</v>
      </c>
      <c r="D9" s="75">
        <f>+'Master Budget Sheet'!AH19</f>
        <v>17.100000000000001</v>
      </c>
      <c r="E9" s="64" t="s">
        <v>125</v>
      </c>
      <c r="M9" s="263"/>
    </row>
    <row r="10" spans="3:13" ht="25.05" customHeight="1">
      <c r="C10" s="76" t="s">
        <v>126</v>
      </c>
      <c r="D10" s="77" t="s">
        <v>127</v>
      </c>
      <c r="E10" s="78" t="s">
        <v>128</v>
      </c>
      <c r="M10" s="263"/>
    </row>
    <row r="11" spans="3:13" ht="25.05" customHeight="1">
      <c r="C11" s="73" t="s">
        <v>129</v>
      </c>
      <c r="D11" s="79">
        <f>'AdminIndex (4)'!H61</f>
        <v>1.4451000000000001</v>
      </c>
      <c r="E11" s="80" t="s">
        <v>130</v>
      </c>
      <c r="M11" s="263"/>
    </row>
    <row r="12" spans="3:13" ht="25.05" customHeight="1">
      <c r="C12" s="73" t="s">
        <v>131</v>
      </c>
      <c r="D12" s="81">
        <f>'Instructional fte (4)'!E43</f>
        <v>62736.670588235291</v>
      </c>
      <c r="E12" s="80" t="s">
        <v>353</v>
      </c>
      <c r="M12" s="263"/>
    </row>
    <row r="13" spans="3:13" ht="25.05" customHeight="1">
      <c r="C13" s="73" t="s">
        <v>354</v>
      </c>
      <c r="D13" s="269">
        <f>'Pupil Services fte (4)'!M54</f>
        <v>64904</v>
      </c>
      <c r="E13" s="80" t="s">
        <v>352</v>
      </c>
      <c r="M13" s="263"/>
    </row>
    <row r="14" spans="3:13" ht="25.05" customHeight="1">
      <c r="C14" s="73" t="s">
        <v>132</v>
      </c>
      <c r="D14" s="79">
        <f>'AdminIndex (4)'!H40</f>
        <v>1</v>
      </c>
      <c r="E14" s="80" t="s">
        <v>130</v>
      </c>
      <c r="M14" s="263"/>
    </row>
    <row r="15" spans="3:13" ht="22.2" customHeight="1">
      <c r="C15" s="73" t="s">
        <v>133</v>
      </c>
      <c r="D15" s="82">
        <f>'Instructional fte (4)'!B26</f>
        <v>17</v>
      </c>
      <c r="E15" s="80" t="s">
        <v>353</v>
      </c>
      <c r="M15" s="263"/>
    </row>
    <row r="16" spans="3:13" ht="25.05" customHeight="1">
      <c r="C16" s="73" t="s">
        <v>134</v>
      </c>
      <c r="D16" s="79">
        <f>'Pupil Services fte (4)'!L44</f>
        <v>1</v>
      </c>
      <c r="E16" s="80" t="s">
        <v>352</v>
      </c>
      <c r="M16" s="263"/>
    </row>
    <row r="17" spans="3:13" ht="25.05" customHeight="1">
      <c r="C17" s="73" t="s">
        <v>135</v>
      </c>
      <c r="D17" s="83">
        <f>+'Master Budget Sheet'!AG193</f>
        <v>12.1</v>
      </c>
      <c r="E17" s="64" t="s">
        <v>122</v>
      </c>
      <c r="M17" s="263"/>
    </row>
    <row r="18" spans="3:13" ht="25.05" customHeight="1">
      <c r="C18" s="73" t="s">
        <v>136</v>
      </c>
      <c r="D18" s="84">
        <f>+'Master Budget Sheet'!AH90</f>
        <v>190550</v>
      </c>
      <c r="E18" s="64" t="s">
        <v>122</v>
      </c>
      <c r="M18" s="263"/>
    </row>
    <row r="19" spans="3:13" ht="25.05" customHeight="1">
      <c r="C19" s="73" t="s">
        <v>137</v>
      </c>
      <c r="D19" s="84">
        <f>+'Master Budget Sheet'!AH163</f>
        <v>1026129.775</v>
      </c>
      <c r="E19" s="64" t="s">
        <v>122</v>
      </c>
      <c r="M19" s="263"/>
    </row>
    <row r="20" spans="3:13" ht="25.05" customHeight="1">
      <c r="C20" s="73" t="s">
        <v>138</v>
      </c>
      <c r="D20" s="84">
        <f>+'Master Budget Sheet'!AH191</f>
        <v>73499.77</v>
      </c>
      <c r="E20" s="64" t="s">
        <v>122</v>
      </c>
      <c r="M20" s="263"/>
    </row>
    <row r="21" spans="3:13" ht="25.05" customHeight="1">
      <c r="C21" s="73" t="s">
        <v>139</v>
      </c>
      <c r="D21" s="84">
        <f>+'Master Budget Sheet'!AH193</f>
        <v>285917</v>
      </c>
      <c r="E21" s="64" t="s">
        <v>122</v>
      </c>
      <c r="M21" s="263"/>
    </row>
    <row r="22" spans="3:13" ht="20.100000000000001" customHeight="1">
      <c r="C22" s="73" t="s">
        <v>140</v>
      </c>
      <c r="D22" s="85"/>
      <c r="M22" s="263"/>
    </row>
    <row r="23" spans="3:13" ht="20.100000000000001" customHeight="1">
      <c r="C23" s="86" t="s">
        <v>141</v>
      </c>
      <c r="M23" s="263"/>
    </row>
    <row r="24" spans="3:13" ht="20.100000000000001" customHeight="1">
      <c r="C24" s="87" t="s">
        <v>142</v>
      </c>
      <c r="M24" s="263"/>
    </row>
    <row r="25" spans="3:13" ht="20.100000000000001" customHeight="1">
      <c r="C25" s="87"/>
      <c r="M25" s="263"/>
    </row>
    <row r="26" spans="3:13" ht="20.100000000000001" customHeight="1">
      <c r="C26" s="73" t="s">
        <v>143</v>
      </c>
      <c r="M26" s="263"/>
    </row>
    <row r="27" spans="3:13" ht="13.8" thickBot="1">
      <c r="C27" s="88" t="s">
        <v>144</v>
      </c>
      <c r="D27" s="89"/>
      <c r="E27" s="90"/>
      <c r="F27" s="262"/>
      <c r="G27" s="262"/>
      <c r="H27" s="262"/>
      <c r="I27" s="262"/>
      <c r="J27" s="262"/>
      <c r="K27" s="262"/>
      <c r="L27" s="262"/>
      <c r="M27" s="261"/>
    </row>
  </sheetData>
  <printOptions horizontalCentered="1" verticalCentered="1"/>
  <pageMargins left="0.47" right="0.2" top="0.52" bottom="0.25" header="0.5" footer="0.22"/>
  <pageSetup scale="81" orientation="landscape"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87">
    <pageSetUpPr fitToPage="1"/>
  </sheetPr>
  <dimension ref="A1:AA53"/>
  <sheetViews>
    <sheetView topLeftCell="A2" zoomScaleNormal="100" workbookViewId="0">
      <selection activeCell="M51" sqref="M51"/>
    </sheetView>
  </sheetViews>
  <sheetFormatPr defaultColWidth="10.44140625" defaultRowHeight="13.8"/>
  <cols>
    <col min="1" max="1" width="8.21875" style="91" customWidth="1"/>
    <col min="2" max="2" width="4.44140625" style="91" customWidth="1"/>
    <col min="3" max="3" width="13.77734375" style="91" customWidth="1"/>
    <col min="4" max="4" width="2" style="91" customWidth="1"/>
    <col min="5" max="5" width="13.77734375" style="91" customWidth="1"/>
    <col min="6" max="6" width="2" style="91" customWidth="1"/>
    <col min="7" max="7" width="13.77734375" style="91" customWidth="1"/>
    <col min="8" max="8" width="1.21875" style="91" customWidth="1"/>
    <col min="9" max="9" width="13.77734375" style="91" customWidth="1"/>
    <col min="10" max="10" width="2.21875" style="91" customWidth="1"/>
    <col min="11" max="11" width="13.77734375" style="91" customWidth="1"/>
    <col min="12" max="12" width="1.21875" style="91" customWidth="1"/>
    <col min="13" max="13" width="14.77734375" style="91" customWidth="1"/>
    <col min="14" max="14" width="1.21875" style="91" customWidth="1"/>
    <col min="15" max="15" width="13.77734375" style="91" customWidth="1"/>
    <col min="16" max="16" width="1.21875" style="91" customWidth="1"/>
    <col min="17" max="17" width="13.77734375" style="91" customWidth="1"/>
    <col min="18" max="18" width="1.21875" style="91" customWidth="1"/>
    <col min="19" max="19" width="13.77734375" style="91" customWidth="1"/>
    <col min="20" max="20" width="1.21875" style="91" customWidth="1"/>
    <col min="21" max="21" width="13.77734375" style="91" customWidth="1"/>
    <col min="22" max="22" width="1.21875" style="91" customWidth="1"/>
    <col min="23" max="23" width="13.77734375" style="91" customWidth="1"/>
    <col min="24" max="24" width="1.21875" style="91" customWidth="1"/>
    <col min="25" max="25" width="13.77734375" style="91" customWidth="1"/>
    <col min="26" max="26" width="1.21875" style="91" customWidth="1"/>
    <col min="27" max="16384" width="10.44140625" style="91"/>
  </cols>
  <sheetData>
    <row r="1" spans="1:25">
      <c r="A1" s="1233"/>
      <c r="B1" s="1233"/>
      <c r="C1" s="1233"/>
      <c r="D1" s="1233"/>
      <c r="E1" s="1233"/>
      <c r="F1" s="1233"/>
      <c r="G1" s="1233"/>
      <c r="H1" s="1233"/>
      <c r="I1" s="1233"/>
      <c r="J1" s="1233"/>
      <c r="K1" s="1233"/>
      <c r="L1" s="1233"/>
      <c r="M1" s="1233"/>
      <c r="N1" s="1233"/>
      <c r="O1" s="1233"/>
      <c r="P1" s="1233"/>
      <c r="Q1" s="1233"/>
      <c r="R1" s="1233"/>
      <c r="S1" s="1233"/>
      <c r="T1" s="1233"/>
      <c r="U1" s="1233"/>
      <c r="V1" s="1233"/>
      <c r="W1" s="1233"/>
      <c r="X1" s="1233"/>
      <c r="Y1" s="1233"/>
    </row>
    <row r="2" spans="1:25">
      <c r="A2" s="1233" t="s">
        <v>145</v>
      </c>
      <c r="B2" s="1233"/>
      <c r="C2" s="1233"/>
      <c r="D2" s="1233"/>
      <c r="E2" s="1233"/>
      <c r="F2" s="1233"/>
      <c r="G2" s="1233"/>
      <c r="H2" s="1233"/>
      <c r="I2" s="1233"/>
      <c r="J2" s="1233"/>
      <c r="K2" s="1233"/>
      <c r="L2" s="1233"/>
      <c r="M2" s="1233"/>
      <c r="N2" s="1233"/>
      <c r="O2" s="1233"/>
      <c r="P2" s="1233"/>
      <c r="Q2" s="1233"/>
      <c r="R2" s="1233"/>
      <c r="S2" s="1233"/>
      <c r="T2" s="1233"/>
      <c r="U2" s="1233"/>
      <c r="V2" s="1233"/>
      <c r="W2" s="1233"/>
      <c r="X2" s="1233"/>
      <c r="Y2" s="1233"/>
    </row>
    <row r="3" spans="1:25">
      <c r="A3" s="1233" t="s">
        <v>146</v>
      </c>
      <c r="B3" s="1233"/>
      <c r="C3" s="1233"/>
      <c r="D3" s="1233"/>
      <c r="E3" s="1233"/>
      <c r="F3" s="1233"/>
      <c r="G3" s="1233"/>
      <c r="H3" s="1233"/>
      <c r="I3" s="1233"/>
      <c r="J3" s="1233"/>
      <c r="K3" s="1233"/>
      <c r="L3" s="1233"/>
      <c r="M3" s="1233"/>
      <c r="N3" s="1233"/>
      <c r="O3" s="1233"/>
      <c r="P3" s="1233"/>
      <c r="Q3" s="1233"/>
      <c r="R3" s="1233"/>
      <c r="S3" s="1233"/>
      <c r="T3" s="1233"/>
      <c r="U3" s="1233"/>
      <c r="V3" s="1233"/>
      <c r="W3" s="1233"/>
      <c r="X3" s="1233"/>
      <c r="Y3" s="1233"/>
    </row>
    <row r="4" spans="1:25">
      <c r="A4" s="1233" t="s">
        <v>147</v>
      </c>
      <c r="B4" s="1233"/>
      <c r="C4" s="1233"/>
      <c r="D4" s="1233"/>
      <c r="E4" s="1233"/>
      <c r="F4" s="1233"/>
      <c r="G4" s="1233"/>
      <c r="H4" s="1233"/>
      <c r="I4" s="1233"/>
      <c r="J4" s="1233"/>
      <c r="K4" s="1233"/>
      <c r="L4" s="1233"/>
      <c r="M4" s="1233"/>
      <c r="N4" s="1233"/>
      <c r="O4" s="1233"/>
      <c r="P4" s="1233"/>
      <c r="Q4" s="1233"/>
      <c r="R4" s="1233"/>
      <c r="S4" s="1233"/>
      <c r="T4" s="1233"/>
      <c r="U4" s="1233"/>
      <c r="V4" s="1233"/>
      <c r="W4" s="1233"/>
      <c r="X4" s="1233"/>
      <c r="Y4" s="1233"/>
    </row>
    <row r="7" spans="1:25">
      <c r="A7" s="91" t="s">
        <v>148</v>
      </c>
      <c r="B7" s="92">
        <f>'Enter Data Elements (4)'!D7</f>
        <v>0</v>
      </c>
      <c r="C7" s="93">
        <f>'Enter Data Elements (4)'!D8</f>
        <v>0</v>
      </c>
      <c r="D7" s="94"/>
      <c r="E7" s="94"/>
    </row>
    <row r="9" spans="1:25">
      <c r="A9" s="91" t="s">
        <v>149</v>
      </c>
      <c r="P9" s="91" t="s">
        <v>150</v>
      </c>
      <c r="W9" s="94"/>
    </row>
    <row r="10" spans="1:25">
      <c r="A10" s="91" t="s">
        <v>151</v>
      </c>
      <c r="I10" s="95">
        <v>1.84399</v>
      </c>
      <c r="J10" s="95"/>
      <c r="P10" s="91" t="s">
        <v>151</v>
      </c>
      <c r="W10" s="96">
        <f>'Enter Data Elements (4)'!D11</f>
        <v>1.4451000000000001</v>
      </c>
    </row>
    <row r="11" spans="1:25">
      <c r="A11" s="91" t="s">
        <v>152</v>
      </c>
      <c r="I11" s="97">
        <v>1.86643</v>
      </c>
      <c r="J11" s="95"/>
      <c r="K11" s="98">
        <f>IF(I10&gt;I11,ROUND(I11/I10,4),1)</f>
        <v>1</v>
      </c>
      <c r="P11" s="91" t="s">
        <v>153</v>
      </c>
      <c r="W11" s="99">
        <f>W10*K11</f>
        <v>1.4451000000000001</v>
      </c>
    </row>
    <row r="12" spans="1:25">
      <c r="A12" s="91" t="s">
        <v>154</v>
      </c>
      <c r="I12" s="100">
        <f>0.0765+0.1348</f>
        <v>0.21129999999999999</v>
      </c>
      <c r="P12" s="91" t="s">
        <v>155</v>
      </c>
      <c r="W12" s="101">
        <f>'Enter Data Elements (4)'!D9</f>
        <v>17.100000000000001</v>
      </c>
    </row>
    <row r="13" spans="1:25">
      <c r="I13" s="97"/>
      <c r="J13" s="95"/>
      <c r="K13" s="98"/>
    </row>
    <row r="14" spans="1:25">
      <c r="J14" s="102"/>
      <c r="W14" s="103"/>
    </row>
    <row r="16" spans="1:25" ht="16.2" customHeight="1">
      <c r="C16" s="112" t="s">
        <v>156</v>
      </c>
      <c r="D16" s="112"/>
      <c r="E16" s="112" t="s">
        <v>156</v>
      </c>
      <c r="F16" s="112"/>
      <c r="G16" s="1234" t="s">
        <v>157</v>
      </c>
      <c r="H16" s="1235"/>
      <c r="I16" s="1236"/>
      <c r="J16" s="104"/>
      <c r="K16" s="112" t="s">
        <v>158</v>
      </c>
      <c r="L16" s="112"/>
      <c r="M16" s="112" t="s">
        <v>159</v>
      </c>
      <c r="N16" s="112"/>
      <c r="O16" s="112" t="s">
        <v>160</v>
      </c>
      <c r="P16" s="112"/>
      <c r="Q16" s="112" t="s">
        <v>156</v>
      </c>
      <c r="R16" s="112"/>
      <c r="S16" s="112" t="s">
        <v>156</v>
      </c>
      <c r="T16" s="112"/>
      <c r="U16" s="112" t="s">
        <v>161</v>
      </c>
      <c r="V16" s="112"/>
      <c r="W16" s="112" t="s">
        <v>162</v>
      </c>
      <c r="Y16" s="112" t="s">
        <v>163</v>
      </c>
    </row>
    <row r="17" spans="1:25">
      <c r="C17" s="112" t="s">
        <v>164</v>
      </c>
      <c r="D17" s="112"/>
      <c r="E17" s="112" t="s">
        <v>164</v>
      </c>
      <c r="F17" s="112"/>
      <c r="G17" s="104" t="s">
        <v>165</v>
      </c>
      <c r="H17" s="104"/>
      <c r="I17" s="104" t="s">
        <v>166</v>
      </c>
      <c r="J17" s="112"/>
      <c r="K17" s="112" t="s">
        <v>167</v>
      </c>
      <c r="L17" s="112"/>
      <c r="M17" s="112" t="s">
        <v>156</v>
      </c>
      <c r="N17" s="112"/>
      <c r="O17" s="112" t="s">
        <v>168</v>
      </c>
      <c r="P17" s="112"/>
      <c r="Q17" s="112" t="s">
        <v>164</v>
      </c>
      <c r="S17" s="112" t="s">
        <v>169</v>
      </c>
      <c r="U17" s="112" t="s">
        <v>170</v>
      </c>
      <c r="V17" s="112"/>
      <c r="W17" s="112" t="s">
        <v>170</v>
      </c>
      <c r="Y17" s="112" t="s">
        <v>171</v>
      </c>
    </row>
    <row r="18" spans="1:25">
      <c r="C18" s="112" t="s">
        <v>172</v>
      </c>
      <c r="E18" s="112" t="s">
        <v>168</v>
      </c>
      <c r="G18" s="112" t="s">
        <v>173</v>
      </c>
      <c r="H18" s="112"/>
      <c r="I18" s="112" t="s">
        <v>173</v>
      </c>
      <c r="K18" s="112" t="s">
        <v>164</v>
      </c>
      <c r="L18" s="112"/>
      <c r="M18" s="112" t="s">
        <v>164</v>
      </c>
      <c r="Q18" s="112" t="s">
        <v>168</v>
      </c>
      <c r="Y18" s="112" t="s">
        <v>174</v>
      </c>
    </row>
    <row r="19" spans="1:25">
      <c r="G19" s="112"/>
      <c r="I19" s="112"/>
      <c r="K19" s="112" t="s">
        <v>168</v>
      </c>
      <c r="L19" s="112"/>
      <c r="M19" s="112" t="s">
        <v>168</v>
      </c>
      <c r="Y19" s="112" t="s">
        <v>175</v>
      </c>
    </row>
    <row r="20" spans="1:25">
      <c r="E20" s="112" t="s">
        <v>176</v>
      </c>
      <c r="F20" s="112"/>
      <c r="L20" s="112"/>
      <c r="M20" s="112" t="s">
        <v>177</v>
      </c>
      <c r="Q20" s="105" t="s">
        <v>178</v>
      </c>
      <c r="W20" s="112" t="s">
        <v>179</v>
      </c>
      <c r="Y20" s="112" t="s">
        <v>180</v>
      </c>
    </row>
    <row r="21" spans="1:25">
      <c r="C21" s="112" t="s">
        <v>181</v>
      </c>
      <c r="D21" s="112"/>
      <c r="E21" s="112" t="s">
        <v>182</v>
      </c>
      <c r="F21" s="112"/>
      <c r="G21" s="112" t="s">
        <v>183</v>
      </c>
      <c r="H21" s="112"/>
      <c r="I21" s="112" t="s">
        <v>184</v>
      </c>
      <c r="J21" s="112"/>
      <c r="K21" s="112" t="s">
        <v>185</v>
      </c>
      <c r="L21" s="112"/>
      <c r="M21" s="112" t="s">
        <v>186</v>
      </c>
      <c r="N21" s="112"/>
      <c r="O21" s="112" t="s">
        <v>187</v>
      </c>
      <c r="P21" s="112"/>
      <c r="Q21" s="112" t="s">
        <v>188</v>
      </c>
      <c r="R21" s="112"/>
      <c r="S21" s="104" t="str">
        <f>LOWER("I")</f>
        <v>i</v>
      </c>
      <c r="T21" s="112"/>
      <c r="U21" s="112" t="s">
        <v>189</v>
      </c>
      <c r="V21" s="112"/>
      <c r="W21" s="112" t="s">
        <v>190</v>
      </c>
      <c r="X21" s="112"/>
      <c r="Y21" s="112" t="s">
        <v>191</v>
      </c>
    </row>
    <row r="22" spans="1:25">
      <c r="O22" s="94"/>
    </row>
    <row r="23" spans="1:25">
      <c r="A23" s="91" t="s">
        <v>192</v>
      </c>
      <c r="C23" s="106">
        <v>7.4999999999999997E-2</v>
      </c>
      <c r="D23" s="107"/>
      <c r="E23" s="108">
        <f>$W$12*C23</f>
        <v>1.2825</v>
      </c>
      <c r="G23" s="109"/>
      <c r="I23" s="109"/>
      <c r="K23" s="109"/>
      <c r="M23" s="108">
        <f>E23+G23</f>
        <v>1.2825</v>
      </c>
      <c r="O23" s="96">
        <f>'Enter Data Elements (4)'!D14</f>
        <v>1</v>
      </c>
      <c r="Q23" s="108">
        <f>M23</f>
        <v>1.2825</v>
      </c>
      <c r="S23" s="108">
        <f>W11</f>
        <v>1.4451000000000001</v>
      </c>
      <c r="U23" s="110">
        <f>+'Master Budget Sheet'!AH13</f>
        <v>45779</v>
      </c>
      <c r="W23" s="111">
        <f>S23*U23</f>
        <v>66155.232900000003</v>
      </c>
      <c r="Y23" s="111">
        <f>Q23*W23</f>
        <v>84844.086194250005</v>
      </c>
    </row>
    <row r="24" spans="1:25">
      <c r="O24" s="94"/>
      <c r="Q24" s="105"/>
    </row>
    <row r="25" spans="1:25">
      <c r="A25" s="91" t="s">
        <v>193</v>
      </c>
      <c r="C25" s="106">
        <v>1.0209999999999999</v>
      </c>
      <c r="D25" s="107"/>
      <c r="E25" s="108">
        <f>$W$12*C25</f>
        <v>17.459099999999999</v>
      </c>
      <c r="G25" s="109"/>
      <c r="I25" s="109"/>
      <c r="K25" s="109"/>
      <c r="M25" s="108">
        <f>E25+G25+I25+K25</f>
        <v>17.459099999999999</v>
      </c>
      <c r="O25" s="96">
        <f>'Enter Data Elements (4)'!D15</f>
        <v>17</v>
      </c>
      <c r="Q25" s="108">
        <f>M25</f>
        <v>17.459099999999999</v>
      </c>
      <c r="S25" s="109"/>
      <c r="U25" s="109"/>
      <c r="W25" s="101">
        <f>'Enter Data Elements (4)'!D12</f>
        <v>62736.670588235291</v>
      </c>
      <c r="Y25" s="111">
        <f>Q25*W25</f>
        <v>1095325.8054670587</v>
      </c>
    </row>
    <row r="26" spans="1:25" ht="12.75" customHeight="1">
      <c r="O26" s="94"/>
      <c r="Q26" s="105"/>
      <c r="S26" s="112"/>
    </row>
    <row r="27" spans="1:25">
      <c r="A27" s="91" t="s">
        <v>194</v>
      </c>
      <c r="C27" s="106">
        <v>7.9000000000000001E-2</v>
      </c>
      <c r="D27" s="107"/>
      <c r="E27" s="108">
        <f>$W$12*C27</f>
        <v>1.3509000000000002</v>
      </c>
      <c r="G27" s="109"/>
      <c r="I27" s="109"/>
      <c r="K27" s="109"/>
      <c r="M27" s="108">
        <f>E27+G27+I27+K27</f>
        <v>1.3509000000000002</v>
      </c>
      <c r="O27" s="96">
        <f>'Enter Data Elements (4)'!D16</f>
        <v>1</v>
      </c>
      <c r="Q27" s="108">
        <f>M27</f>
        <v>1.3509000000000002</v>
      </c>
      <c r="S27" s="109"/>
      <c r="U27" s="109"/>
      <c r="W27" s="101">
        <f>IF('Enter Data Elements (4)'!D13&gt;0,'Enter Data Elements (4)'!D13, W25)</f>
        <v>64904</v>
      </c>
      <c r="Y27" s="111">
        <f>Q27*W27</f>
        <v>87678.813600000009</v>
      </c>
    </row>
    <row r="28" spans="1:25" ht="12.75" customHeight="1">
      <c r="O28" s="94"/>
      <c r="Q28" s="105"/>
      <c r="S28" s="112"/>
    </row>
    <row r="29" spans="1:25">
      <c r="A29" s="91" t="s">
        <v>195</v>
      </c>
      <c r="C29" s="106">
        <v>0.375</v>
      </c>
      <c r="D29" s="107"/>
      <c r="E29" s="108">
        <f>$W$12*C29</f>
        <v>6.4125000000000005</v>
      </c>
      <c r="G29" s="109"/>
      <c r="I29" s="109"/>
      <c r="K29" s="109"/>
      <c r="M29" s="113">
        <f>E29</f>
        <v>6.4125000000000005</v>
      </c>
      <c r="O29" s="96">
        <f>'Enter Data Elements (4)'!D17</f>
        <v>12.1</v>
      </c>
      <c r="Q29" s="108">
        <f>M29</f>
        <v>6.4125000000000005</v>
      </c>
      <c r="S29" s="109"/>
      <c r="U29" s="110">
        <f>+'Master Budget Sheet'!AH15</f>
        <v>41165</v>
      </c>
      <c r="W29" s="109"/>
      <c r="Y29" s="109"/>
    </row>
    <row r="30" spans="1:25">
      <c r="O30" s="94"/>
    </row>
    <row r="31" spans="1:25">
      <c r="A31" s="91" t="s">
        <v>196</v>
      </c>
      <c r="M31" s="108">
        <f>M23+M25+M27+M29</f>
        <v>26.504999999999999</v>
      </c>
      <c r="O31" s="108">
        <f>O23+O25+O27+O29</f>
        <v>31.1</v>
      </c>
      <c r="Q31" s="108">
        <f>Q23+Q25+Q27+Q29</f>
        <v>26.504999999999999</v>
      </c>
    </row>
    <row r="36" spans="1:27">
      <c r="C36" s="112" t="s">
        <v>195</v>
      </c>
      <c r="G36" s="112" t="s">
        <v>171</v>
      </c>
      <c r="I36" s="112" t="s">
        <v>160</v>
      </c>
      <c r="K36" s="112" t="s">
        <v>174</v>
      </c>
      <c r="M36" s="114" t="s">
        <v>197</v>
      </c>
      <c r="O36" s="112" t="s">
        <v>198</v>
      </c>
      <c r="Q36" s="112" t="s">
        <v>199</v>
      </c>
      <c r="S36" s="112" t="s">
        <v>174</v>
      </c>
      <c r="U36" s="112" t="s">
        <v>200</v>
      </c>
      <c r="W36" s="114" t="s">
        <v>174</v>
      </c>
    </row>
    <row r="37" spans="1:27">
      <c r="C37" s="112" t="s">
        <v>171</v>
      </c>
      <c r="G37" s="112" t="s">
        <v>174</v>
      </c>
      <c r="I37" s="112" t="s">
        <v>170</v>
      </c>
      <c r="K37" s="112" t="s">
        <v>175</v>
      </c>
      <c r="M37" s="115" t="s">
        <v>175</v>
      </c>
      <c r="O37" s="112" t="s">
        <v>164</v>
      </c>
      <c r="Q37" s="112" t="s">
        <v>164</v>
      </c>
      <c r="S37" s="112" t="s">
        <v>175</v>
      </c>
      <c r="U37" s="112" t="s">
        <v>170</v>
      </c>
      <c r="W37" s="115" t="s">
        <v>175</v>
      </c>
    </row>
    <row r="38" spans="1:27">
      <c r="C38" s="112" t="s">
        <v>174</v>
      </c>
      <c r="G38" s="112" t="s">
        <v>175</v>
      </c>
      <c r="K38" s="112" t="s">
        <v>201</v>
      </c>
      <c r="M38" s="116"/>
      <c r="S38" s="112" t="s">
        <v>202</v>
      </c>
      <c r="U38" s="112" t="s">
        <v>175</v>
      </c>
      <c r="W38" s="117"/>
    </row>
    <row r="39" spans="1:27">
      <c r="C39" s="112" t="s">
        <v>175</v>
      </c>
      <c r="G39" s="112"/>
      <c r="K39" s="112" t="s">
        <v>203</v>
      </c>
      <c r="M39" s="116"/>
      <c r="S39" s="118"/>
      <c r="U39" s="105"/>
      <c r="W39" s="117"/>
    </row>
    <row r="40" spans="1:27">
      <c r="C40" s="112" t="s">
        <v>204</v>
      </c>
      <c r="G40" s="112" t="s">
        <v>359</v>
      </c>
      <c r="K40" s="91" t="s">
        <v>358</v>
      </c>
      <c r="M40" s="115" t="str">
        <f>"p x "&amp;I12</f>
        <v>p x 0.2113</v>
      </c>
      <c r="O40" s="112" t="s">
        <v>205</v>
      </c>
      <c r="S40" s="112"/>
      <c r="U40" s="112"/>
      <c r="W40" s="117" t="s">
        <v>357</v>
      </c>
    </row>
    <row r="41" spans="1:27">
      <c r="C41" s="112" t="s">
        <v>206</v>
      </c>
      <c r="G41" s="112" t="s">
        <v>207</v>
      </c>
      <c r="I41" s="112" t="s">
        <v>208</v>
      </c>
      <c r="K41" s="112" t="s">
        <v>356</v>
      </c>
      <c r="M41" s="115" t="s">
        <v>209</v>
      </c>
      <c r="O41" s="112" t="s">
        <v>210</v>
      </c>
      <c r="Q41" s="112" t="s">
        <v>211</v>
      </c>
      <c r="S41" s="112" t="s">
        <v>212</v>
      </c>
      <c r="U41" s="112" t="s">
        <v>213</v>
      </c>
      <c r="W41" s="115" t="s">
        <v>214</v>
      </c>
      <c r="AA41" s="112"/>
    </row>
    <row r="42" spans="1:27">
      <c r="F42" s="94"/>
      <c r="G42" s="94"/>
      <c r="H42" s="94"/>
      <c r="I42" s="94"/>
      <c r="M42" s="116"/>
      <c r="U42" s="112"/>
      <c r="W42" s="115"/>
    </row>
    <row r="43" spans="1:27">
      <c r="A43" s="91" t="s">
        <v>192</v>
      </c>
      <c r="C43" s="109"/>
      <c r="F43" s="94"/>
      <c r="G43" s="119">
        <f>Y23</f>
        <v>84844.086194250005</v>
      </c>
      <c r="H43" s="94"/>
      <c r="I43" s="101">
        <f>'Enter Data Elements (4)'!D18</f>
        <v>190550</v>
      </c>
      <c r="K43" s="120"/>
      <c r="M43" s="121">
        <f>IF($G$51&gt;$I$51,ROUND(G43/$G$51*$M$51,2),ROUND(I43/$I$51*$M$51,2))</f>
        <v>39132.1</v>
      </c>
      <c r="O43" s="122"/>
      <c r="Q43" s="122"/>
      <c r="S43" s="122"/>
      <c r="U43" s="122"/>
      <c r="V43" s="123"/>
      <c r="W43" s="124">
        <f>G43</f>
        <v>84844.086194250005</v>
      </c>
      <c r="AA43" s="111"/>
    </row>
    <row r="44" spans="1:27">
      <c r="F44" s="94"/>
      <c r="G44" s="94"/>
      <c r="H44" s="94"/>
      <c r="I44" s="125"/>
      <c r="M44" s="116"/>
      <c r="S44" s="112"/>
      <c r="U44" s="105"/>
      <c r="W44" s="117"/>
    </row>
    <row r="45" spans="1:27">
      <c r="A45" s="91" t="s">
        <v>193</v>
      </c>
      <c r="C45" s="109"/>
      <c r="F45" s="118"/>
      <c r="G45" s="119">
        <f>Y25</f>
        <v>1095325.8054670587</v>
      </c>
      <c r="H45" s="94"/>
      <c r="I45" s="101">
        <f>'Enter Data Elements (4)'!D19</f>
        <v>1026129.775</v>
      </c>
      <c r="K45" s="120"/>
      <c r="M45" s="121">
        <f>IF($G$51&gt;$I$51,ROUND(G45/$G$51*$M$51,2),ROUND(I45/$I$51*$M$51,2))</f>
        <v>210730.06</v>
      </c>
      <c r="O45" s="122"/>
      <c r="Q45" s="122"/>
      <c r="S45" s="122"/>
      <c r="U45" s="122"/>
      <c r="W45" s="124">
        <f>G45</f>
        <v>1095325.8054670587</v>
      </c>
      <c r="AA45" s="111"/>
    </row>
    <row r="46" spans="1:27">
      <c r="F46" s="118"/>
      <c r="G46" s="119" t="s">
        <v>235</v>
      </c>
      <c r="H46" s="94"/>
      <c r="I46" s="125"/>
      <c r="M46" s="116"/>
      <c r="S46" s="112"/>
      <c r="U46" s="105"/>
      <c r="W46" s="117"/>
    </row>
    <row r="47" spans="1:27">
      <c r="A47" s="91" t="s">
        <v>194</v>
      </c>
      <c r="C47" s="109"/>
      <c r="F47" s="94"/>
      <c r="G47" s="119">
        <f>Y27</f>
        <v>87678.813600000009</v>
      </c>
      <c r="H47" s="94"/>
      <c r="I47" s="101">
        <f>'Enter Data Elements (4)'!D20</f>
        <v>73499.77</v>
      </c>
      <c r="K47" s="120"/>
      <c r="M47" s="121">
        <f>IF($G$51&gt;$I$51,ROUND(G47/$G$51*$M$51,2),ROUND(I47/$I$51*$M$51,2))</f>
        <v>15094.2</v>
      </c>
      <c r="O47" s="122"/>
      <c r="Q47" s="122"/>
      <c r="S47" s="122"/>
      <c r="U47" s="122"/>
      <c r="W47" s="124">
        <f>G47</f>
        <v>87678.813600000009</v>
      </c>
    </row>
    <row r="48" spans="1:27">
      <c r="F48" s="94"/>
      <c r="G48" s="94"/>
      <c r="H48" s="94"/>
      <c r="I48" s="125"/>
      <c r="M48" s="116"/>
      <c r="S48" s="112"/>
      <c r="U48" s="105"/>
      <c r="W48" s="117"/>
    </row>
    <row r="49" spans="1:27">
      <c r="A49" s="91" t="s">
        <v>195</v>
      </c>
      <c r="C49" s="111">
        <f>Q29*U29</f>
        <v>263970.5625</v>
      </c>
      <c r="F49" s="118"/>
      <c r="G49" s="119">
        <f>C49</f>
        <v>263970.5625</v>
      </c>
      <c r="H49" s="94"/>
      <c r="I49" s="101">
        <f>'Enter Data Elements (4)'!D21</f>
        <v>285917</v>
      </c>
      <c r="K49" s="120"/>
      <c r="M49" s="121">
        <f>IF($G$51&gt;$I$51,ROUND(G49/$G$51*$M$51,2),ROUND(I49/$I$51*$M$51,2))</f>
        <v>58717.04</v>
      </c>
      <c r="O49" s="122"/>
      <c r="Q49" s="122"/>
      <c r="S49" s="122"/>
      <c r="U49" s="122"/>
      <c r="W49" s="124">
        <f>G49</f>
        <v>263970.5625</v>
      </c>
      <c r="AA49" s="111"/>
    </row>
    <row r="50" spans="1:27">
      <c r="I50" s="105"/>
      <c r="K50" s="126">
        <f>SUM(K43:K49)</f>
        <v>0</v>
      </c>
      <c r="M50" s="116"/>
      <c r="S50" s="112"/>
      <c r="U50" s="105"/>
      <c r="W50" s="117"/>
    </row>
    <row r="51" spans="1:27">
      <c r="A51" s="91" t="s">
        <v>196</v>
      </c>
      <c r="G51" s="111">
        <f>G43+G45+G47+G49</f>
        <v>1531819.2677613087</v>
      </c>
      <c r="I51" s="111">
        <f>I43+I45+I47+I49</f>
        <v>1576096.5449999999</v>
      </c>
      <c r="K51" s="111">
        <f>MIN(G51,I51)</f>
        <v>1531819.2677613087</v>
      </c>
      <c r="M51" s="127">
        <f>ROUND(K51*$I$12,2)</f>
        <v>323673.40999999997</v>
      </c>
      <c r="O51" s="111"/>
      <c r="Q51" s="111"/>
      <c r="W51" s="127">
        <f>W43+W45+W47+W49</f>
        <v>1531819.2677613087</v>
      </c>
    </row>
    <row r="53" spans="1:27">
      <c r="I53" s="111"/>
    </row>
  </sheetData>
  <mergeCells count="5">
    <mergeCell ref="A1:Y1"/>
    <mergeCell ref="A2:Y2"/>
    <mergeCell ref="A3:Y3"/>
    <mergeCell ref="A4:Y4"/>
    <mergeCell ref="G16:I16"/>
  </mergeCells>
  <pageMargins left="0.25" right="0.25" top="0.75" bottom="0.75" header="0.3" footer="0.3"/>
  <pageSetup scale="68" orientation="landscape" horizontalDpi="1800" verticalDpi="1800"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88"/>
  <dimension ref="A1:J127"/>
  <sheetViews>
    <sheetView workbookViewId="0">
      <selection activeCell="B38" sqref="B38"/>
    </sheetView>
  </sheetViews>
  <sheetFormatPr defaultColWidth="10.44140625" defaultRowHeight="10.95" customHeight="1"/>
  <cols>
    <col min="1" max="1" width="10.44140625" style="139" customWidth="1"/>
    <col min="2" max="5" width="9.21875" style="139" customWidth="1"/>
    <col min="6" max="6" width="10.5546875" style="139" customWidth="1"/>
    <col min="7" max="8" width="9.21875" style="139" customWidth="1"/>
    <col min="9" max="9" width="8.77734375" style="129" customWidth="1"/>
    <col min="10" max="16384" width="10.44140625" style="139"/>
  </cols>
  <sheetData>
    <row r="1" spans="1:8" ht="10.95" customHeight="1">
      <c r="A1" s="128"/>
      <c r="B1" s="128"/>
      <c r="C1" s="128"/>
      <c r="D1" s="128"/>
      <c r="E1" s="128"/>
      <c r="F1" s="128"/>
      <c r="G1" s="128"/>
      <c r="H1" s="128"/>
    </row>
    <row r="2" spans="1:8" ht="10.95" customHeight="1">
      <c r="A2" s="130" t="s">
        <v>361</v>
      </c>
      <c r="B2" s="128"/>
      <c r="C2" s="128"/>
      <c r="D2" s="128"/>
      <c r="E2" s="128"/>
      <c r="F2" s="128"/>
      <c r="G2" s="128"/>
      <c r="H2" s="128"/>
    </row>
    <row r="3" spans="1:8" ht="10.95" customHeight="1">
      <c r="A3" s="130"/>
      <c r="B3" s="128"/>
      <c r="C3" s="128"/>
      <c r="D3" s="128"/>
      <c r="E3" s="128"/>
      <c r="F3" s="128"/>
      <c r="G3" s="128"/>
      <c r="H3" s="128"/>
    </row>
    <row r="4" spans="1:8" ht="10.95" customHeight="1">
      <c r="A4" s="131"/>
      <c r="B4" s="132"/>
      <c r="C4" s="132"/>
      <c r="D4" s="132"/>
      <c r="E4" s="133" t="s">
        <v>215</v>
      </c>
      <c r="F4" s="133" t="s">
        <v>216</v>
      </c>
      <c r="G4" s="133" t="s">
        <v>217</v>
      </c>
      <c r="H4" s="133" t="s">
        <v>218</v>
      </c>
    </row>
    <row r="5" spans="1:8" ht="10.95" customHeight="1">
      <c r="A5" s="134" t="s">
        <v>219</v>
      </c>
      <c r="B5" s="134" t="s">
        <v>220</v>
      </c>
      <c r="C5" s="134" t="s">
        <v>221</v>
      </c>
      <c r="D5" s="134" t="s">
        <v>222</v>
      </c>
      <c r="E5" s="133" t="s">
        <v>223</v>
      </c>
      <c r="F5" s="133" t="s">
        <v>224</v>
      </c>
      <c r="G5" s="133" t="s">
        <v>225</v>
      </c>
      <c r="H5" s="133" t="s">
        <v>226</v>
      </c>
    </row>
    <row r="6" spans="1:8" ht="10.95" customHeight="1">
      <c r="A6" s="133">
        <v>0</v>
      </c>
      <c r="B6" s="135">
        <v>1</v>
      </c>
      <c r="C6" s="135">
        <v>1.0375000000000001</v>
      </c>
      <c r="D6" s="135">
        <v>1.0764</v>
      </c>
      <c r="E6" s="135">
        <v>1.1168</v>
      </c>
      <c r="F6" s="135">
        <v>1.1587000000000001</v>
      </c>
      <c r="G6" s="135">
        <v>1.2021999999999999</v>
      </c>
      <c r="H6" s="135">
        <v>1.2473000000000001</v>
      </c>
    </row>
    <row r="7" spans="1:8" ht="10.95" customHeight="1">
      <c r="A7" s="133">
        <v>1</v>
      </c>
      <c r="B7" s="135">
        <v>1.0375000000000001</v>
      </c>
      <c r="C7" s="135">
        <v>1.0764</v>
      </c>
      <c r="D7" s="135">
        <v>1.1168</v>
      </c>
      <c r="E7" s="135">
        <v>1.1587000000000001</v>
      </c>
      <c r="F7" s="135">
        <v>1.2021999999999999</v>
      </c>
      <c r="G7" s="135">
        <v>1.2473000000000001</v>
      </c>
      <c r="H7" s="135">
        <v>1.2941</v>
      </c>
    </row>
    <row r="8" spans="1:8" ht="10.95" customHeight="1">
      <c r="A8" s="133">
        <v>2</v>
      </c>
      <c r="B8" s="135">
        <v>1.0764</v>
      </c>
      <c r="C8" s="135">
        <v>1.1168</v>
      </c>
      <c r="D8" s="135">
        <v>1.1587000000000001</v>
      </c>
      <c r="E8" s="135">
        <v>1.2021999999999999</v>
      </c>
      <c r="F8" s="135">
        <v>1.2473000000000001</v>
      </c>
      <c r="G8" s="135">
        <v>1.2941</v>
      </c>
      <c r="H8" s="135">
        <v>1.3426</v>
      </c>
    </row>
    <row r="9" spans="1:8" ht="10.95" customHeight="1">
      <c r="A9" s="133">
        <v>3</v>
      </c>
      <c r="B9" s="135">
        <v>1.1168</v>
      </c>
      <c r="C9" s="135">
        <v>1.1587000000000001</v>
      </c>
      <c r="D9" s="135">
        <v>1.2021999999999999</v>
      </c>
      <c r="E9" s="135">
        <v>1.2473000000000001</v>
      </c>
      <c r="F9" s="135">
        <v>1.2941</v>
      </c>
      <c r="G9" s="135">
        <v>1.3426</v>
      </c>
      <c r="H9" s="135">
        <v>1.3929</v>
      </c>
    </row>
    <row r="10" spans="1:8" ht="10.95" customHeight="1">
      <c r="A10" s="133">
        <v>4</v>
      </c>
      <c r="B10" s="135">
        <v>1.1587000000000001</v>
      </c>
      <c r="C10" s="135">
        <v>1.2021999999999999</v>
      </c>
      <c r="D10" s="135">
        <v>1.2473000000000001</v>
      </c>
      <c r="E10" s="135">
        <v>1.2941</v>
      </c>
      <c r="F10" s="135">
        <v>1.3426</v>
      </c>
      <c r="G10" s="135">
        <v>1.3929</v>
      </c>
      <c r="H10" s="135">
        <v>1.4451000000000001</v>
      </c>
    </row>
    <row r="11" spans="1:8" ht="10.95" customHeight="1">
      <c r="A11" s="133">
        <v>5</v>
      </c>
      <c r="B11" s="135">
        <v>1.2021999999999999</v>
      </c>
      <c r="C11" s="135">
        <v>1.2473000000000001</v>
      </c>
      <c r="D11" s="135">
        <v>1.2941</v>
      </c>
      <c r="E11" s="135">
        <v>1.3426</v>
      </c>
      <c r="F11" s="135">
        <v>1.3929</v>
      </c>
      <c r="G11" s="135">
        <v>1.4451000000000001</v>
      </c>
      <c r="H11" s="135">
        <v>1.4993000000000001</v>
      </c>
    </row>
    <row r="12" spans="1:8" ht="10.95" customHeight="1">
      <c r="A12" s="133">
        <v>6</v>
      </c>
      <c r="B12" s="135">
        <v>1.2473000000000001</v>
      </c>
      <c r="C12" s="135">
        <v>1.2941</v>
      </c>
      <c r="D12" s="135">
        <v>1.3426</v>
      </c>
      <c r="E12" s="135">
        <v>1.3929</v>
      </c>
      <c r="F12" s="135">
        <v>1.4451000000000001</v>
      </c>
      <c r="G12" s="135">
        <v>1.4993000000000001</v>
      </c>
      <c r="H12" s="135">
        <v>1.5555000000000001</v>
      </c>
    </row>
    <row r="13" spans="1:8" ht="10.95" customHeight="1">
      <c r="A13" s="133">
        <v>7</v>
      </c>
      <c r="B13" s="135">
        <v>1.2941</v>
      </c>
      <c r="C13" s="135">
        <v>1.3426</v>
      </c>
      <c r="D13" s="135">
        <v>1.3929</v>
      </c>
      <c r="E13" s="135">
        <v>1.4451000000000001</v>
      </c>
      <c r="F13" s="135">
        <v>1.4993000000000001</v>
      </c>
      <c r="G13" s="135">
        <v>1.5555000000000001</v>
      </c>
      <c r="H13" s="135">
        <v>1.6137999999999999</v>
      </c>
    </row>
    <row r="14" spans="1:8" ht="10.95" customHeight="1">
      <c r="A14" s="133">
        <v>8</v>
      </c>
      <c r="B14" s="135">
        <v>1.3426</v>
      </c>
      <c r="C14" s="135">
        <v>1.3929</v>
      </c>
      <c r="D14" s="135">
        <v>1.4451000000000001</v>
      </c>
      <c r="E14" s="135">
        <v>1.4993000000000001</v>
      </c>
      <c r="F14" s="135">
        <v>1.5555000000000001</v>
      </c>
      <c r="G14" s="135">
        <v>1.6137999999999999</v>
      </c>
      <c r="H14" s="135">
        <v>1.6742999999999999</v>
      </c>
    </row>
    <row r="15" spans="1:8" ht="10.95" customHeight="1">
      <c r="A15" s="133">
        <v>9</v>
      </c>
      <c r="B15" s="135">
        <v>1.3929</v>
      </c>
      <c r="C15" s="135">
        <v>1.4451000000000001</v>
      </c>
      <c r="D15" s="135">
        <v>1.4993000000000001</v>
      </c>
      <c r="E15" s="135">
        <v>1.5555000000000001</v>
      </c>
      <c r="F15" s="135">
        <v>1.6137999999999999</v>
      </c>
      <c r="G15" s="135">
        <v>1.6742999999999999</v>
      </c>
      <c r="H15" s="135">
        <v>1.7371000000000001</v>
      </c>
    </row>
    <row r="16" spans="1:8" ht="10.95" customHeight="1">
      <c r="A16" s="133">
        <v>10</v>
      </c>
      <c r="B16" s="135">
        <v>1.3929</v>
      </c>
      <c r="C16" s="135">
        <v>1.4993000000000001</v>
      </c>
      <c r="D16" s="135">
        <v>1.5555000000000001</v>
      </c>
      <c r="E16" s="135">
        <v>1.6137999999999999</v>
      </c>
      <c r="F16" s="135">
        <v>1.6742999999999999</v>
      </c>
      <c r="G16" s="135">
        <v>1.7371000000000001</v>
      </c>
      <c r="H16" s="135">
        <v>1.8022</v>
      </c>
    </row>
    <row r="17" spans="1:8" ht="10.95" customHeight="1">
      <c r="A17" s="133">
        <v>11</v>
      </c>
      <c r="B17" s="135">
        <v>1.3929</v>
      </c>
      <c r="C17" s="135">
        <v>1.4993000000000001</v>
      </c>
      <c r="D17" s="135">
        <v>1.5555000000000001</v>
      </c>
      <c r="E17" s="135">
        <v>1.6137999999999999</v>
      </c>
      <c r="F17" s="135">
        <v>1.7371000000000001</v>
      </c>
      <c r="G17" s="135">
        <v>1.8022</v>
      </c>
      <c r="H17" s="135">
        <v>1.8697999999999999</v>
      </c>
    </row>
    <row r="18" spans="1:8" ht="10.95" customHeight="1">
      <c r="A18" s="133">
        <v>12</v>
      </c>
      <c r="B18" s="135">
        <v>1.3929</v>
      </c>
      <c r="C18" s="135">
        <v>1.4993000000000001</v>
      </c>
      <c r="D18" s="135">
        <v>1.5555000000000001</v>
      </c>
      <c r="E18" s="135">
        <v>1.6137999999999999</v>
      </c>
      <c r="F18" s="135">
        <v>1.7371000000000001</v>
      </c>
      <c r="G18" s="135">
        <v>1.8697999999999999</v>
      </c>
      <c r="H18" s="135">
        <v>1.9399</v>
      </c>
    </row>
    <row r="19" spans="1:8" ht="10.95" customHeight="1">
      <c r="A19" s="133" t="s">
        <v>227</v>
      </c>
      <c r="B19" s="135">
        <v>1.3929</v>
      </c>
      <c r="C19" s="135">
        <v>1.4993000000000001</v>
      </c>
      <c r="D19" s="135">
        <v>1.5555000000000001</v>
      </c>
      <c r="E19" s="135">
        <v>1.6137999999999999</v>
      </c>
      <c r="F19" s="135">
        <v>1.7371000000000001</v>
      </c>
      <c r="G19" s="135">
        <v>1.8697999999999999</v>
      </c>
      <c r="H19" s="135">
        <v>2.0125999999999999</v>
      </c>
    </row>
    <row r="20" spans="1:8" ht="10.95" customHeight="1">
      <c r="A20" s="136"/>
      <c r="B20" s="137"/>
      <c r="C20" s="137"/>
      <c r="D20" s="137"/>
      <c r="E20" s="137"/>
      <c r="F20" s="137"/>
      <c r="G20" s="137"/>
      <c r="H20" s="137"/>
    </row>
    <row r="21" spans="1:8" ht="10.95" customHeight="1">
      <c r="A21" s="136"/>
      <c r="B21" s="129"/>
      <c r="C21" s="129"/>
      <c r="D21" s="129"/>
      <c r="E21" s="129"/>
      <c r="F21" s="129"/>
      <c r="G21" s="129"/>
      <c r="H21" s="129"/>
    </row>
    <row r="22" spans="1:8" ht="10.95" customHeight="1">
      <c r="A22" s="128" t="s">
        <v>228</v>
      </c>
      <c r="B22" s="128"/>
      <c r="C22" s="128"/>
      <c r="D22" s="128"/>
      <c r="E22" s="128"/>
      <c r="F22" s="128"/>
      <c r="G22" s="128"/>
      <c r="H22" s="128"/>
    </row>
    <row r="23" spans="1:8" ht="10.95" customHeight="1">
      <c r="A23" s="131"/>
      <c r="B23" s="132"/>
      <c r="C23" s="132"/>
      <c r="D23" s="132"/>
      <c r="E23" s="133" t="s">
        <v>215</v>
      </c>
      <c r="F23" s="133" t="s">
        <v>216</v>
      </c>
      <c r="G23" s="133" t="s">
        <v>217</v>
      </c>
      <c r="H23" s="133" t="s">
        <v>218</v>
      </c>
    </row>
    <row r="24" spans="1:8" ht="10.95" customHeight="1">
      <c r="A24" s="134" t="s">
        <v>219</v>
      </c>
      <c r="B24" s="134" t="s">
        <v>220</v>
      </c>
      <c r="C24" s="134" t="s">
        <v>221</v>
      </c>
      <c r="D24" s="134" t="s">
        <v>222</v>
      </c>
      <c r="E24" s="133" t="s">
        <v>336</v>
      </c>
      <c r="F24" s="133" t="s">
        <v>337</v>
      </c>
      <c r="G24" s="133" t="s">
        <v>339</v>
      </c>
      <c r="H24" s="133" t="s">
        <v>338</v>
      </c>
    </row>
    <row r="25" spans="1:8" ht="10.95" customHeight="1">
      <c r="A25" s="133">
        <v>0</v>
      </c>
      <c r="B25" s="138">
        <f>SUMIFS('Master Budget Sheet'!$AL$87:$AL$87,'Master Budget Sheet'!$F$87:$F$87,B$24,'Master Budget Sheet'!$E$87:$E$87,$A25-2)</f>
        <v>0</v>
      </c>
      <c r="C25" s="138">
        <f>SUMIFS('Master Budget Sheet'!$AL$87:$AL$87,'Master Budget Sheet'!$F$87:$F$87,C$24,'Master Budget Sheet'!$E$87:$E$87,$A25-2)</f>
        <v>0</v>
      </c>
      <c r="D25" s="138">
        <f>SUMIFS('Master Budget Sheet'!$AL$87:$AL$87,'Master Budget Sheet'!$F$87:$F$87,D$24,'Master Budget Sheet'!$E$87:$E$87,$A25-2)</f>
        <v>0</v>
      </c>
      <c r="E25" s="138">
        <f>SUMIFS('Master Budget Sheet'!$AL$87:$AL$87,'Master Budget Sheet'!$F$87:$F$87,E$24,'Master Budget Sheet'!$E$87:$E$87,$A25-2)</f>
        <v>0</v>
      </c>
      <c r="F25" s="138">
        <f>SUMIFS('Master Budget Sheet'!$AL$87:$AL$87,'Master Budget Sheet'!$F$87:$F$87,F$24,'Master Budget Sheet'!$E$87:$E$87,$A25-2)</f>
        <v>0</v>
      </c>
      <c r="G25" s="138">
        <f>SUMIFS('Master Budget Sheet'!$AL$87:$AL$87,'Master Budget Sheet'!$F$87:$F$87,G$24,'Master Budget Sheet'!$E$87:$E$87,$A25-2)</f>
        <v>0</v>
      </c>
      <c r="H25" s="138">
        <f>SUMIFS('Master Budget Sheet'!$AL$87:$AL$87,'Master Budget Sheet'!$F$87:$F$87,H$24,'Master Budget Sheet'!$E$87:$E$87,$A25-2)</f>
        <v>0</v>
      </c>
    </row>
    <row r="26" spans="1:8" ht="10.95" customHeight="1">
      <c r="A26" s="133">
        <v>1</v>
      </c>
      <c r="B26" s="138">
        <f>SUMIFS('Master Budget Sheet'!$AL$87:$AL$87,'Master Budget Sheet'!$F$87:$F$87,B$24,'Master Budget Sheet'!$E$87:$E$87,$A26-2)</f>
        <v>0</v>
      </c>
      <c r="C26" s="138">
        <f>SUMIFS('Master Budget Sheet'!$AL$87:$AL$87,'Master Budget Sheet'!$F$87:$F$87,C$24,'Master Budget Sheet'!$E$87:$E$87,$A26-2)</f>
        <v>0</v>
      </c>
      <c r="D26" s="138">
        <f>SUMIFS('Master Budget Sheet'!$AL$87:$AL$87,'Master Budget Sheet'!$F$87:$F$87,D$24,'Master Budget Sheet'!$E$87:$E$87,$A26-2)</f>
        <v>0</v>
      </c>
      <c r="E26" s="138">
        <f>SUMIFS('Master Budget Sheet'!$AL$87:$AL$87,'Master Budget Sheet'!$F$87:$F$87,E$24,'Master Budget Sheet'!$E$87:$E$87,$A26-2)</f>
        <v>0</v>
      </c>
      <c r="F26" s="138">
        <f>SUMIFS('Master Budget Sheet'!$AL$87:$AL$87,'Master Budget Sheet'!$F$87:$F$87,F$24,'Master Budget Sheet'!$E$87:$E$87,$A26-2)</f>
        <v>0</v>
      </c>
      <c r="G26" s="138">
        <f>SUMIFS('Master Budget Sheet'!$AL$87:$AL$87,'Master Budget Sheet'!$F$87:$F$87,G$24,'Master Budget Sheet'!$E$87:$E$87,$A26-2)</f>
        <v>0</v>
      </c>
      <c r="H26" s="138">
        <f>SUMIFS('Master Budget Sheet'!$AL$87:$AL$87,'Master Budget Sheet'!$F$87:$F$87,H$24,'Master Budget Sheet'!$E$87:$E$87,$A26-2)</f>
        <v>0</v>
      </c>
    </row>
    <row r="27" spans="1:8" ht="10.95" customHeight="1">
      <c r="A27" s="133">
        <v>2</v>
      </c>
      <c r="B27" s="138">
        <f>SUMIFS('Master Budget Sheet'!$AL$87:$AL$87,'Master Budget Sheet'!$F$87:$F$87,B$24,'Master Budget Sheet'!$E$87:$E$87,$A27-2)</f>
        <v>0</v>
      </c>
      <c r="C27" s="138">
        <f>SUMIFS('Master Budget Sheet'!$AL$87:$AL$87,'Master Budget Sheet'!$F$87:$F$87,C$24,'Master Budget Sheet'!$E$87:$E$87,$A27-2)</f>
        <v>0</v>
      </c>
      <c r="D27" s="138">
        <f>SUMIFS('Master Budget Sheet'!$AL$87:$AL$87,'Master Budget Sheet'!$F$87:$F$87,D$24,'Master Budget Sheet'!$E$87:$E$87,$A27-2)</f>
        <v>0</v>
      </c>
      <c r="E27" s="138">
        <f>SUMIFS('Master Budget Sheet'!$AL$87:$AL$87,'Master Budget Sheet'!$F$87:$F$87,E$24,'Master Budget Sheet'!$E$87:$E$87,$A27-2)</f>
        <v>0</v>
      </c>
      <c r="F27" s="138">
        <f>SUMIFS('Master Budget Sheet'!$AL$87:$AL$87,'Master Budget Sheet'!$F$87:$F$87,F$24,'Master Budget Sheet'!$E$87:$E$87,$A27-2)</f>
        <v>0</v>
      </c>
      <c r="G27" s="138">
        <f>SUMIFS('Master Budget Sheet'!$AL$87:$AL$87,'Master Budget Sheet'!$F$87:$F$87,G$24,'Master Budget Sheet'!$E$87:$E$87,$A27-2)</f>
        <v>0</v>
      </c>
      <c r="H27" s="138">
        <f>SUMIFS('Master Budget Sheet'!$AL$87:$AL$87,'Master Budget Sheet'!$F$87:$F$87,H$24,'Master Budget Sheet'!$E$87:$E$87,$A27-2)</f>
        <v>0</v>
      </c>
    </row>
    <row r="28" spans="1:8" ht="10.95" customHeight="1">
      <c r="A28" s="133">
        <v>3</v>
      </c>
      <c r="B28" s="138">
        <f>SUMIFS('Master Budget Sheet'!$AL$87:$AL$87,'Master Budget Sheet'!$F$87:$F$87,B$24,'Master Budget Sheet'!$E$87:$E$87,$A28-2)</f>
        <v>0</v>
      </c>
      <c r="C28" s="138">
        <f>SUMIFS('Master Budget Sheet'!$AL$87:$AL$87,'Master Budget Sheet'!$F$87:$F$87,C$24,'Master Budget Sheet'!$E$87:$E$87,$A28-2)</f>
        <v>0</v>
      </c>
      <c r="D28" s="138">
        <f>SUMIFS('Master Budget Sheet'!$AL$87:$AL$87,'Master Budget Sheet'!$F$87:$F$87,D$24,'Master Budget Sheet'!$E$87:$E$87,$A28-2)</f>
        <v>0</v>
      </c>
      <c r="E28" s="138">
        <f>SUMIFS('Master Budget Sheet'!$AL$87:$AL$87,'Master Budget Sheet'!$F$87:$F$87,E$24,'Master Budget Sheet'!$E$87:$E$87,$A28-2)</f>
        <v>0</v>
      </c>
      <c r="F28" s="138">
        <f>SUMIFS('Master Budget Sheet'!$AL$87:$AL$87,'Master Budget Sheet'!$F$87:$F$87,F$24,'Master Budget Sheet'!$E$87:$E$87,$A28-2)</f>
        <v>0</v>
      </c>
      <c r="G28" s="138">
        <f>SUMIFS('Master Budget Sheet'!$AL$87:$AL$87,'Master Budget Sheet'!$F$87:$F$87,G$24,'Master Budget Sheet'!$E$87:$E$87,$A28-2)</f>
        <v>0</v>
      </c>
      <c r="H28" s="138">
        <f>SUMIFS('Master Budget Sheet'!$AL$87:$AL$87,'Master Budget Sheet'!$F$87:$F$87,H$24,'Master Budget Sheet'!$E$87:$E$87,$A28-2)</f>
        <v>0</v>
      </c>
    </row>
    <row r="29" spans="1:8" ht="10.95" customHeight="1">
      <c r="A29" s="133">
        <v>4</v>
      </c>
      <c r="B29" s="138">
        <f>SUMIFS('Master Budget Sheet'!$AL$87:$AL$87,'Master Budget Sheet'!$F$87:$F$87,B$24,'Master Budget Sheet'!$E$87:$E$87,$A29-2)</f>
        <v>0</v>
      </c>
      <c r="C29" s="138">
        <f>SUMIFS('Master Budget Sheet'!$AL$87:$AL$87,'Master Budget Sheet'!$F$87:$F$87,C$24,'Master Budget Sheet'!$E$87:$E$87,$A29-2)</f>
        <v>0</v>
      </c>
      <c r="D29" s="138">
        <f>SUMIFS('Master Budget Sheet'!$AL$87:$AL$87,'Master Budget Sheet'!$F$87:$F$87,D$24,'Master Budget Sheet'!$E$87:$E$87,$A29-2)</f>
        <v>0</v>
      </c>
      <c r="E29" s="138">
        <f>SUMIFS('Master Budget Sheet'!$AL$87:$AL$87,'Master Budget Sheet'!$F$87:$F$87,E$24,'Master Budget Sheet'!$E$87:$E$87,$A29-2)</f>
        <v>0</v>
      </c>
      <c r="F29" s="138">
        <f>SUMIFS('Master Budget Sheet'!$AL$87:$AL$87,'Master Budget Sheet'!$F$87:$F$87,F$24,'Master Budget Sheet'!$E$87:$E$87,$A29-2)</f>
        <v>0</v>
      </c>
      <c r="G29" s="138">
        <f>SUMIFS('Master Budget Sheet'!$AL$87:$AL$87,'Master Budget Sheet'!$F$87:$F$87,G$24,'Master Budget Sheet'!$E$87:$E$87,$A29-2)</f>
        <v>0</v>
      </c>
      <c r="H29" s="138">
        <f>SUMIFS('Master Budget Sheet'!$AL$87:$AL$87,'Master Budget Sheet'!$F$87:$F$87,H$24,'Master Budget Sheet'!$E$87:$E$87,$A29-2)</f>
        <v>1</v>
      </c>
    </row>
    <row r="30" spans="1:8" ht="10.95" customHeight="1">
      <c r="A30" s="133">
        <v>5</v>
      </c>
      <c r="B30" s="138">
        <f>SUMIFS('Master Budget Sheet'!$AL$87:$AL$87,'Master Budget Sheet'!$F$87:$F$87,B$24,'Master Budget Sheet'!$E$87:$E$87,$A30-2)</f>
        <v>0</v>
      </c>
      <c r="C30" s="138">
        <f>SUMIFS('Master Budget Sheet'!$AL$87:$AL$87,'Master Budget Sheet'!$F$87:$F$87,C$24,'Master Budget Sheet'!$E$87:$E$87,$A30-2)</f>
        <v>0</v>
      </c>
      <c r="D30" s="138">
        <f>SUMIFS('Master Budget Sheet'!$AL$87:$AL$87,'Master Budget Sheet'!$F$87:$F$87,D$24,'Master Budget Sheet'!$E$87:$E$87,$A30-2)</f>
        <v>0</v>
      </c>
      <c r="E30" s="138">
        <f>SUMIFS('Master Budget Sheet'!$AL$87:$AL$87,'Master Budget Sheet'!$F$87:$F$87,E$24,'Master Budget Sheet'!$E$87:$E$87,$A30-2)</f>
        <v>0</v>
      </c>
      <c r="F30" s="138">
        <f>SUMIFS('Master Budget Sheet'!$AL$87:$AL$87,'Master Budget Sheet'!$F$87:$F$87,F$24,'Master Budget Sheet'!$E$87:$E$87,$A30-2)</f>
        <v>0</v>
      </c>
      <c r="G30" s="138">
        <f>SUMIFS('Master Budget Sheet'!$AL$87:$AL$87,'Master Budget Sheet'!$F$87:$F$87,G$24,'Master Budget Sheet'!$E$87:$E$87,$A30-2)</f>
        <v>0</v>
      </c>
      <c r="H30" s="138">
        <f>SUMIFS('Master Budget Sheet'!$AL$87:$AL$87,'Master Budget Sheet'!$F$87:$F$87,H$24,'Master Budget Sheet'!$E$87:$E$87,$A30-2)</f>
        <v>0</v>
      </c>
    </row>
    <row r="31" spans="1:8" ht="10.95" customHeight="1">
      <c r="A31" s="133">
        <v>6</v>
      </c>
      <c r="B31" s="138">
        <f>SUMIFS('Master Budget Sheet'!$AL$87:$AL$87,'Master Budget Sheet'!$F$87:$F$87,B$24,'Master Budget Sheet'!$E$87:$E$87,$A31-2)</f>
        <v>0</v>
      </c>
      <c r="C31" s="138">
        <f>SUMIFS('Master Budget Sheet'!$AL$87:$AL$87,'Master Budget Sheet'!$F$87:$F$87,C$24,'Master Budget Sheet'!$E$87:$E$87,$A31-2)</f>
        <v>0</v>
      </c>
      <c r="D31" s="138">
        <f>SUMIFS('Master Budget Sheet'!$AL$87:$AL$87,'Master Budget Sheet'!$F$87:$F$87,D$24,'Master Budget Sheet'!$E$87:$E$87,$A31-2)</f>
        <v>0</v>
      </c>
      <c r="E31" s="138">
        <f>SUMIFS('Master Budget Sheet'!$AL$87:$AL$87,'Master Budget Sheet'!$F$87:$F$87,E$24,'Master Budget Sheet'!$E$87:$E$87,$A31-2)</f>
        <v>0</v>
      </c>
      <c r="F31" s="138">
        <f>SUMIFS('Master Budget Sheet'!$AL$87:$AL$87,'Master Budget Sheet'!$F$87:$F$87,F$24,'Master Budget Sheet'!$E$87:$E$87,$A31-2)</f>
        <v>0</v>
      </c>
      <c r="G31" s="138">
        <f>SUMIFS('Master Budget Sheet'!$AL$87:$AL$87,'Master Budget Sheet'!$F$87:$F$87,G$24,'Master Budget Sheet'!$E$87:$E$87,$A31-2)</f>
        <v>0</v>
      </c>
      <c r="H31" s="138">
        <f>SUMIFS('Master Budget Sheet'!$AL$87:$AL$87,'Master Budget Sheet'!$F$87:$F$87,H$24,'Master Budget Sheet'!$E$87:$E$87,$A31-2)</f>
        <v>0</v>
      </c>
    </row>
    <row r="32" spans="1:8" ht="10.95" customHeight="1">
      <c r="A32" s="133">
        <v>7</v>
      </c>
      <c r="B32" s="138">
        <f>SUMIFS('Master Budget Sheet'!$AL$87:$AL$87,'Master Budget Sheet'!$F$87:$F$87,B$24,'Master Budget Sheet'!$E$87:$E$87,$A32-2)</f>
        <v>0</v>
      </c>
      <c r="C32" s="138">
        <f>SUMIFS('Master Budget Sheet'!$AL$87:$AL$87,'Master Budget Sheet'!$F$87:$F$87,C$24,'Master Budget Sheet'!$E$87:$E$87,$A32-2)</f>
        <v>0</v>
      </c>
      <c r="D32" s="138">
        <f>SUMIFS('Master Budget Sheet'!$AL$87:$AL$87,'Master Budget Sheet'!$F$87:$F$87,D$24,'Master Budget Sheet'!$E$87:$E$87,$A32-2)</f>
        <v>0</v>
      </c>
      <c r="E32" s="138">
        <f>SUMIFS('Master Budget Sheet'!$AL$87:$AL$87,'Master Budget Sheet'!$F$87:$F$87,E$24,'Master Budget Sheet'!$E$87:$E$87,$A32-2)</f>
        <v>0</v>
      </c>
      <c r="F32" s="138">
        <f>SUMIFS('Master Budget Sheet'!$AL$87:$AL$87,'Master Budget Sheet'!$F$87:$F$87,F$24,'Master Budget Sheet'!$E$87:$E$87,$A32-2)</f>
        <v>0</v>
      </c>
      <c r="G32" s="138">
        <f>SUMIFS('Master Budget Sheet'!$AL$87:$AL$87,'Master Budget Sheet'!$F$87:$F$87,G$24,'Master Budget Sheet'!$E$87:$E$87,$A32-2)</f>
        <v>0</v>
      </c>
      <c r="H32" s="138">
        <f>SUMIFS('Master Budget Sheet'!$AL$87:$AL$87,'Master Budget Sheet'!$F$87:$F$87,H$24,'Master Budget Sheet'!$E$87:$E$87,$A32-2)</f>
        <v>0</v>
      </c>
    </row>
    <row r="33" spans="1:10" ht="10.95" customHeight="1">
      <c r="A33" s="133">
        <v>8</v>
      </c>
      <c r="B33" s="138">
        <f>SUMIFS('Master Budget Sheet'!$AL$87:$AL$87,'Master Budget Sheet'!$F$87:$F$87,B$24,'Master Budget Sheet'!$E$87:$E$87,$A33-2)</f>
        <v>0</v>
      </c>
      <c r="C33" s="138">
        <f>SUMIFS('Master Budget Sheet'!$AL$87:$AL$87,'Master Budget Sheet'!$F$87:$F$87,C$24,'Master Budget Sheet'!$E$87:$E$87,$A33-2)</f>
        <v>0</v>
      </c>
      <c r="D33" s="138">
        <f>SUMIFS('Master Budget Sheet'!$AL$87:$AL$87,'Master Budget Sheet'!$F$87:$F$87,D$24,'Master Budget Sheet'!$E$87:$E$87,$A33-2)</f>
        <v>0</v>
      </c>
      <c r="E33" s="138">
        <f>SUMIFS('Master Budget Sheet'!$AL$87:$AL$87,'Master Budget Sheet'!$F$87:$F$87,E$24,'Master Budget Sheet'!$E$87:$E$87,$A33-2)</f>
        <v>0</v>
      </c>
      <c r="F33" s="138">
        <f>SUMIFS('Master Budget Sheet'!$AL$87:$AL$87,'Master Budget Sheet'!$F$87:$F$87,F$24,'Master Budget Sheet'!$E$87:$E$87,$A33-2)</f>
        <v>0</v>
      </c>
      <c r="G33" s="138">
        <f>SUMIFS('Master Budget Sheet'!$AL$87:$AL$87,'Master Budget Sheet'!$F$87:$F$87,G$24,'Master Budget Sheet'!$E$87:$E$87,$A33-2)</f>
        <v>0</v>
      </c>
      <c r="H33" s="138">
        <f>SUMIFS('Master Budget Sheet'!$AL$87:$AL$87,'Master Budget Sheet'!$F$87:$F$87,H$24,'Master Budget Sheet'!$E$87:$E$87,$A33-2)</f>
        <v>0</v>
      </c>
    </row>
    <row r="34" spans="1:10" ht="10.95" customHeight="1">
      <c r="A34" s="133">
        <v>9</v>
      </c>
      <c r="B34" s="138">
        <f>SUMIFS('Master Budget Sheet'!$AL$87:$AL$87,'Master Budget Sheet'!$F$87:$F$87,B$24,'Master Budget Sheet'!$E$87:$E$87,$A34-2)</f>
        <v>0</v>
      </c>
      <c r="C34" s="138">
        <f>SUMIFS('Master Budget Sheet'!$AL$87:$AL$87,'Master Budget Sheet'!$F$87:$F$87,C$24,'Master Budget Sheet'!$E$87:$E$87,$A34-2)</f>
        <v>0</v>
      </c>
      <c r="D34" s="138">
        <f>SUMIFS('Master Budget Sheet'!$AL$87:$AL$87,'Master Budget Sheet'!$F$87:$F$87,D$24,'Master Budget Sheet'!$E$87:$E$87,$A34-2)</f>
        <v>0</v>
      </c>
      <c r="E34" s="138">
        <f>SUMIFS('Master Budget Sheet'!$AL$87:$AL$87,'Master Budget Sheet'!$F$87:$F$87,E$24,'Master Budget Sheet'!$E$87:$E$87,$A34-2)</f>
        <v>0</v>
      </c>
      <c r="F34" s="138">
        <f>SUMIFS('Master Budget Sheet'!$AL$87:$AL$87,'Master Budget Sheet'!$F$87:$F$87,F$24,'Master Budget Sheet'!$E$87:$E$87,$A34-2)</f>
        <v>0</v>
      </c>
      <c r="G34" s="138">
        <f>SUMIFS('Master Budget Sheet'!$AL$87:$AL$87,'Master Budget Sheet'!$F$87:$F$87,G$24,'Master Budget Sheet'!$E$87:$E$87,$A34-2)</f>
        <v>0</v>
      </c>
      <c r="H34" s="138">
        <f>SUMIFS('Master Budget Sheet'!$AL$87:$AL$87,'Master Budget Sheet'!$F$87:$F$87,H$24,'Master Budget Sheet'!$E$87:$E$87,$A34-2)</f>
        <v>0</v>
      </c>
    </row>
    <row r="35" spans="1:10" ht="10.95" customHeight="1">
      <c r="A35" s="133">
        <v>10</v>
      </c>
      <c r="B35" s="138">
        <f>SUMIFS('Master Budget Sheet'!$AL$87:$AL$87,'Master Budget Sheet'!$F$87:$F$87,B$24,'Master Budget Sheet'!$E$87:$E$87,$A35-2)</f>
        <v>0</v>
      </c>
      <c r="C35" s="138">
        <f>SUMIFS('Master Budget Sheet'!$AL$87:$AL$87,'Master Budget Sheet'!$F$87:$F$87,C$24,'Master Budget Sheet'!$E$87:$E$87,$A35-2)</f>
        <v>0</v>
      </c>
      <c r="D35" s="138">
        <f>SUMIFS('Master Budget Sheet'!$AL$87:$AL$87,'Master Budget Sheet'!$F$87:$F$87,D$24,'Master Budget Sheet'!$E$87:$E$87,$A35-2)</f>
        <v>0</v>
      </c>
      <c r="E35" s="138">
        <f>SUMIFS('Master Budget Sheet'!$AL$87:$AL$87,'Master Budget Sheet'!$F$87:$F$87,E$24,'Master Budget Sheet'!$E$87:$E$87,$A35-2)</f>
        <v>0</v>
      </c>
      <c r="F35" s="138">
        <f>SUMIFS('Master Budget Sheet'!$AL$87:$AL$87,'Master Budget Sheet'!$F$87:$F$87,F$24,'Master Budget Sheet'!$E$87:$E$87,$A35-2)</f>
        <v>0</v>
      </c>
      <c r="G35" s="138">
        <f>SUMIFS('Master Budget Sheet'!$AL$87:$AL$87,'Master Budget Sheet'!$F$87:$F$87,G$24,'Master Budget Sheet'!$E$87:$E$87,$A35-2)</f>
        <v>0</v>
      </c>
      <c r="H35" s="138">
        <f>SUMIFS('Master Budget Sheet'!$AL$87:$AL$87,'Master Budget Sheet'!$F$87:$F$87,H$24,'Master Budget Sheet'!$E$87:$E$87,$A35-2)</f>
        <v>0</v>
      </c>
    </row>
    <row r="36" spans="1:10" ht="10.95" customHeight="1">
      <c r="A36" s="133">
        <v>11</v>
      </c>
      <c r="B36" s="138">
        <f>SUMIFS('Master Budget Sheet'!$AL$87:$AL$87,'Master Budget Sheet'!$F$87:$F$87,B$24,'Master Budget Sheet'!$E$87:$E$87,$A36-2)</f>
        <v>0</v>
      </c>
      <c r="C36" s="138">
        <f>SUMIFS('Master Budget Sheet'!$AL$87:$AL$87,'Master Budget Sheet'!$F$87:$F$87,C$24,'Master Budget Sheet'!$E$87:$E$87,$A36-2)</f>
        <v>0</v>
      </c>
      <c r="D36" s="138">
        <f>SUMIFS('Master Budget Sheet'!$AL$87:$AL$87,'Master Budget Sheet'!$F$87:$F$87,D$24,'Master Budget Sheet'!$E$87:$E$87,$A36-2)</f>
        <v>0</v>
      </c>
      <c r="E36" s="138">
        <f>SUMIFS('Master Budget Sheet'!$AL$87:$AL$87,'Master Budget Sheet'!$F$87:$F$87,E$24,'Master Budget Sheet'!$E$87:$E$87,$A36-2)</f>
        <v>0</v>
      </c>
      <c r="F36" s="138">
        <f>SUMIFS('Master Budget Sheet'!$AL$87:$AL$87,'Master Budget Sheet'!$F$87:$F$87,F$24,'Master Budget Sheet'!$E$87:$E$87,$A36-2)</f>
        <v>0</v>
      </c>
      <c r="G36" s="138">
        <f>SUMIFS('Master Budget Sheet'!$AL$87:$AL$87,'Master Budget Sheet'!$F$87:$F$87,G$24,'Master Budget Sheet'!$E$87:$E$87,$A36-2)</f>
        <v>0</v>
      </c>
      <c r="H36" s="138">
        <f>SUMIFS('Master Budget Sheet'!$AL$87:$AL$87,'Master Budget Sheet'!$F$87:$F$87,H$24,'Master Budget Sheet'!$E$87:$E$87,$A36-2)</f>
        <v>0</v>
      </c>
    </row>
    <row r="37" spans="1:10" ht="10.95" customHeight="1">
      <c r="A37" s="133">
        <v>12</v>
      </c>
      <c r="B37" s="138">
        <f>SUMIFS('Master Budget Sheet'!$AL$87:$AL$87,'Master Budget Sheet'!$F$87:$F$87,B$24,'Master Budget Sheet'!$E$87:$E$87,$A37-2)</f>
        <v>0</v>
      </c>
      <c r="C37" s="138">
        <f>SUMIFS('Master Budget Sheet'!$AL$87:$AL$87,'Master Budget Sheet'!$F$87:$F$87,C$24,'Master Budget Sheet'!$E$87:$E$87,$A37-2)</f>
        <v>0</v>
      </c>
      <c r="D37" s="138">
        <f>SUMIFS('Master Budget Sheet'!$AL$87:$AL$87,'Master Budget Sheet'!$F$87:$F$87,D$24,'Master Budget Sheet'!$E$87:$E$87,$A37-2)</f>
        <v>0</v>
      </c>
      <c r="E37" s="138">
        <f>SUMIFS('Master Budget Sheet'!$AL$87:$AL$87,'Master Budget Sheet'!$F$87:$F$87,E$24,'Master Budget Sheet'!$E$87:$E$87,$A37-2)</f>
        <v>0</v>
      </c>
      <c r="F37" s="138">
        <f>SUMIFS('Master Budget Sheet'!$AL$87:$AL$87,'Master Budget Sheet'!$F$87:$F$87,F$24,'Master Budget Sheet'!$E$87:$E$87,$A37-2)</f>
        <v>0</v>
      </c>
      <c r="G37" s="138">
        <f>SUMIFS('Master Budget Sheet'!$AL$87:$AL$87,'Master Budget Sheet'!$F$87:$F$87,G$24,'Master Budget Sheet'!$E$87:$E$87,$A37-2)</f>
        <v>0</v>
      </c>
      <c r="H37" s="138">
        <f>SUMIFS('Master Budget Sheet'!$AL$87:$AL$87,'Master Budget Sheet'!$F$87:$F$87,H$24,'Master Budget Sheet'!$E$87:$E$87,$A37-2)</f>
        <v>0</v>
      </c>
    </row>
    <row r="38" spans="1:10" ht="10.95" customHeight="1">
      <c r="A38" s="133" t="s">
        <v>227</v>
      </c>
      <c r="B38" s="138">
        <f>SUMIFS('Master Budget Sheet'!$AL$87:$AL$87,'Master Budget Sheet'!$F$87:$F$87,B$24,'Master Budget Sheet'!$E$87:$E$87,"&gt;10")</f>
        <v>0</v>
      </c>
      <c r="C38" s="138">
        <f>SUMIFS('Master Budget Sheet'!$AL$87:$AL$87,'Master Budget Sheet'!$F$87:$F$87,C$24,'Master Budget Sheet'!$E$87:$E$87,"&gt;10")</f>
        <v>0</v>
      </c>
      <c r="D38" s="138">
        <f>SUMIFS('Master Budget Sheet'!$AL$87:$AL$87,'Master Budget Sheet'!$F$87:$F$87,D$24,'Master Budget Sheet'!$E$87:$E$87,"&gt;10")</f>
        <v>0</v>
      </c>
      <c r="E38" s="138">
        <f>SUMIFS('Master Budget Sheet'!$AL$87:$AL$87,'Master Budget Sheet'!$F$87:$F$87,E$24,'Master Budget Sheet'!$E$87:$E$87,"&gt;10")</f>
        <v>0</v>
      </c>
      <c r="F38" s="138">
        <f>SUMIFS('Master Budget Sheet'!$AL$87:$AL$87,'Master Budget Sheet'!$F$87:$F$87,F$24,'Master Budget Sheet'!$E$87:$E$87,"&gt;10")</f>
        <v>0</v>
      </c>
      <c r="G38" s="138">
        <f>SUMIFS('Master Budget Sheet'!$AL$87:$AL$87,'Master Budget Sheet'!$F$87:$F$87,G$24,'Master Budget Sheet'!$E$87:$E$87,"&gt;10")</f>
        <v>0</v>
      </c>
      <c r="H38" s="138">
        <f>SUMIFS('Master Budget Sheet'!$AL$87:$AL$87,'Master Budget Sheet'!$F$87:$F$87,H$24,'Master Budget Sheet'!$E$87:$E$87,"&gt;10")</f>
        <v>0</v>
      </c>
    </row>
    <row r="39" spans="1:10" s="143" customFormat="1" ht="10.95" customHeight="1">
      <c r="A39" s="140" t="s">
        <v>229</v>
      </c>
      <c r="B39" s="141">
        <f t="shared" ref="B39:H39" si="0">ROUND(SUM(B25:B38),5)</f>
        <v>0</v>
      </c>
      <c r="C39" s="141">
        <f t="shared" si="0"/>
        <v>0</v>
      </c>
      <c r="D39" s="141">
        <f t="shared" si="0"/>
        <v>0</v>
      </c>
      <c r="E39" s="141">
        <f t="shared" si="0"/>
        <v>0</v>
      </c>
      <c r="F39" s="141">
        <f t="shared" si="0"/>
        <v>0</v>
      </c>
      <c r="G39" s="141">
        <f t="shared" si="0"/>
        <v>0</v>
      </c>
      <c r="H39" s="141">
        <f t="shared" si="0"/>
        <v>1</v>
      </c>
      <c r="I39" s="142"/>
    </row>
    <row r="40" spans="1:10" ht="10.95" customHeight="1">
      <c r="A40" s="136"/>
      <c r="B40" s="129"/>
      <c r="C40" s="129"/>
      <c r="D40" s="129"/>
      <c r="E40" s="129"/>
      <c r="F40" s="144" t="s">
        <v>230</v>
      </c>
      <c r="G40" s="145" t="s">
        <v>231</v>
      </c>
      <c r="H40" s="146">
        <f>ROUND(SUM(B39:H39),5)</f>
        <v>1</v>
      </c>
    </row>
    <row r="41" spans="1:10" ht="10.95" customHeight="1">
      <c r="A41" s="136"/>
      <c r="B41" s="129"/>
      <c r="C41" s="129"/>
      <c r="D41" s="129"/>
      <c r="E41" s="147"/>
      <c r="F41" s="148"/>
      <c r="G41" s="149"/>
      <c r="H41" s="150"/>
      <c r="I41" s="147"/>
    </row>
    <row r="42" spans="1:10" ht="10.95" customHeight="1">
      <c r="A42" s="128" t="s">
        <v>232</v>
      </c>
      <c r="B42" s="128"/>
      <c r="C42" s="128"/>
      <c r="D42" s="128"/>
      <c r="E42" s="128"/>
      <c r="F42" s="128"/>
      <c r="G42" s="128"/>
      <c r="H42" s="128"/>
    </row>
    <row r="43" spans="1:10" ht="10.95" customHeight="1">
      <c r="A43" s="133"/>
      <c r="B43" s="151"/>
      <c r="C43" s="151"/>
      <c r="D43" s="151"/>
      <c r="E43" s="133" t="s">
        <v>215</v>
      </c>
      <c r="F43" s="133" t="s">
        <v>216</v>
      </c>
      <c r="G43" s="133" t="s">
        <v>217</v>
      </c>
      <c r="H43" s="133" t="s">
        <v>218</v>
      </c>
    </row>
    <row r="44" spans="1:10" ht="10.95" customHeight="1">
      <c r="A44" s="133" t="s">
        <v>219</v>
      </c>
      <c r="B44" s="133" t="s">
        <v>220</v>
      </c>
      <c r="C44" s="133" t="s">
        <v>221</v>
      </c>
      <c r="D44" s="133" t="s">
        <v>222</v>
      </c>
      <c r="E44" s="133" t="s">
        <v>223</v>
      </c>
      <c r="F44" s="133" t="s">
        <v>224</v>
      </c>
      <c r="G44" s="133" t="s">
        <v>225</v>
      </c>
      <c r="H44" s="133" t="s">
        <v>226</v>
      </c>
    </row>
    <row r="45" spans="1:10" ht="10.95" customHeight="1">
      <c r="A45" s="133">
        <v>0</v>
      </c>
      <c r="B45" s="141">
        <f t="shared" ref="B45:H58" si="1">ROUND((+B6*B25),5)</f>
        <v>0</v>
      </c>
      <c r="C45" s="141">
        <f t="shared" si="1"/>
        <v>0</v>
      </c>
      <c r="D45" s="141">
        <f t="shared" si="1"/>
        <v>0</v>
      </c>
      <c r="E45" s="141">
        <f t="shared" si="1"/>
        <v>0</v>
      </c>
      <c r="F45" s="141">
        <f t="shared" si="1"/>
        <v>0</v>
      </c>
      <c r="G45" s="141">
        <f t="shared" si="1"/>
        <v>0</v>
      </c>
      <c r="H45" s="141">
        <f t="shared" si="1"/>
        <v>0</v>
      </c>
      <c r="I45" s="142"/>
      <c r="J45" s="136"/>
    </row>
    <row r="46" spans="1:10" ht="10.95" customHeight="1">
      <c r="A46" s="133">
        <v>1</v>
      </c>
      <c r="B46" s="141">
        <f t="shared" si="1"/>
        <v>0</v>
      </c>
      <c r="C46" s="141">
        <f t="shared" si="1"/>
        <v>0</v>
      </c>
      <c r="D46" s="141">
        <f t="shared" si="1"/>
        <v>0</v>
      </c>
      <c r="E46" s="141">
        <f t="shared" si="1"/>
        <v>0</v>
      </c>
      <c r="F46" s="141">
        <f t="shared" si="1"/>
        <v>0</v>
      </c>
      <c r="G46" s="141">
        <f t="shared" si="1"/>
        <v>0</v>
      </c>
      <c r="H46" s="141">
        <f t="shared" si="1"/>
        <v>0</v>
      </c>
      <c r="I46" s="142"/>
      <c r="J46" s="136"/>
    </row>
    <row r="47" spans="1:10" ht="10.95" customHeight="1">
      <c r="A47" s="133">
        <v>2</v>
      </c>
      <c r="B47" s="141">
        <f t="shared" si="1"/>
        <v>0</v>
      </c>
      <c r="C47" s="141">
        <f t="shared" si="1"/>
        <v>0</v>
      </c>
      <c r="D47" s="141">
        <f t="shared" si="1"/>
        <v>0</v>
      </c>
      <c r="E47" s="141">
        <f t="shared" si="1"/>
        <v>0</v>
      </c>
      <c r="F47" s="141">
        <f t="shared" si="1"/>
        <v>0</v>
      </c>
      <c r="G47" s="141">
        <f t="shared" si="1"/>
        <v>0</v>
      </c>
      <c r="H47" s="141">
        <f t="shared" si="1"/>
        <v>0</v>
      </c>
      <c r="I47" s="142"/>
      <c r="J47" s="136"/>
    </row>
    <row r="48" spans="1:10" ht="10.95" customHeight="1">
      <c r="A48" s="133">
        <v>3</v>
      </c>
      <c r="B48" s="141">
        <f t="shared" si="1"/>
        <v>0</v>
      </c>
      <c r="C48" s="141">
        <f t="shared" si="1"/>
        <v>0</v>
      </c>
      <c r="D48" s="141">
        <f t="shared" si="1"/>
        <v>0</v>
      </c>
      <c r="E48" s="141">
        <f t="shared" si="1"/>
        <v>0</v>
      </c>
      <c r="F48" s="141">
        <f t="shared" si="1"/>
        <v>0</v>
      </c>
      <c r="G48" s="141">
        <f t="shared" si="1"/>
        <v>0</v>
      </c>
      <c r="H48" s="141">
        <f t="shared" si="1"/>
        <v>0</v>
      </c>
      <c r="I48" s="142"/>
      <c r="J48" s="136"/>
    </row>
    <row r="49" spans="1:10" ht="10.95" customHeight="1">
      <c r="A49" s="133">
        <v>4</v>
      </c>
      <c r="B49" s="141">
        <f t="shared" si="1"/>
        <v>0</v>
      </c>
      <c r="C49" s="141">
        <f t="shared" si="1"/>
        <v>0</v>
      </c>
      <c r="D49" s="141">
        <f t="shared" si="1"/>
        <v>0</v>
      </c>
      <c r="E49" s="141">
        <f t="shared" si="1"/>
        <v>0</v>
      </c>
      <c r="F49" s="141">
        <f t="shared" si="1"/>
        <v>0</v>
      </c>
      <c r="G49" s="141">
        <f t="shared" si="1"/>
        <v>0</v>
      </c>
      <c r="H49" s="141">
        <f t="shared" si="1"/>
        <v>1.4451000000000001</v>
      </c>
      <c r="I49" s="142"/>
      <c r="J49" s="136"/>
    </row>
    <row r="50" spans="1:10" ht="10.95" customHeight="1">
      <c r="A50" s="133">
        <v>5</v>
      </c>
      <c r="B50" s="141">
        <f t="shared" si="1"/>
        <v>0</v>
      </c>
      <c r="C50" s="141">
        <f t="shared" si="1"/>
        <v>0</v>
      </c>
      <c r="D50" s="141">
        <f t="shared" si="1"/>
        <v>0</v>
      </c>
      <c r="E50" s="141">
        <f t="shared" si="1"/>
        <v>0</v>
      </c>
      <c r="F50" s="141">
        <f t="shared" si="1"/>
        <v>0</v>
      </c>
      <c r="G50" s="141">
        <f t="shared" si="1"/>
        <v>0</v>
      </c>
      <c r="H50" s="141">
        <f t="shared" si="1"/>
        <v>0</v>
      </c>
      <c r="I50" s="142"/>
      <c r="J50" s="136"/>
    </row>
    <row r="51" spans="1:10" ht="10.95" customHeight="1">
      <c r="A51" s="133">
        <v>6</v>
      </c>
      <c r="B51" s="141">
        <f t="shared" si="1"/>
        <v>0</v>
      </c>
      <c r="C51" s="141">
        <f t="shared" si="1"/>
        <v>0</v>
      </c>
      <c r="D51" s="141">
        <f t="shared" si="1"/>
        <v>0</v>
      </c>
      <c r="E51" s="141">
        <f t="shared" si="1"/>
        <v>0</v>
      </c>
      <c r="F51" s="141">
        <f t="shared" si="1"/>
        <v>0</v>
      </c>
      <c r="G51" s="141">
        <f t="shared" si="1"/>
        <v>0</v>
      </c>
      <c r="H51" s="141">
        <f t="shared" si="1"/>
        <v>0</v>
      </c>
      <c r="I51" s="142"/>
      <c r="J51" s="136"/>
    </row>
    <row r="52" spans="1:10" ht="10.95" customHeight="1">
      <c r="A52" s="133">
        <v>7</v>
      </c>
      <c r="B52" s="141">
        <f t="shared" si="1"/>
        <v>0</v>
      </c>
      <c r="C52" s="141">
        <f t="shared" si="1"/>
        <v>0</v>
      </c>
      <c r="D52" s="141">
        <f t="shared" si="1"/>
        <v>0</v>
      </c>
      <c r="E52" s="141">
        <f t="shared" si="1"/>
        <v>0</v>
      </c>
      <c r="F52" s="141">
        <f t="shared" si="1"/>
        <v>0</v>
      </c>
      <c r="G52" s="141">
        <f t="shared" si="1"/>
        <v>0</v>
      </c>
      <c r="H52" s="141">
        <f t="shared" si="1"/>
        <v>0</v>
      </c>
      <c r="I52" s="142"/>
      <c r="J52" s="136"/>
    </row>
    <row r="53" spans="1:10" ht="10.95" customHeight="1">
      <c r="A53" s="133">
        <v>8</v>
      </c>
      <c r="B53" s="141">
        <f t="shared" si="1"/>
        <v>0</v>
      </c>
      <c r="C53" s="141">
        <f t="shared" si="1"/>
        <v>0</v>
      </c>
      <c r="D53" s="141">
        <f t="shared" si="1"/>
        <v>0</v>
      </c>
      <c r="E53" s="141">
        <f t="shared" si="1"/>
        <v>0</v>
      </c>
      <c r="F53" s="141">
        <f t="shared" si="1"/>
        <v>0</v>
      </c>
      <c r="G53" s="141">
        <f t="shared" si="1"/>
        <v>0</v>
      </c>
      <c r="H53" s="141">
        <f t="shared" si="1"/>
        <v>0</v>
      </c>
      <c r="I53" s="142"/>
      <c r="J53" s="136"/>
    </row>
    <row r="54" spans="1:10" ht="10.95" customHeight="1">
      <c r="A54" s="133">
        <v>9</v>
      </c>
      <c r="B54" s="141">
        <f t="shared" si="1"/>
        <v>0</v>
      </c>
      <c r="C54" s="141">
        <f t="shared" si="1"/>
        <v>0</v>
      </c>
      <c r="D54" s="141">
        <f t="shared" si="1"/>
        <v>0</v>
      </c>
      <c r="E54" s="141">
        <f t="shared" si="1"/>
        <v>0</v>
      </c>
      <c r="F54" s="141">
        <f t="shared" si="1"/>
        <v>0</v>
      </c>
      <c r="G54" s="141">
        <f t="shared" si="1"/>
        <v>0</v>
      </c>
      <c r="H54" s="141">
        <f t="shared" si="1"/>
        <v>0</v>
      </c>
      <c r="I54" s="142"/>
      <c r="J54" s="136"/>
    </row>
    <row r="55" spans="1:10" ht="10.95" customHeight="1">
      <c r="A55" s="133">
        <v>10</v>
      </c>
      <c r="B55" s="141">
        <f t="shared" si="1"/>
        <v>0</v>
      </c>
      <c r="C55" s="141">
        <f t="shared" si="1"/>
        <v>0</v>
      </c>
      <c r="D55" s="141">
        <f t="shared" si="1"/>
        <v>0</v>
      </c>
      <c r="E55" s="141">
        <f t="shared" si="1"/>
        <v>0</v>
      </c>
      <c r="F55" s="141">
        <f t="shared" si="1"/>
        <v>0</v>
      </c>
      <c r="G55" s="141">
        <f t="shared" si="1"/>
        <v>0</v>
      </c>
      <c r="H55" s="141">
        <f t="shared" si="1"/>
        <v>0</v>
      </c>
      <c r="I55" s="142"/>
      <c r="J55" s="136"/>
    </row>
    <row r="56" spans="1:10" ht="10.95" customHeight="1">
      <c r="A56" s="133">
        <v>11</v>
      </c>
      <c r="B56" s="141">
        <f t="shared" si="1"/>
        <v>0</v>
      </c>
      <c r="C56" s="141">
        <f t="shared" si="1"/>
        <v>0</v>
      </c>
      <c r="D56" s="141">
        <f t="shared" si="1"/>
        <v>0</v>
      </c>
      <c r="E56" s="141">
        <f t="shared" si="1"/>
        <v>0</v>
      </c>
      <c r="F56" s="141">
        <f t="shared" si="1"/>
        <v>0</v>
      </c>
      <c r="G56" s="141">
        <f t="shared" si="1"/>
        <v>0</v>
      </c>
      <c r="H56" s="141">
        <f t="shared" si="1"/>
        <v>0</v>
      </c>
      <c r="I56" s="142"/>
      <c r="J56" s="136"/>
    </row>
    <row r="57" spans="1:10" ht="10.95" customHeight="1">
      <c r="A57" s="133">
        <v>12</v>
      </c>
      <c r="B57" s="141">
        <f t="shared" si="1"/>
        <v>0</v>
      </c>
      <c r="C57" s="141">
        <f t="shared" si="1"/>
        <v>0</v>
      </c>
      <c r="D57" s="141">
        <f t="shared" si="1"/>
        <v>0</v>
      </c>
      <c r="E57" s="141">
        <f t="shared" si="1"/>
        <v>0</v>
      </c>
      <c r="F57" s="141">
        <f t="shared" si="1"/>
        <v>0</v>
      </c>
      <c r="G57" s="141">
        <f t="shared" si="1"/>
        <v>0</v>
      </c>
      <c r="H57" s="141">
        <f t="shared" si="1"/>
        <v>0</v>
      </c>
      <c r="I57" s="142"/>
      <c r="J57" s="136"/>
    </row>
    <row r="58" spans="1:10" ht="10.95" customHeight="1">
      <c r="A58" s="133" t="s">
        <v>227</v>
      </c>
      <c r="B58" s="141">
        <f t="shared" si="1"/>
        <v>0</v>
      </c>
      <c r="C58" s="141">
        <f t="shared" si="1"/>
        <v>0</v>
      </c>
      <c r="D58" s="141">
        <f t="shared" si="1"/>
        <v>0</v>
      </c>
      <c r="E58" s="141">
        <f t="shared" si="1"/>
        <v>0</v>
      </c>
      <c r="F58" s="141">
        <f t="shared" si="1"/>
        <v>0</v>
      </c>
      <c r="G58" s="141">
        <f t="shared" si="1"/>
        <v>0</v>
      </c>
      <c r="H58" s="141">
        <f t="shared" si="1"/>
        <v>0</v>
      </c>
      <c r="I58" s="142"/>
      <c r="J58" s="136"/>
    </row>
    <row r="59" spans="1:10" s="153" customFormat="1" ht="10.95" customHeight="1">
      <c r="A59" s="133" t="s">
        <v>229</v>
      </c>
      <c r="B59" s="141">
        <f t="shared" ref="B59:H59" si="2">ROUND(SUM(B45:B58),5)</f>
        <v>0</v>
      </c>
      <c r="C59" s="141">
        <f t="shared" si="2"/>
        <v>0</v>
      </c>
      <c r="D59" s="141">
        <f t="shared" si="2"/>
        <v>0</v>
      </c>
      <c r="E59" s="141">
        <f t="shared" si="2"/>
        <v>0</v>
      </c>
      <c r="F59" s="141">
        <f t="shared" si="2"/>
        <v>0</v>
      </c>
      <c r="G59" s="141">
        <f t="shared" si="2"/>
        <v>0</v>
      </c>
      <c r="H59" s="141">
        <f t="shared" si="2"/>
        <v>1.4451000000000001</v>
      </c>
      <c r="I59" s="152"/>
    </row>
    <row r="60" spans="1:10" ht="16.95" customHeight="1">
      <c r="A60" s="136"/>
      <c r="B60" s="154"/>
      <c r="C60" s="154"/>
      <c r="D60" s="154"/>
      <c r="E60" s="154"/>
      <c r="F60" s="155" t="s">
        <v>233</v>
      </c>
      <c r="G60" s="156" t="s">
        <v>234</v>
      </c>
      <c r="H60" s="157">
        <f>ROUND(SUM(B59:H59),5)</f>
        <v>1.4451000000000001</v>
      </c>
    </row>
    <row r="61" spans="1:10" ht="10.95" customHeight="1">
      <c r="A61" s="136"/>
      <c r="B61" s="158"/>
      <c r="C61" s="158"/>
      <c r="D61" s="158"/>
      <c r="E61" s="158"/>
      <c r="F61" s="159" t="s">
        <v>235</v>
      </c>
      <c r="G61" s="160" t="s">
        <v>236</v>
      </c>
      <c r="H61" s="161">
        <f>IF(H40=0,0,ROUND(H60/H40,6))</f>
        <v>1.4451000000000001</v>
      </c>
    </row>
    <row r="62" spans="1:10" ht="10.95" customHeight="1">
      <c r="A62" s="136"/>
      <c r="B62" s="129"/>
      <c r="C62" s="129"/>
      <c r="D62" s="129"/>
      <c r="E62" s="129"/>
      <c r="F62" s="129"/>
      <c r="G62" s="129"/>
      <c r="H62" s="129"/>
    </row>
    <row r="63" spans="1:10" ht="10.95" customHeight="1">
      <c r="A63" s="162"/>
      <c r="B63" s="129"/>
      <c r="C63" s="129"/>
      <c r="D63" s="129"/>
      <c r="E63" s="129"/>
      <c r="F63" s="129"/>
      <c r="G63" s="129"/>
      <c r="H63" s="129"/>
    </row>
    <row r="64" spans="1:10" ht="10.95" customHeight="1">
      <c r="A64" s="162"/>
    </row>
    <row r="65" spans="1:1" ht="10.95" customHeight="1">
      <c r="A65" s="162"/>
    </row>
    <row r="66" spans="1:1" ht="10.95" customHeight="1">
      <c r="A66" s="162"/>
    </row>
    <row r="67" spans="1:1" ht="10.95" customHeight="1">
      <c r="A67" s="162"/>
    </row>
    <row r="68" spans="1:1" ht="10.95" customHeight="1">
      <c r="A68" s="162"/>
    </row>
    <row r="69" spans="1:1" ht="10.95" customHeight="1">
      <c r="A69" s="162"/>
    </row>
    <row r="70" spans="1:1" ht="10.95" customHeight="1">
      <c r="A70" s="162"/>
    </row>
    <row r="71" spans="1:1" ht="10.95" customHeight="1">
      <c r="A71" s="162"/>
    </row>
    <row r="72" spans="1:1" ht="10.95" customHeight="1">
      <c r="A72" s="162"/>
    </row>
    <row r="73" spans="1:1" ht="10.95" customHeight="1">
      <c r="A73" s="162"/>
    </row>
    <row r="74" spans="1:1" ht="10.95" customHeight="1">
      <c r="A74" s="162"/>
    </row>
    <row r="75" spans="1:1" ht="10.95" customHeight="1">
      <c r="A75" s="162"/>
    </row>
    <row r="76" spans="1:1" ht="10.95" customHeight="1">
      <c r="A76" s="162"/>
    </row>
    <row r="77" spans="1:1" ht="10.95" customHeight="1">
      <c r="A77" s="162"/>
    </row>
    <row r="78" spans="1:1" ht="10.95" customHeight="1">
      <c r="A78" s="162"/>
    </row>
    <row r="79" spans="1:1" ht="10.95" customHeight="1">
      <c r="A79" s="162"/>
    </row>
    <row r="80" spans="1:1" ht="10.95" customHeight="1">
      <c r="A80" s="162"/>
    </row>
    <row r="81" spans="1:1" ht="10.95" customHeight="1">
      <c r="A81" s="162"/>
    </row>
    <row r="82" spans="1:1" ht="10.95" customHeight="1">
      <c r="A82" s="162"/>
    </row>
    <row r="83" spans="1:1" ht="10.95" customHeight="1">
      <c r="A83" s="162"/>
    </row>
    <row r="84" spans="1:1" ht="10.95" customHeight="1">
      <c r="A84" s="162"/>
    </row>
    <row r="85" spans="1:1" ht="10.95" customHeight="1">
      <c r="A85" s="162"/>
    </row>
    <row r="86" spans="1:1" ht="10.95" customHeight="1">
      <c r="A86" s="162"/>
    </row>
    <row r="87" spans="1:1" ht="10.95" customHeight="1">
      <c r="A87" s="162"/>
    </row>
    <row r="88" spans="1:1" ht="10.95" customHeight="1">
      <c r="A88" s="162"/>
    </row>
    <row r="89" spans="1:1" ht="10.95" customHeight="1">
      <c r="A89" s="162"/>
    </row>
    <row r="90" spans="1:1" ht="10.95" customHeight="1">
      <c r="A90" s="162"/>
    </row>
    <row r="91" spans="1:1" ht="10.95" customHeight="1">
      <c r="A91" s="162"/>
    </row>
    <row r="92" spans="1:1" ht="10.95" customHeight="1">
      <c r="A92" s="162"/>
    </row>
    <row r="93" spans="1:1" ht="10.95" customHeight="1">
      <c r="A93" s="162"/>
    </row>
    <row r="94" spans="1:1" ht="10.95" customHeight="1">
      <c r="A94" s="162"/>
    </row>
    <row r="95" spans="1:1" ht="10.95" customHeight="1">
      <c r="A95" s="162"/>
    </row>
    <row r="96" spans="1:1" ht="10.95" customHeight="1">
      <c r="A96" s="162"/>
    </row>
    <row r="97" spans="1:1" ht="10.95" customHeight="1">
      <c r="A97" s="162"/>
    </row>
    <row r="98" spans="1:1" ht="10.95" customHeight="1">
      <c r="A98" s="162"/>
    </row>
    <row r="99" spans="1:1" ht="10.95" customHeight="1">
      <c r="A99" s="162"/>
    </row>
    <row r="100" spans="1:1" ht="10.95" customHeight="1">
      <c r="A100" s="162"/>
    </row>
    <row r="101" spans="1:1" ht="10.95" customHeight="1">
      <c r="A101" s="162"/>
    </row>
    <row r="102" spans="1:1" ht="10.95" customHeight="1">
      <c r="A102" s="162"/>
    </row>
    <row r="103" spans="1:1" ht="10.95" customHeight="1">
      <c r="A103" s="162"/>
    </row>
    <row r="104" spans="1:1" ht="10.95" customHeight="1">
      <c r="A104" s="162"/>
    </row>
    <row r="105" spans="1:1" ht="10.95" customHeight="1">
      <c r="A105" s="162"/>
    </row>
    <row r="106" spans="1:1" ht="10.95" customHeight="1">
      <c r="A106" s="162"/>
    </row>
    <row r="107" spans="1:1" ht="10.95" customHeight="1">
      <c r="A107" s="162"/>
    </row>
    <row r="108" spans="1:1" ht="10.95" customHeight="1">
      <c r="A108" s="162"/>
    </row>
    <row r="109" spans="1:1" ht="10.95" customHeight="1">
      <c r="A109" s="162"/>
    </row>
    <row r="110" spans="1:1" ht="10.95" customHeight="1">
      <c r="A110" s="162"/>
    </row>
    <row r="111" spans="1:1" ht="10.95" customHeight="1">
      <c r="A111" s="162"/>
    </row>
    <row r="112" spans="1:1" ht="10.95" customHeight="1">
      <c r="A112" s="162"/>
    </row>
    <row r="113" spans="1:1" ht="10.95" customHeight="1">
      <c r="A113" s="162"/>
    </row>
    <row r="114" spans="1:1" ht="10.95" customHeight="1">
      <c r="A114" s="162"/>
    </row>
    <row r="115" spans="1:1" ht="10.95" customHeight="1">
      <c r="A115" s="162"/>
    </row>
    <row r="116" spans="1:1" ht="10.95" customHeight="1">
      <c r="A116" s="162"/>
    </row>
    <row r="117" spans="1:1" ht="10.95" customHeight="1">
      <c r="A117" s="162"/>
    </row>
    <row r="118" spans="1:1" ht="10.95" customHeight="1">
      <c r="A118" s="162"/>
    </row>
    <row r="119" spans="1:1" ht="10.95" customHeight="1">
      <c r="A119" s="162"/>
    </row>
    <row r="120" spans="1:1" ht="10.95" customHeight="1">
      <c r="A120" s="162"/>
    </row>
    <row r="121" spans="1:1" ht="10.95" customHeight="1">
      <c r="A121" s="162"/>
    </row>
    <row r="122" spans="1:1" ht="10.95" customHeight="1">
      <c r="A122" s="162"/>
    </row>
    <row r="123" spans="1:1" ht="10.95" customHeight="1">
      <c r="A123" s="162"/>
    </row>
    <row r="124" spans="1:1" ht="10.95" customHeight="1">
      <c r="A124" s="162"/>
    </row>
    <row r="125" spans="1:1" ht="10.95" customHeight="1">
      <c r="A125" s="162"/>
    </row>
    <row r="126" spans="1:1" ht="10.95" customHeight="1">
      <c r="A126" s="162"/>
    </row>
    <row r="127" spans="1:1" ht="10.95" customHeight="1">
      <c r="A127" s="162"/>
    </row>
  </sheetData>
  <pageMargins left="0.7" right="0.7" top="0.75" bottom="0.75" header="0.3" footer="0.3"/>
  <pageSetup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90"/>
  <dimension ref="A1:M45"/>
  <sheetViews>
    <sheetView showGridLines="0" workbookViewId="0">
      <selection activeCell="A13" sqref="A13:A25"/>
    </sheetView>
  </sheetViews>
  <sheetFormatPr defaultColWidth="10.44140625" defaultRowHeight="13.2"/>
  <cols>
    <col min="1" max="1" width="11" style="268" customWidth="1"/>
    <col min="2" max="2" width="12.21875" style="268" customWidth="1"/>
    <col min="3" max="3" width="11.77734375" style="268" customWidth="1"/>
    <col min="4" max="4" width="16.77734375" style="268" customWidth="1"/>
    <col min="5" max="5" width="14.44140625" style="268" customWidth="1"/>
    <col min="6" max="6" width="12.77734375" style="268" customWidth="1"/>
    <col min="7" max="7" width="6.77734375" style="268" customWidth="1"/>
    <col min="8" max="9" width="5.77734375" style="268" customWidth="1"/>
    <col min="10" max="10" width="8.77734375" style="268" customWidth="1"/>
    <col min="11" max="11" width="7.21875" style="268" customWidth="1"/>
    <col min="12" max="12" width="10.44140625" style="272"/>
    <col min="13" max="13" width="13.5546875" style="268" customWidth="1"/>
    <col min="14" max="16384" width="10.44140625" style="268"/>
  </cols>
  <sheetData>
    <row r="1" spans="1:13" ht="13.8">
      <c r="A1" s="336"/>
      <c r="E1" s="181"/>
      <c r="F1" s="181"/>
      <c r="G1" s="181"/>
      <c r="H1" s="181"/>
      <c r="I1" s="181"/>
      <c r="J1" s="181"/>
      <c r="K1" s="181"/>
    </row>
    <row r="2" spans="1:13" s="333" customFormat="1" ht="19.2" customHeight="1">
      <c r="A2" s="335" t="s">
        <v>257</v>
      </c>
      <c r="B2" s="335"/>
      <c r="C2" s="268"/>
      <c r="D2" s="268"/>
      <c r="E2" s="181"/>
      <c r="F2" s="181"/>
      <c r="G2" s="181"/>
      <c r="H2" s="181"/>
      <c r="I2" s="181"/>
      <c r="J2" s="181"/>
      <c r="K2" s="181"/>
      <c r="L2" s="334"/>
    </row>
    <row r="3" spans="1:13" s="175" customFormat="1" ht="16.2" customHeight="1">
      <c r="A3" s="329">
        <v>1</v>
      </c>
      <c r="B3" s="332" t="s">
        <v>381</v>
      </c>
      <c r="C3" s="330"/>
      <c r="D3" s="329"/>
      <c r="E3" s="181"/>
      <c r="F3" s="181"/>
      <c r="G3" s="181"/>
      <c r="H3" s="181"/>
      <c r="I3" s="181"/>
      <c r="J3" s="181"/>
      <c r="K3" s="181"/>
      <c r="L3" s="275"/>
    </row>
    <row r="4" spans="1:13" s="175" customFormat="1" ht="16.2" customHeight="1">
      <c r="A4" s="329">
        <v>2</v>
      </c>
      <c r="B4" s="331" t="s">
        <v>380</v>
      </c>
      <c r="C4" s="330"/>
      <c r="D4" s="329"/>
      <c r="E4" s="181"/>
      <c r="F4" s="181"/>
      <c r="G4" s="181"/>
      <c r="H4" s="181"/>
      <c r="I4" s="181"/>
      <c r="J4" s="181"/>
      <c r="K4" s="181"/>
      <c r="L4" s="275"/>
    </row>
    <row r="5" spans="1:13" s="175" customFormat="1" ht="16.2" customHeight="1">
      <c r="A5" s="174">
        <v>3</v>
      </c>
      <c r="B5" s="331" t="s">
        <v>379</v>
      </c>
      <c r="C5" s="330"/>
      <c r="D5" s="329"/>
      <c r="E5" s="181"/>
      <c r="F5" s="181"/>
      <c r="G5" s="181"/>
      <c r="H5" s="181"/>
      <c r="I5" s="181"/>
      <c r="J5" s="181"/>
      <c r="K5" s="181"/>
      <c r="L5" s="275"/>
    </row>
    <row r="6" spans="1:13" s="175" customFormat="1" ht="16.2" customHeight="1">
      <c r="A6" s="174">
        <v>4</v>
      </c>
      <c r="B6" s="328" t="s">
        <v>378</v>
      </c>
      <c r="C6" s="327"/>
      <c r="D6" s="174"/>
      <c r="E6" s="181"/>
      <c r="F6" s="181"/>
      <c r="G6" s="181"/>
      <c r="H6" s="181"/>
      <c r="I6" s="181"/>
      <c r="J6" s="181"/>
      <c r="K6" s="181"/>
      <c r="L6" s="275"/>
    </row>
    <row r="7" spans="1:13" s="175" customFormat="1" ht="16.2" customHeight="1">
      <c r="A7" s="174">
        <v>5</v>
      </c>
      <c r="B7" s="326" t="s">
        <v>258</v>
      </c>
      <c r="C7" s="325"/>
      <c r="D7" s="324"/>
      <c r="E7" s="181"/>
      <c r="F7" s="181"/>
      <c r="G7" s="181"/>
      <c r="H7" s="181"/>
      <c r="I7" s="181"/>
      <c r="J7" s="181"/>
      <c r="K7" s="181"/>
      <c r="L7" s="275"/>
    </row>
    <row r="8" spans="1:13" s="175" customFormat="1" ht="12.6" customHeight="1">
      <c r="E8" s="181"/>
      <c r="F8" s="181"/>
      <c r="G8" s="181"/>
      <c r="H8" s="181"/>
      <c r="I8" s="181"/>
      <c r="L8" s="275"/>
    </row>
    <row r="9" spans="1:13" customFormat="1" ht="14.4"/>
    <row r="10" spans="1:13" customFormat="1" ht="14.4"/>
    <row r="11" spans="1:13" customFormat="1" ht="14.4"/>
    <row r="12" spans="1:13" s="177" customFormat="1" ht="43.95" customHeight="1">
      <c r="A12" s="320" t="s">
        <v>240</v>
      </c>
      <c r="B12" s="321" t="s">
        <v>377</v>
      </c>
      <c r="C12" s="320" t="s">
        <v>117</v>
      </c>
      <c r="D12" s="319" t="s">
        <v>376</v>
      </c>
      <c r="E12" s="181"/>
      <c r="F12" s="181"/>
      <c r="G12" s="181"/>
      <c r="H12" s="181"/>
      <c r="I12" s="181"/>
      <c r="L12" s="306"/>
    </row>
    <row r="13" spans="1:13" s="177" customFormat="1" ht="15" customHeight="1">
      <c r="A13" s="318" t="s">
        <v>241</v>
      </c>
      <c r="B13" s="317">
        <f>+'Master Budget Sheet'!AG146</f>
        <v>0</v>
      </c>
      <c r="C13" s="316">
        <f>+'Master Budget Sheet'!BL168</f>
        <v>49104</v>
      </c>
      <c r="D13" s="315">
        <f t="shared" ref="D13:D25" si="0">B13*C13</f>
        <v>0</v>
      </c>
      <c r="E13" s="181"/>
      <c r="F13" s="181"/>
      <c r="G13" s="181"/>
      <c r="H13" s="181"/>
      <c r="I13" s="181"/>
      <c r="L13" s="306"/>
    </row>
    <row r="14" spans="1:13" s="177" customFormat="1" ht="13.8">
      <c r="A14" s="312" t="s">
        <v>460</v>
      </c>
      <c r="B14" s="317">
        <f>+'Master Budget Sheet'!AG147</f>
        <v>0</v>
      </c>
      <c r="C14" s="303">
        <f>+'Master Budget Sheet'!BL169</f>
        <v>50134</v>
      </c>
      <c r="D14" s="313">
        <f t="shared" si="0"/>
        <v>0</v>
      </c>
      <c r="E14" s="181"/>
      <c r="F14" s="181"/>
      <c r="G14" s="181"/>
      <c r="H14" s="181"/>
      <c r="I14" s="181"/>
      <c r="L14" s="306"/>
    </row>
    <row r="15" spans="1:13" s="181" customFormat="1" ht="13.8">
      <c r="A15" s="314" t="s">
        <v>461</v>
      </c>
      <c r="B15" s="317">
        <f>+'Master Budget Sheet'!AG148</f>
        <v>1</v>
      </c>
      <c r="C15" s="303">
        <f>+'Master Budget Sheet'!BL170</f>
        <v>51164</v>
      </c>
      <c r="D15" s="313">
        <f t="shared" si="0"/>
        <v>51164</v>
      </c>
      <c r="J15" s="177"/>
      <c r="K15" s="177"/>
      <c r="L15" s="306"/>
      <c r="M15" s="177"/>
    </row>
    <row r="16" spans="1:13" s="181" customFormat="1" ht="13.8">
      <c r="A16" s="312" t="s">
        <v>246</v>
      </c>
      <c r="B16" s="317">
        <f>+'Master Budget Sheet'!AG149</f>
        <v>1.5</v>
      </c>
      <c r="C16" s="303">
        <f>+'Master Budget Sheet'!BL171</f>
        <v>52194</v>
      </c>
      <c r="D16" s="313">
        <f t="shared" si="0"/>
        <v>78291</v>
      </c>
      <c r="J16" s="177"/>
      <c r="K16" s="177"/>
      <c r="L16" s="306"/>
      <c r="M16" s="177"/>
    </row>
    <row r="17" spans="1:12" s="177" customFormat="1" ht="13.8">
      <c r="A17" s="312" t="s">
        <v>247</v>
      </c>
      <c r="B17" s="317">
        <f>+'Master Budget Sheet'!AG150</f>
        <v>3</v>
      </c>
      <c r="C17" s="303">
        <f>+'Master Budget Sheet'!BL172</f>
        <v>53997</v>
      </c>
      <c r="D17" s="313">
        <f t="shared" si="0"/>
        <v>161991</v>
      </c>
      <c r="H17" s="181"/>
      <c r="I17" s="181"/>
      <c r="L17" s="306"/>
    </row>
    <row r="18" spans="1:12" s="177" customFormat="1" ht="13.8">
      <c r="A18" s="312" t="s">
        <v>248</v>
      </c>
      <c r="B18" s="317">
        <f>+'Master Budget Sheet'!AG151</f>
        <v>1.2</v>
      </c>
      <c r="C18" s="303">
        <f>+'Master Budget Sheet'!BL173</f>
        <v>55799</v>
      </c>
      <c r="D18" s="313">
        <f t="shared" si="0"/>
        <v>66958.8</v>
      </c>
      <c r="H18" s="181"/>
      <c r="I18" s="181"/>
      <c r="L18" s="306"/>
    </row>
    <row r="19" spans="1:12" s="177" customFormat="1" ht="13.8">
      <c r="A19" s="312" t="s">
        <v>249</v>
      </c>
      <c r="B19" s="317">
        <f>+'Master Budget Sheet'!AG152</f>
        <v>1.3</v>
      </c>
      <c r="C19" s="303">
        <f>+'Master Budget Sheet'!BL174</f>
        <v>57602</v>
      </c>
      <c r="D19" s="313">
        <f t="shared" si="0"/>
        <v>74882.600000000006</v>
      </c>
      <c r="H19" s="181"/>
      <c r="I19" s="181"/>
      <c r="L19" s="306"/>
    </row>
    <row r="20" spans="1:12" s="177" customFormat="1" ht="13.95" customHeight="1">
      <c r="A20" s="312" t="s">
        <v>250</v>
      </c>
      <c r="B20" s="317">
        <f>+'Master Budget Sheet'!AG153</f>
        <v>1</v>
      </c>
      <c r="C20" s="303">
        <f>+'Master Budget Sheet'!BL175</f>
        <v>59404</v>
      </c>
      <c r="D20" s="313">
        <f t="shared" si="0"/>
        <v>59404</v>
      </c>
      <c r="E20" s="175"/>
      <c r="F20" s="175"/>
      <c r="G20" s="175"/>
      <c r="H20" s="181"/>
      <c r="I20" s="181"/>
      <c r="L20" s="306"/>
    </row>
    <row r="21" spans="1:12" s="177" customFormat="1" ht="13.8">
      <c r="A21" s="312" t="s">
        <v>440</v>
      </c>
      <c r="B21" s="317">
        <f>+'Master Budget Sheet'!AG154</f>
        <v>1</v>
      </c>
      <c r="C21" s="303">
        <f>+'Master Budget Sheet'!BL176</f>
        <v>63009</v>
      </c>
      <c r="D21" s="313">
        <f t="shared" si="0"/>
        <v>63009</v>
      </c>
      <c r="H21" s="181"/>
      <c r="I21" s="181"/>
      <c r="L21" s="306"/>
    </row>
    <row r="22" spans="1:12" s="177" customFormat="1" ht="13.8">
      <c r="A22" s="312" t="s">
        <v>441</v>
      </c>
      <c r="B22" s="317">
        <f>+'Master Budget Sheet'!AG155</f>
        <v>2</v>
      </c>
      <c r="C22" s="303">
        <f>+'Master Budget Sheet'!BL177</f>
        <v>65069</v>
      </c>
      <c r="D22" s="313">
        <f t="shared" si="0"/>
        <v>130138</v>
      </c>
      <c r="H22" s="181"/>
      <c r="I22" s="181"/>
      <c r="L22" s="306"/>
    </row>
    <row r="23" spans="1:12" s="177" customFormat="1" ht="13.8">
      <c r="A23" s="312" t="s">
        <v>442</v>
      </c>
      <c r="B23" s="317">
        <f>+'Master Budget Sheet'!AG156</f>
        <v>0</v>
      </c>
      <c r="C23" s="303">
        <f>+'Master Budget Sheet'!BL178</f>
        <v>67129</v>
      </c>
      <c r="D23" s="313">
        <f t="shared" si="0"/>
        <v>0</v>
      </c>
      <c r="H23" s="181"/>
      <c r="I23" s="181"/>
      <c r="L23" s="306"/>
    </row>
    <row r="24" spans="1:12" s="177" customFormat="1" ht="13.8">
      <c r="A24" s="312" t="s">
        <v>443</v>
      </c>
      <c r="B24" s="317">
        <f>+'Master Budget Sheet'!AG157</f>
        <v>1</v>
      </c>
      <c r="C24" s="303">
        <f>+'Master Budget Sheet'!BL179</f>
        <v>69189</v>
      </c>
      <c r="D24" s="313">
        <f t="shared" si="0"/>
        <v>69189</v>
      </c>
      <c r="H24" s="181"/>
      <c r="I24" s="181"/>
      <c r="L24" s="306"/>
    </row>
    <row r="25" spans="1:12" s="177" customFormat="1" ht="13.8">
      <c r="A25" s="312" t="s">
        <v>444</v>
      </c>
      <c r="B25" s="317">
        <f>+'Master Budget Sheet'!AG158</f>
        <v>4</v>
      </c>
      <c r="C25" s="303">
        <f>+'Master Budget Sheet'!BL180</f>
        <v>71249</v>
      </c>
      <c r="D25" s="311">
        <f t="shared" si="0"/>
        <v>284996</v>
      </c>
      <c r="H25" s="181"/>
      <c r="I25" s="181"/>
      <c r="L25" s="306"/>
    </row>
    <row r="26" spans="1:12" s="177" customFormat="1" ht="14.4" thickBot="1">
      <c r="A26" s="271" t="s">
        <v>375</v>
      </c>
      <c r="B26" s="310">
        <f>SUM(B13:B25)</f>
        <v>17</v>
      </c>
      <c r="D26" s="309" t="s">
        <v>374</v>
      </c>
      <c r="E26" s="308">
        <f>SUM(D13:D25)</f>
        <v>1040023.4</v>
      </c>
      <c r="H26" s="181"/>
      <c r="I26" s="181"/>
      <c r="L26" s="306"/>
    </row>
    <row r="27" spans="1:12" s="177" customFormat="1" ht="14.4" thickTop="1">
      <c r="E27" s="307"/>
      <c r="H27" s="181"/>
      <c r="I27" s="181"/>
      <c r="L27" s="306"/>
    </row>
    <row r="28" spans="1:12" s="175" customFormat="1" ht="13.8">
      <c r="A28" s="283" t="s">
        <v>260</v>
      </c>
      <c r="B28" s="283"/>
      <c r="C28" s="275"/>
      <c r="D28" s="275"/>
      <c r="E28" s="300"/>
      <c r="F28" s="275"/>
      <c r="G28" s="275"/>
      <c r="H28" s="275"/>
      <c r="I28" s="275"/>
      <c r="J28" s="182"/>
      <c r="L28" s="275"/>
    </row>
    <row r="29" spans="1:12" s="175" customFormat="1" ht="21" customHeight="1">
      <c r="A29" s="286" t="s">
        <v>373</v>
      </c>
      <c r="B29" s="286"/>
      <c r="C29" s="286"/>
      <c r="D29" s="286"/>
      <c r="E29" s="300"/>
      <c r="F29" s="275"/>
      <c r="G29" s="275"/>
      <c r="H29" s="275"/>
      <c r="I29" s="275"/>
      <c r="L29" s="275"/>
    </row>
    <row r="30" spans="1:12" s="175" customFormat="1" ht="13.8">
      <c r="A30" s="286" t="s">
        <v>261</v>
      </c>
      <c r="B30" s="285" t="s">
        <v>168</v>
      </c>
      <c r="C30" s="283" t="s">
        <v>372</v>
      </c>
      <c r="D30" s="305" t="s">
        <v>259</v>
      </c>
      <c r="E30" s="290"/>
      <c r="F30" s="283"/>
      <c r="G30" s="283"/>
      <c r="H30" s="283"/>
      <c r="I30" s="283"/>
      <c r="L30" s="275"/>
    </row>
    <row r="31" spans="1:12" s="179" customFormat="1" ht="13.8">
      <c r="A31" s="304" t="s">
        <v>262</v>
      </c>
      <c r="B31" s="317">
        <f>+'Master Budget Sheet'!AG160</f>
        <v>3</v>
      </c>
      <c r="C31" s="303">
        <f>+'Master Budget Sheet'!BL182</f>
        <v>2000</v>
      </c>
      <c r="D31" s="302">
        <f>B31*C31</f>
        <v>6000</v>
      </c>
      <c r="E31" s="300"/>
      <c r="F31" s="275"/>
      <c r="G31" s="275"/>
      <c r="H31" s="275"/>
      <c r="I31" s="275"/>
      <c r="L31" s="275"/>
    </row>
    <row r="32" spans="1:12" s="175" customFormat="1" ht="13.8">
      <c r="A32" s="304" t="s">
        <v>263</v>
      </c>
      <c r="B32" s="317">
        <f>+'Master Budget Sheet'!AG161</f>
        <v>5</v>
      </c>
      <c r="C32" s="303">
        <f>+'Master Budget Sheet'!BL183</f>
        <v>3500</v>
      </c>
      <c r="D32" s="302">
        <f>B32*C32</f>
        <v>17500</v>
      </c>
      <c r="E32" s="300"/>
      <c r="F32" s="275"/>
      <c r="G32" s="275"/>
      <c r="H32" s="275"/>
      <c r="I32" s="275"/>
      <c r="L32" s="275"/>
    </row>
    <row r="33" spans="1:12" s="175" customFormat="1" ht="13.8">
      <c r="A33" s="275"/>
      <c r="C33" s="275"/>
      <c r="D33" s="279" t="s">
        <v>264</v>
      </c>
      <c r="E33" s="277">
        <f>SUM(D31:D32)</f>
        <v>23500</v>
      </c>
      <c r="F33" s="275"/>
      <c r="G33" s="275"/>
      <c r="H33" s="275"/>
      <c r="I33" s="275"/>
      <c r="L33" s="275"/>
    </row>
    <row r="34" spans="1:12" s="175" customFormat="1" ht="23.55" customHeight="1">
      <c r="A34" s="301" t="s">
        <v>362</v>
      </c>
      <c r="C34" s="275"/>
      <c r="D34" s="275"/>
      <c r="E34" s="300"/>
      <c r="F34" s="275"/>
      <c r="G34" s="275"/>
      <c r="H34" s="275"/>
      <c r="I34" s="275"/>
      <c r="L34" s="275"/>
    </row>
    <row r="35" spans="1:12" s="175" customFormat="1" ht="13.8">
      <c r="A35" s="299" t="s">
        <v>371</v>
      </c>
      <c r="B35" s="299"/>
      <c r="C35" s="298"/>
      <c r="D35" s="298"/>
      <c r="E35" s="297"/>
      <c r="F35" s="275"/>
      <c r="G35" s="275"/>
      <c r="H35" s="275"/>
      <c r="I35" s="275"/>
      <c r="J35" s="182"/>
      <c r="L35" s="275"/>
    </row>
    <row r="36" spans="1:12" s="175" customFormat="1" ht="25.2" customHeight="1">
      <c r="A36" s="1237" t="s">
        <v>370</v>
      </c>
      <c r="B36" s="1238"/>
      <c r="C36" s="1238"/>
      <c r="D36" s="1238"/>
      <c r="E36" s="1238"/>
      <c r="F36" s="275"/>
      <c r="G36" s="275"/>
      <c r="H36" s="275"/>
      <c r="I36" s="275"/>
      <c r="L36" s="275"/>
    </row>
    <row r="37" spans="1:12" s="175" customFormat="1" ht="13.8">
      <c r="A37" s="296" t="s">
        <v>235</v>
      </c>
      <c r="B37" s="294" t="s">
        <v>168</v>
      </c>
      <c r="C37" s="295" t="s">
        <v>369</v>
      </c>
      <c r="D37" s="294" t="s">
        <v>259</v>
      </c>
      <c r="E37" s="290"/>
      <c r="F37" s="283"/>
      <c r="G37" s="283"/>
      <c r="H37" s="283"/>
      <c r="I37" s="283"/>
      <c r="L37" s="275"/>
    </row>
    <row r="38" spans="1:12" s="175" customFormat="1" ht="13.8">
      <c r="A38" s="293" t="s">
        <v>368</v>
      </c>
      <c r="B38" s="317">
        <f>+'Master Budget Sheet'!AG162</f>
        <v>1</v>
      </c>
      <c r="C38" s="303">
        <f>+'Master Budget Sheet'!BL184</f>
        <v>3000</v>
      </c>
      <c r="D38" s="291">
        <f>B38*C38</f>
        <v>3000</v>
      </c>
      <c r="E38" s="290"/>
      <c r="F38" s="283"/>
      <c r="G38" s="283"/>
      <c r="H38" s="283"/>
      <c r="I38" s="283"/>
      <c r="L38" s="275"/>
    </row>
    <row r="39" spans="1:12" s="175" customFormat="1" ht="13.8">
      <c r="A39" s="286"/>
      <c r="B39" s="285"/>
      <c r="C39" s="289"/>
      <c r="D39" s="288" t="s">
        <v>367</v>
      </c>
      <c r="E39" s="287">
        <f>D38</f>
        <v>3000</v>
      </c>
      <c r="F39" s="283"/>
      <c r="G39" s="283"/>
      <c r="H39" s="283"/>
      <c r="I39" s="283"/>
      <c r="L39" s="275"/>
    </row>
    <row r="40" spans="1:12" s="175" customFormat="1" ht="13.8">
      <c r="A40" s="286"/>
      <c r="B40" s="285"/>
      <c r="C40" s="284"/>
      <c r="D40" s="279"/>
      <c r="E40" s="277"/>
      <c r="F40" s="283"/>
      <c r="G40" s="283"/>
      <c r="H40" s="283"/>
      <c r="I40" s="283"/>
      <c r="L40" s="275"/>
    </row>
    <row r="41" spans="1:12" ht="13.8">
      <c r="A41" s="175"/>
      <c r="B41" s="175"/>
      <c r="C41" s="282" t="s">
        <v>366</v>
      </c>
      <c r="D41" s="281"/>
      <c r="E41" s="280">
        <v>0</v>
      </c>
      <c r="F41" s="270" t="s">
        <v>365</v>
      </c>
      <c r="G41" s="270"/>
      <c r="H41" s="270"/>
      <c r="I41" s="175"/>
      <c r="J41" s="175"/>
      <c r="K41" s="175"/>
      <c r="L41" s="275"/>
    </row>
    <row r="42" spans="1:12" s="175" customFormat="1" ht="13.8">
      <c r="A42" s="275"/>
      <c r="B42" s="275"/>
      <c r="C42" s="279" t="s">
        <v>364</v>
      </c>
      <c r="D42" s="278"/>
      <c r="E42" s="277">
        <f>SUM(E26:E41)</f>
        <v>1066523.3999999999</v>
      </c>
      <c r="F42" s="275"/>
      <c r="G42" s="275"/>
      <c r="H42" s="275"/>
      <c r="I42" s="275"/>
      <c r="L42" s="275"/>
    </row>
    <row r="43" spans="1:12" s="175" customFormat="1" ht="14.4" thickBot="1">
      <c r="A43" s="272"/>
      <c r="B43" s="272"/>
      <c r="D43" s="275" t="s">
        <v>363</v>
      </c>
      <c r="E43" s="276">
        <f>E42/B26</f>
        <v>62736.670588235291</v>
      </c>
      <c r="F43" s="275"/>
      <c r="G43" s="275"/>
      <c r="H43" s="275"/>
      <c r="I43" s="275"/>
      <c r="L43" s="275"/>
    </row>
    <row r="44" spans="1:12" s="175" customFormat="1" ht="15" customHeight="1" thickTop="1">
      <c r="A44" s="268"/>
      <c r="B44" s="268"/>
      <c r="L44" s="275"/>
    </row>
    <row r="45" spans="1:12" s="273" customFormat="1" ht="67.95" customHeight="1">
      <c r="A45"/>
      <c r="B45"/>
      <c r="C45"/>
      <c r="D45"/>
      <c r="E45"/>
      <c r="F45"/>
      <c r="L45" s="274"/>
    </row>
  </sheetData>
  <mergeCells count="1">
    <mergeCell ref="A36:E36"/>
  </mergeCells>
  <pageMargins left="0.75" right="0.25" top="0" bottom="0" header="0.3" footer="0.3"/>
  <pageSetup orientation="portrait" horizontalDpi="1800" verticalDpi="18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dimension ref="A1:R37"/>
  <sheetViews>
    <sheetView showGridLines="0" zoomScale="90" zoomScaleNormal="100" workbookViewId="0">
      <selection activeCell="C4" sqref="C4"/>
    </sheetView>
  </sheetViews>
  <sheetFormatPr defaultRowHeight="13.2"/>
  <cols>
    <col min="1" max="1" width="4.21875" style="30" customWidth="1"/>
    <col min="2" max="2" width="2.5546875" style="2" customWidth="1"/>
    <col min="3" max="4" width="8.77734375" style="2"/>
    <col min="5" max="5" width="7.21875" style="2" customWidth="1"/>
    <col min="6" max="6" width="8.21875" style="2" customWidth="1"/>
    <col min="7" max="8" width="10.21875" style="2" customWidth="1"/>
    <col min="9" max="9" width="3.77734375" style="2" customWidth="1"/>
    <col min="10" max="10" width="8.77734375" style="2"/>
    <col min="11" max="11" width="6.21875" style="2" customWidth="1"/>
    <col min="12" max="12" width="5.5546875" style="2" customWidth="1"/>
    <col min="13" max="13" width="10.77734375" style="2" customWidth="1"/>
    <col min="14" max="14" width="8.21875" style="2" customWidth="1"/>
    <col min="15" max="15" width="12.21875" style="2" customWidth="1"/>
    <col min="16" max="16" width="10.21875" style="2" customWidth="1"/>
    <col min="17" max="17" width="9.21875" style="32" customWidth="1"/>
    <col min="18" max="256" width="8.77734375" style="2"/>
    <col min="257" max="257" width="4.21875" style="2" customWidth="1"/>
    <col min="258" max="258" width="2.5546875" style="2" customWidth="1"/>
    <col min="259" max="260" width="8.77734375" style="2"/>
    <col min="261" max="261" width="7.21875" style="2" customWidth="1"/>
    <col min="262" max="262" width="8.21875" style="2" customWidth="1"/>
    <col min="263" max="264" width="10.21875" style="2" customWidth="1"/>
    <col min="265" max="265" width="3.77734375" style="2" customWidth="1"/>
    <col min="266" max="266" width="8.77734375" style="2"/>
    <col min="267" max="267" width="6.21875" style="2" customWidth="1"/>
    <col min="268" max="268" width="5.5546875" style="2" customWidth="1"/>
    <col min="269" max="269" width="10.77734375" style="2" customWidth="1"/>
    <col min="270" max="270" width="8.21875" style="2" customWidth="1"/>
    <col min="271" max="271" width="12.21875" style="2" customWidth="1"/>
    <col min="272" max="272" width="10.21875" style="2" customWidth="1"/>
    <col min="273" max="273" width="9.21875" style="2" customWidth="1"/>
    <col min="274" max="512" width="8.77734375" style="2"/>
    <col min="513" max="513" width="4.21875" style="2" customWidth="1"/>
    <col min="514" max="514" width="2.5546875" style="2" customWidth="1"/>
    <col min="515" max="516" width="8.77734375" style="2"/>
    <col min="517" max="517" width="7.21875" style="2" customWidth="1"/>
    <col min="518" max="518" width="8.21875" style="2" customWidth="1"/>
    <col min="519" max="520" width="10.21875" style="2" customWidth="1"/>
    <col min="521" max="521" width="3.77734375" style="2" customWidth="1"/>
    <col min="522" max="522" width="8.77734375" style="2"/>
    <col min="523" max="523" width="6.21875" style="2" customWidth="1"/>
    <col min="524" max="524" width="5.5546875" style="2" customWidth="1"/>
    <col min="525" max="525" width="10.77734375" style="2" customWidth="1"/>
    <col min="526" max="526" width="8.21875" style="2" customWidth="1"/>
    <col min="527" max="527" width="12.21875" style="2" customWidth="1"/>
    <col min="528" max="528" width="10.21875" style="2" customWidth="1"/>
    <col min="529" max="529" width="9.21875" style="2" customWidth="1"/>
    <col min="530" max="768" width="8.77734375" style="2"/>
    <col min="769" max="769" width="4.21875" style="2" customWidth="1"/>
    <col min="770" max="770" width="2.5546875" style="2" customWidth="1"/>
    <col min="771" max="772" width="8.77734375" style="2"/>
    <col min="773" max="773" width="7.21875" style="2" customWidth="1"/>
    <col min="774" max="774" width="8.21875" style="2" customWidth="1"/>
    <col min="775" max="776" width="10.21875" style="2" customWidth="1"/>
    <col min="777" max="777" width="3.77734375" style="2" customWidth="1"/>
    <col min="778" max="778" width="8.77734375" style="2"/>
    <col min="779" max="779" width="6.21875" style="2" customWidth="1"/>
    <col min="780" max="780" width="5.5546875" style="2" customWidth="1"/>
    <col min="781" max="781" width="10.77734375" style="2" customWidth="1"/>
    <col min="782" max="782" width="8.21875" style="2" customWidth="1"/>
    <col min="783" max="783" width="12.21875" style="2" customWidth="1"/>
    <col min="784" max="784" width="10.21875" style="2" customWidth="1"/>
    <col min="785" max="785" width="9.21875" style="2" customWidth="1"/>
    <col min="786" max="1024" width="8.77734375" style="2"/>
    <col min="1025" max="1025" width="4.21875" style="2" customWidth="1"/>
    <col min="1026" max="1026" width="2.5546875" style="2" customWidth="1"/>
    <col min="1027" max="1028" width="8.77734375" style="2"/>
    <col min="1029" max="1029" width="7.21875" style="2" customWidth="1"/>
    <col min="1030" max="1030" width="8.21875" style="2" customWidth="1"/>
    <col min="1031" max="1032" width="10.21875" style="2" customWidth="1"/>
    <col min="1033" max="1033" width="3.77734375" style="2" customWidth="1"/>
    <col min="1034" max="1034" width="8.77734375" style="2"/>
    <col min="1035" max="1035" width="6.21875" style="2" customWidth="1"/>
    <col min="1036" max="1036" width="5.5546875" style="2" customWidth="1"/>
    <col min="1037" max="1037" width="10.77734375" style="2" customWidth="1"/>
    <col min="1038" max="1038" width="8.21875" style="2" customWidth="1"/>
    <col min="1039" max="1039" width="12.21875" style="2" customWidth="1"/>
    <col min="1040" max="1040" width="10.21875" style="2" customWidth="1"/>
    <col min="1041" max="1041" width="9.21875" style="2" customWidth="1"/>
    <col min="1042" max="1280" width="8.77734375" style="2"/>
    <col min="1281" max="1281" width="4.21875" style="2" customWidth="1"/>
    <col min="1282" max="1282" width="2.5546875" style="2" customWidth="1"/>
    <col min="1283" max="1284" width="8.77734375" style="2"/>
    <col min="1285" max="1285" width="7.21875" style="2" customWidth="1"/>
    <col min="1286" max="1286" width="8.21875" style="2" customWidth="1"/>
    <col min="1287" max="1288" width="10.21875" style="2" customWidth="1"/>
    <col min="1289" max="1289" width="3.77734375" style="2" customWidth="1"/>
    <col min="1290" max="1290" width="8.77734375" style="2"/>
    <col min="1291" max="1291" width="6.21875" style="2" customWidth="1"/>
    <col min="1292" max="1292" width="5.5546875" style="2" customWidth="1"/>
    <col min="1293" max="1293" width="10.77734375" style="2" customWidth="1"/>
    <col min="1294" max="1294" width="8.21875" style="2" customWidth="1"/>
    <col min="1295" max="1295" width="12.21875" style="2" customWidth="1"/>
    <col min="1296" max="1296" width="10.21875" style="2" customWidth="1"/>
    <col min="1297" max="1297" width="9.21875" style="2" customWidth="1"/>
    <col min="1298" max="1536" width="8.77734375" style="2"/>
    <col min="1537" max="1537" width="4.21875" style="2" customWidth="1"/>
    <col min="1538" max="1538" width="2.5546875" style="2" customWidth="1"/>
    <col min="1539" max="1540" width="8.77734375" style="2"/>
    <col min="1541" max="1541" width="7.21875" style="2" customWidth="1"/>
    <col min="1542" max="1542" width="8.21875" style="2" customWidth="1"/>
    <col min="1543" max="1544" width="10.21875" style="2" customWidth="1"/>
    <col min="1545" max="1545" width="3.77734375" style="2" customWidth="1"/>
    <col min="1546" max="1546" width="8.77734375" style="2"/>
    <col min="1547" max="1547" width="6.21875" style="2" customWidth="1"/>
    <col min="1548" max="1548" width="5.5546875" style="2" customWidth="1"/>
    <col min="1549" max="1549" width="10.77734375" style="2" customWidth="1"/>
    <col min="1550" max="1550" width="8.21875" style="2" customWidth="1"/>
    <col min="1551" max="1551" width="12.21875" style="2" customWidth="1"/>
    <col min="1552" max="1552" width="10.21875" style="2" customWidth="1"/>
    <col min="1553" max="1553" width="9.21875" style="2" customWidth="1"/>
    <col min="1554" max="1792" width="8.77734375" style="2"/>
    <col min="1793" max="1793" width="4.21875" style="2" customWidth="1"/>
    <col min="1794" max="1794" width="2.5546875" style="2" customWidth="1"/>
    <col min="1795" max="1796" width="8.77734375" style="2"/>
    <col min="1797" max="1797" width="7.21875" style="2" customWidth="1"/>
    <col min="1798" max="1798" width="8.21875" style="2" customWidth="1"/>
    <col min="1799" max="1800" width="10.21875" style="2" customWidth="1"/>
    <col min="1801" max="1801" width="3.77734375" style="2" customWidth="1"/>
    <col min="1802" max="1802" width="8.77734375" style="2"/>
    <col min="1803" max="1803" width="6.21875" style="2" customWidth="1"/>
    <col min="1804" max="1804" width="5.5546875" style="2" customWidth="1"/>
    <col min="1805" max="1805" width="10.77734375" style="2" customWidth="1"/>
    <col min="1806" max="1806" width="8.21875" style="2" customWidth="1"/>
    <col min="1807" max="1807" width="12.21875" style="2" customWidth="1"/>
    <col min="1808" max="1808" width="10.21875" style="2" customWidth="1"/>
    <col min="1809" max="1809" width="9.21875" style="2" customWidth="1"/>
    <col min="1810" max="2048" width="8.77734375" style="2"/>
    <col min="2049" max="2049" width="4.21875" style="2" customWidth="1"/>
    <col min="2050" max="2050" width="2.5546875" style="2" customWidth="1"/>
    <col min="2051" max="2052" width="8.77734375" style="2"/>
    <col min="2053" max="2053" width="7.21875" style="2" customWidth="1"/>
    <col min="2054" max="2054" width="8.21875" style="2" customWidth="1"/>
    <col min="2055" max="2056" width="10.21875" style="2" customWidth="1"/>
    <col min="2057" max="2057" width="3.77734375" style="2" customWidth="1"/>
    <col min="2058" max="2058" width="8.77734375" style="2"/>
    <col min="2059" max="2059" width="6.21875" style="2" customWidth="1"/>
    <col min="2060" max="2060" width="5.5546875" style="2" customWidth="1"/>
    <col min="2061" max="2061" width="10.77734375" style="2" customWidth="1"/>
    <col min="2062" max="2062" width="8.21875" style="2" customWidth="1"/>
    <col min="2063" max="2063" width="12.21875" style="2" customWidth="1"/>
    <col min="2064" max="2064" width="10.21875" style="2" customWidth="1"/>
    <col min="2065" max="2065" width="9.21875" style="2" customWidth="1"/>
    <col min="2066" max="2304" width="8.77734375" style="2"/>
    <col min="2305" max="2305" width="4.21875" style="2" customWidth="1"/>
    <col min="2306" max="2306" width="2.5546875" style="2" customWidth="1"/>
    <col min="2307" max="2308" width="8.77734375" style="2"/>
    <col min="2309" max="2309" width="7.21875" style="2" customWidth="1"/>
    <col min="2310" max="2310" width="8.21875" style="2" customWidth="1"/>
    <col min="2311" max="2312" width="10.21875" style="2" customWidth="1"/>
    <col min="2313" max="2313" width="3.77734375" style="2" customWidth="1"/>
    <col min="2314" max="2314" width="8.77734375" style="2"/>
    <col min="2315" max="2315" width="6.21875" style="2" customWidth="1"/>
    <col min="2316" max="2316" width="5.5546875" style="2" customWidth="1"/>
    <col min="2317" max="2317" width="10.77734375" style="2" customWidth="1"/>
    <col min="2318" max="2318" width="8.21875" style="2" customWidth="1"/>
    <col min="2319" max="2319" width="12.21875" style="2" customWidth="1"/>
    <col min="2320" max="2320" width="10.21875" style="2" customWidth="1"/>
    <col min="2321" max="2321" width="9.21875" style="2" customWidth="1"/>
    <col min="2322" max="2560" width="8.77734375" style="2"/>
    <col min="2561" max="2561" width="4.21875" style="2" customWidth="1"/>
    <col min="2562" max="2562" width="2.5546875" style="2" customWidth="1"/>
    <col min="2563" max="2564" width="8.77734375" style="2"/>
    <col min="2565" max="2565" width="7.21875" style="2" customWidth="1"/>
    <col min="2566" max="2566" width="8.21875" style="2" customWidth="1"/>
    <col min="2567" max="2568" width="10.21875" style="2" customWidth="1"/>
    <col min="2569" max="2569" width="3.77734375" style="2" customWidth="1"/>
    <col min="2570" max="2570" width="8.77734375" style="2"/>
    <col min="2571" max="2571" width="6.21875" style="2" customWidth="1"/>
    <col min="2572" max="2572" width="5.5546875" style="2" customWidth="1"/>
    <col min="2573" max="2573" width="10.77734375" style="2" customWidth="1"/>
    <col min="2574" max="2574" width="8.21875" style="2" customWidth="1"/>
    <col min="2575" max="2575" width="12.21875" style="2" customWidth="1"/>
    <col min="2576" max="2576" width="10.21875" style="2" customWidth="1"/>
    <col min="2577" max="2577" width="9.21875" style="2" customWidth="1"/>
    <col min="2578" max="2816" width="8.77734375" style="2"/>
    <col min="2817" max="2817" width="4.21875" style="2" customWidth="1"/>
    <col min="2818" max="2818" width="2.5546875" style="2" customWidth="1"/>
    <col min="2819" max="2820" width="8.77734375" style="2"/>
    <col min="2821" max="2821" width="7.21875" style="2" customWidth="1"/>
    <col min="2822" max="2822" width="8.21875" style="2" customWidth="1"/>
    <col min="2823" max="2824" width="10.21875" style="2" customWidth="1"/>
    <col min="2825" max="2825" width="3.77734375" style="2" customWidth="1"/>
    <col min="2826" max="2826" width="8.77734375" style="2"/>
    <col min="2827" max="2827" width="6.21875" style="2" customWidth="1"/>
    <col min="2828" max="2828" width="5.5546875" style="2" customWidth="1"/>
    <col min="2829" max="2829" width="10.77734375" style="2" customWidth="1"/>
    <col min="2830" max="2830" width="8.21875" style="2" customWidth="1"/>
    <col min="2831" max="2831" width="12.21875" style="2" customWidth="1"/>
    <col min="2832" max="2832" width="10.21875" style="2" customWidth="1"/>
    <col min="2833" max="2833" width="9.21875" style="2" customWidth="1"/>
    <col min="2834" max="3072" width="8.77734375" style="2"/>
    <col min="3073" max="3073" width="4.21875" style="2" customWidth="1"/>
    <col min="3074" max="3074" width="2.5546875" style="2" customWidth="1"/>
    <col min="3075" max="3076" width="8.77734375" style="2"/>
    <col min="3077" max="3077" width="7.21875" style="2" customWidth="1"/>
    <col min="3078" max="3078" width="8.21875" style="2" customWidth="1"/>
    <col min="3079" max="3080" width="10.21875" style="2" customWidth="1"/>
    <col min="3081" max="3081" width="3.77734375" style="2" customWidth="1"/>
    <col min="3082" max="3082" width="8.77734375" style="2"/>
    <col min="3083" max="3083" width="6.21875" style="2" customWidth="1"/>
    <col min="3084" max="3084" width="5.5546875" style="2" customWidth="1"/>
    <col min="3085" max="3085" width="10.77734375" style="2" customWidth="1"/>
    <col min="3086" max="3086" width="8.21875" style="2" customWidth="1"/>
    <col min="3087" max="3087" width="12.21875" style="2" customWidth="1"/>
    <col min="3088" max="3088" width="10.21875" style="2" customWidth="1"/>
    <col min="3089" max="3089" width="9.21875" style="2" customWidth="1"/>
    <col min="3090" max="3328" width="8.77734375" style="2"/>
    <col min="3329" max="3329" width="4.21875" style="2" customWidth="1"/>
    <col min="3330" max="3330" width="2.5546875" style="2" customWidth="1"/>
    <col min="3331" max="3332" width="8.77734375" style="2"/>
    <col min="3333" max="3333" width="7.21875" style="2" customWidth="1"/>
    <col min="3334" max="3334" width="8.21875" style="2" customWidth="1"/>
    <col min="3335" max="3336" width="10.21875" style="2" customWidth="1"/>
    <col min="3337" max="3337" width="3.77734375" style="2" customWidth="1"/>
    <col min="3338" max="3338" width="8.77734375" style="2"/>
    <col min="3339" max="3339" width="6.21875" style="2" customWidth="1"/>
    <col min="3340" max="3340" width="5.5546875" style="2" customWidth="1"/>
    <col min="3341" max="3341" width="10.77734375" style="2" customWidth="1"/>
    <col min="3342" max="3342" width="8.21875" style="2" customWidth="1"/>
    <col min="3343" max="3343" width="12.21875" style="2" customWidth="1"/>
    <col min="3344" max="3344" width="10.21875" style="2" customWidth="1"/>
    <col min="3345" max="3345" width="9.21875" style="2" customWidth="1"/>
    <col min="3346" max="3584" width="8.77734375" style="2"/>
    <col min="3585" max="3585" width="4.21875" style="2" customWidth="1"/>
    <col min="3586" max="3586" width="2.5546875" style="2" customWidth="1"/>
    <col min="3587" max="3588" width="8.77734375" style="2"/>
    <col min="3589" max="3589" width="7.21875" style="2" customWidth="1"/>
    <col min="3590" max="3590" width="8.21875" style="2" customWidth="1"/>
    <col min="3591" max="3592" width="10.21875" style="2" customWidth="1"/>
    <col min="3593" max="3593" width="3.77734375" style="2" customWidth="1"/>
    <col min="3594" max="3594" width="8.77734375" style="2"/>
    <col min="3595" max="3595" width="6.21875" style="2" customWidth="1"/>
    <col min="3596" max="3596" width="5.5546875" style="2" customWidth="1"/>
    <col min="3597" max="3597" width="10.77734375" style="2" customWidth="1"/>
    <col min="3598" max="3598" width="8.21875" style="2" customWidth="1"/>
    <col min="3599" max="3599" width="12.21875" style="2" customWidth="1"/>
    <col min="3600" max="3600" width="10.21875" style="2" customWidth="1"/>
    <col min="3601" max="3601" width="9.21875" style="2" customWidth="1"/>
    <col min="3602" max="3840" width="8.77734375" style="2"/>
    <col min="3841" max="3841" width="4.21875" style="2" customWidth="1"/>
    <col min="3842" max="3842" width="2.5546875" style="2" customWidth="1"/>
    <col min="3843" max="3844" width="8.77734375" style="2"/>
    <col min="3845" max="3845" width="7.21875" style="2" customWidth="1"/>
    <col min="3846" max="3846" width="8.21875" style="2" customWidth="1"/>
    <col min="3847" max="3848" width="10.21875" style="2" customWidth="1"/>
    <col min="3849" max="3849" width="3.77734375" style="2" customWidth="1"/>
    <col min="3850" max="3850" width="8.77734375" style="2"/>
    <col min="3851" max="3851" width="6.21875" style="2" customWidth="1"/>
    <col min="3852" max="3852" width="5.5546875" style="2" customWidth="1"/>
    <col min="3853" max="3853" width="10.77734375" style="2" customWidth="1"/>
    <col min="3854" max="3854" width="8.21875" style="2" customWidth="1"/>
    <col min="3855" max="3855" width="12.21875" style="2" customWidth="1"/>
    <col min="3856" max="3856" width="10.21875" style="2" customWidth="1"/>
    <col min="3857" max="3857" width="9.21875" style="2" customWidth="1"/>
    <col min="3858" max="4096" width="8.77734375" style="2"/>
    <col min="4097" max="4097" width="4.21875" style="2" customWidth="1"/>
    <col min="4098" max="4098" width="2.5546875" style="2" customWidth="1"/>
    <col min="4099" max="4100" width="8.77734375" style="2"/>
    <col min="4101" max="4101" width="7.21875" style="2" customWidth="1"/>
    <col min="4102" max="4102" width="8.21875" style="2" customWidth="1"/>
    <col min="4103" max="4104" width="10.21875" style="2" customWidth="1"/>
    <col min="4105" max="4105" width="3.77734375" style="2" customWidth="1"/>
    <col min="4106" max="4106" width="8.77734375" style="2"/>
    <col min="4107" max="4107" width="6.21875" style="2" customWidth="1"/>
    <col min="4108" max="4108" width="5.5546875" style="2" customWidth="1"/>
    <col min="4109" max="4109" width="10.77734375" style="2" customWidth="1"/>
    <col min="4110" max="4110" width="8.21875" style="2" customWidth="1"/>
    <col min="4111" max="4111" width="12.21875" style="2" customWidth="1"/>
    <col min="4112" max="4112" width="10.21875" style="2" customWidth="1"/>
    <col min="4113" max="4113" width="9.21875" style="2" customWidth="1"/>
    <col min="4114" max="4352" width="8.77734375" style="2"/>
    <col min="4353" max="4353" width="4.21875" style="2" customWidth="1"/>
    <col min="4354" max="4354" width="2.5546875" style="2" customWidth="1"/>
    <col min="4355" max="4356" width="8.77734375" style="2"/>
    <col min="4357" max="4357" width="7.21875" style="2" customWidth="1"/>
    <col min="4358" max="4358" width="8.21875" style="2" customWidth="1"/>
    <col min="4359" max="4360" width="10.21875" style="2" customWidth="1"/>
    <col min="4361" max="4361" width="3.77734375" style="2" customWidth="1"/>
    <col min="4362" max="4362" width="8.77734375" style="2"/>
    <col min="4363" max="4363" width="6.21875" style="2" customWidth="1"/>
    <col min="4364" max="4364" width="5.5546875" style="2" customWidth="1"/>
    <col min="4365" max="4365" width="10.77734375" style="2" customWidth="1"/>
    <col min="4366" max="4366" width="8.21875" style="2" customWidth="1"/>
    <col min="4367" max="4367" width="12.21875" style="2" customWidth="1"/>
    <col min="4368" max="4368" width="10.21875" style="2" customWidth="1"/>
    <col min="4369" max="4369" width="9.21875" style="2" customWidth="1"/>
    <col min="4370" max="4608" width="8.77734375" style="2"/>
    <col min="4609" max="4609" width="4.21875" style="2" customWidth="1"/>
    <col min="4610" max="4610" width="2.5546875" style="2" customWidth="1"/>
    <col min="4611" max="4612" width="8.77734375" style="2"/>
    <col min="4613" max="4613" width="7.21875" style="2" customWidth="1"/>
    <col min="4614" max="4614" width="8.21875" style="2" customWidth="1"/>
    <col min="4615" max="4616" width="10.21875" style="2" customWidth="1"/>
    <col min="4617" max="4617" width="3.77734375" style="2" customWidth="1"/>
    <col min="4618" max="4618" width="8.77734375" style="2"/>
    <col min="4619" max="4619" width="6.21875" style="2" customWidth="1"/>
    <col min="4620" max="4620" width="5.5546875" style="2" customWidth="1"/>
    <col min="4621" max="4621" width="10.77734375" style="2" customWidth="1"/>
    <col min="4622" max="4622" width="8.21875" style="2" customWidth="1"/>
    <col min="4623" max="4623" width="12.21875" style="2" customWidth="1"/>
    <col min="4624" max="4624" width="10.21875" style="2" customWidth="1"/>
    <col min="4625" max="4625" width="9.21875" style="2" customWidth="1"/>
    <col min="4626" max="4864" width="8.77734375" style="2"/>
    <col min="4865" max="4865" width="4.21875" style="2" customWidth="1"/>
    <col min="4866" max="4866" width="2.5546875" style="2" customWidth="1"/>
    <col min="4867" max="4868" width="8.77734375" style="2"/>
    <col min="4869" max="4869" width="7.21875" style="2" customWidth="1"/>
    <col min="4870" max="4870" width="8.21875" style="2" customWidth="1"/>
    <col min="4871" max="4872" width="10.21875" style="2" customWidth="1"/>
    <col min="4873" max="4873" width="3.77734375" style="2" customWidth="1"/>
    <col min="4874" max="4874" width="8.77734375" style="2"/>
    <col min="4875" max="4875" width="6.21875" style="2" customWidth="1"/>
    <col min="4876" max="4876" width="5.5546875" style="2" customWidth="1"/>
    <col min="4877" max="4877" width="10.77734375" style="2" customWidth="1"/>
    <col min="4878" max="4878" width="8.21875" style="2" customWidth="1"/>
    <col min="4879" max="4879" width="12.21875" style="2" customWidth="1"/>
    <col min="4880" max="4880" width="10.21875" style="2" customWidth="1"/>
    <col min="4881" max="4881" width="9.21875" style="2" customWidth="1"/>
    <col min="4882" max="5120" width="8.77734375" style="2"/>
    <col min="5121" max="5121" width="4.21875" style="2" customWidth="1"/>
    <col min="5122" max="5122" width="2.5546875" style="2" customWidth="1"/>
    <col min="5123" max="5124" width="8.77734375" style="2"/>
    <col min="5125" max="5125" width="7.21875" style="2" customWidth="1"/>
    <col min="5126" max="5126" width="8.21875" style="2" customWidth="1"/>
    <col min="5127" max="5128" width="10.21875" style="2" customWidth="1"/>
    <col min="5129" max="5129" width="3.77734375" style="2" customWidth="1"/>
    <col min="5130" max="5130" width="8.77734375" style="2"/>
    <col min="5131" max="5131" width="6.21875" style="2" customWidth="1"/>
    <col min="5132" max="5132" width="5.5546875" style="2" customWidth="1"/>
    <col min="5133" max="5133" width="10.77734375" style="2" customWidth="1"/>
    <col min="5134" max="5134" width="8.21875" style="2" customWidth="1"/>
    <col min="5135" max="5135" width="12.21875" style="2" customWidth="1"/>
    <col min="5136" max="5136" width="10.21875" style="2" customWidth="1"/>
    <col min="5137" max="5137" width="9.21875" style="2" customWidth="1"/>
    <col min="5138" max="5376" width="8.77734375" style="2"/>
    <col min="5377" max="5377" width="4.21875" style="2" customWidth="1"/>
    <col min="5378" max="5378" width="2.5546875" style="2" customWidth="1"/>
    <col min="5379" max="5380" width="8.77734375" style="2"/>
    <col min="5381" max="5381" width="7.21875" style="2" customWidth="1"/>
    <col min="5382" max="5382" width="8.21875" style="2" customWidth="1"/>
    <col min="5383" max="5384" width="10.21875" style="2" customWidth="1"/>
    <col min="5385" max="5385" width="3.77734375" style="2" customWidth="1"/>
    <col min="5386" max="5386" width="8.77734375" style="2"/>
    <col min="5387" max="5387" width="6.21875" style="2" customWidth="1"/>
    <col min="5388" max="5388" width="5.5546875" style="2" customWidth="1"/>
    <col min="5389" max="5389" width="10.77734375" style="2" customWidth="1"/>
    <col min="5390" max="5390" width="8.21875" style="2" customWidth="1"/>
    <col min="5391" max="5391" width="12.21875" style="2" customWidth="1"/>
    <col min="5392" max="5392" width="10.21875" style="2" customWidth="1"/>
    <col min="5393" max="5393" width="9.21875" style="2" customWidth="1"/>
    <col min="5394" max="5632" width="8.77734375" style="2"/>
    <col min="5633" max="5633" width="4.21875" style="2" customWidth="1"/>
    <col min="5634" max="5634" width="2.5546875" style="2" customWidth="1"/>
    <col min="5635" max="5636" width="8.77734375" style="2"/>
    <col min="5637" max="5637" width="7.21875" style="2" customWidth="1"/>
    <col min="5638" max="5638" width="8.21875" style="2" customWidth="1"/>
    <col min="5639" max="5640" width="10.21875" style="2" customWidth="1"/>
    <col min="5641" max="5641" width="3.77734375" style="2" customWidth="1"/>
    <col min="5642" max="5642" width="8.77734375" style="2"/>
    <col min="5643" max="5643" width="6.21875" style="2" customWidth="1"/>
    <col min="5644" max="5644" width="5.5546875" style="2" customWidth="1"/>
    <col min="5645" max="5645" width="10.77734375" style="2" customWidth="1"/>
    <col min="5646" max="5646" width="8.21875" style="2" customWidth="1"/>
    <col min="5647" max="5647" width="12.21875" style="2" customWidth="1"/>
    <col min="5648" max="5648" width="10.21875" style="2" customWidth="1"/>
    <col min="5649" max="5649" width="9.21875" style="2" customWidth="1"/>
    <col min="5650" max="5888" width="8.77734375" style="2"/>
    <col min="5889" max="5889" width="4.21875" style="2" customWidth="1"/>
    <col min="5890" max="5890" width="2.5546875" style="2" customWidth="1"/>
    <col min="5891" max="5892" width="8.77734375" style="2"/>
    <col min="5893" max="5893" width="7.21875" style="2" customWidth="1"/>
    <col min="5894" max="5894" width="8.21875" style="2" customWidth="1"/>
    <col min="5895" max="5896" width="10.21875" style="2" customWidth="1"/>
    <col min="5897" max="5897" width="3.77734375" style="2" customWidth="1"/>
    <col min="5898" max="5898" width="8.77734375" style="2"/>
    <col min="5899" max="5899" width="6.21875" style="2" customWidth="1"/>
    <col min="5900" max="5900" width="5.5546875" style="2" customWidth="1"/>
    <col min="5901" max="5901" width="10.77734375" style="2" customWidth="1"/>
    <col min="5902" max="5902" width="8.21875" style="2" customWidth="1"/>
    <col min="5903" max="5903" width="12.21875" style="2" customWidth="1"/>
    <col min="5904" max="5904" width="10.21875" style="2" customWidth="1"/>
    <col min="5905" max="5905" width="9.21875" style="2" customWidth="1"/>
    <col min="5906" max="6144" width="8.77734375" style="2"/>
    <col min="6145" max="6145" width="4.21875" style="2" customWidth="1"/>
    <col min="6146" max="6146" width="2.5546875" style="2" customWidth="1"/>
    <col min="6147" max="6148" width="8.77734375" style="2"/>
    <col min="6149" max="6149" width="7.21875" style="2" customWidth="1"/>
    <col min="6150" max="6150" width="8.21875" style="2" customWidth="1"/>
    <col min="6151" max="6152" width="10.21875" style="2" customWidth="1"/>
    <col min="6153" max="6153" width="3.77734375" style="2" customWidth="1"/>
    <col min="6154" max="6154" width="8.77734375" style="2"/>
    <col min="6155" max="6155" width="6.21875" style="2" customWidth="1"/>
    <col min="6156" max="6156" width="5.5546875" style="2" customWidth="1"/>
    <col min="6157" max="6157" width="10.77734375" style="2" customWidth="1"/>
    <col min="6158" max="6158" width="8.21875" style="2" customWidth="1"/>
    <col min="6159" max="6159" width="12.21875" style="2" customWidth="1"/>
    <col min="6160" max="6160" width="10.21875" style="2" customWidth="1"/>
    <col min="6161" max="6161" width="9.21875" style="2" customWidth="1"/>
    <col min="6162" max="6400" width="8.77734375" style="2"/>
    <col min="6401" max="6401" width="4.21875" style="2" customWidth="1"/>
    <col min="6402" max="6402" width="2.5546875" style="2" customWidth="1"/>
    <col min="6403" max="6404" width="8.77734375" style="2"/>
    <col min="6405" max="6405" width="7.21875" style="2" customWidth="1"/>
    <col min="6406" max="6406" width="8.21875" style="2" customWidth="1"/>
    <col min="6407" max="6408" width="10.21875" style="2" customWidth="1"/>
    <col min="6409" max="6409" width="3.77734375" style="2" customWidth="1"/>
    <col min="6410" max="6410" width="8.77734375" style="2"/>
    <col min="6411" max="6411" width="6.21875" style="2" customWidth="1"/>
    <col min="6412" max="6412" width="5.5546875" style="2" customWidth="1"/>
    <col min="6413" max="6413" width="10.77734375" style="2" customWidth="1"/>
    <col min="6414" max="6414" width="8.21875" style="2" customWidth="1"/>
    <col min="6415" max="6415" width="12.21875" style="2" customWidth="1"/>
    <col min="6416" max="6416" width="10.21875" style="2" customWidth="1"/>
    <col min="6417" max="6417" width="9.21875" style="2" customWidth="1"/>
    <col min="6418" max="6656" width="8.77734375" style="2"/>
    <col min="6657" max="6657" width="4.21875" style="2" customWidth="1"/>
    <col min="6658" max="6658" width="2.5546875" style="2" customWidth="1"/>
    <col min="6659" max="6660" width="8.77734375" style="2"/>
    <col min="6661" max="6661" width="7.21875" style="2" customWidth="1"/>
    <col min="6662" max="6662" width="8.21875" style="2" customWidth="1"/>
    <col min="6663" max="6664" width="10.21875" style="2" customWidth="1"/>
    <col min="6665" max="6665" width="3.77734375" style="2" customWidth="1"/>
    <col min="6666" max="6666" width="8.77734375" style="2"/>
    <col min="6667" max="6667" width="6.21875" style="2" customWidth="1"/>
    <col min="6668" max="6668" width="5.5546875" style="2" customWidth="1"/>
    <col min="6669" max="6669" width="10.77734375" style="2" customWidth="1"/>
    <col min="6670" max="6670" width="8.21875" style="2" customWidth="1"/>
    <col min="6671" max="6671" width="12.21875" style="2" customWidth="1"/>
    <col min="6672" max="6672" width="10.21875" style="2" customWidth="1"/>
    <col min="6673" max="6673" width="9.21875" style="2" customWidth="1"/>
    <col min="6674" max="6912" width="8.77734375" style="2"/>
    <col min="6913" max="6913" width="4.21875" style="2" customWidth="1"/>
    <col min="6914" max="6914" width="2.5546875" style="2" customWidth="1"/>
    <col min="6915" max="6916" width="8.77734375" style="2"/>
    <col min="6917" max="6917" width="7.21875" style="2" customWidth="1"/>
    <col min="6918" max="6918" width="8.21875" style="2" customWidth="1"/>
    <col min="6919" max="6920" width="10.21875" style="2" customWidth="1"/>
    <col min="6921" max="6921" width="3.77734375" style="2" customWidth="1"/>
    <col min="6922" max="6922" width="8.77734375" style="2"/>
    <col min="6923" max="6923" width="6.21875" style="2" customWidth="1"/>
    <col min="6924" max="6924" width="5.5546875" style="2" customWidth="1"/>
    <col min="6925" max="6925" width="10.77734375" style="2" customWidth="1"/>
    <col min="6926" max="6926" width="8.21875" style="2" customWidth="1"/>
    <col min="6927" max="6927" width="12.21875" style="2" customWidth="1"/>
    <col min="6928" max="6928" width="10.21875" style="2" customWidth="1"/>
    <col min="6929" max="6929" width="9.21875" style="2" customWidth="1"/>
    <col min="6930" max="7168" width="8.77734375" style="2"/>
    <col min="7169" max="7169" width="4.21875" style="2" customWidth="1"/>
    <col min="7170" max="7170" width="2.5546875" style="2" customWidth="1"/>
    <col min="7171" max="7172" width="8.77734375" style="2"/>
    <col min="7173" max="7173" width="7.21875" style="2" customWidth="1"/>
    <col min="7174" max="7174" width="8.21875" style="2" customWidth="1"/>
    <col min="7175" max="7176" width="10.21875" style="2" customWidth="1"/>
    <col min="7177" max="7177" width="3.77734375" style="2" customWidth="1"/>
    <col min="7178" max="7178" width="8.77734375" style="2"/>
    <col min="7179" max="7179" width="6.21875" style="2" customWidth="1"/>
    <col min="7180" max="7180" width="5.5546875" style="2" customWidth="1"/>
    <col min="7181" max="7181" width="10.77734375" style="2" customWidth="1"/>
    <col min="7182" max="7182" width="8.21875" style="2" customWidth="1"/>
    <col min="7183" max="7183" width="12.21875" style="2" customWidth="1"/>
    <col min="7184" max="7184" width="10.21875" style="2" customWidth="1"/>
    <col min="7185" max="7185" width="9.21875" style="2" customWidth="1"/>
    <col min="7186" max="7424" width="8.77734375" style="2"/>
    <col min="7425" max="7425" width="4.21875" style="2" customWidth="1"/>
    <col min="7426" max="7426" width="2.5546875" style="2" customWidth="1"/>
    <col min="7427" max="7428" width="8.77734375" style="2"/>
    <col min="7429" max="7429" width="7.21875" style="2" customWidth="1"/>
    <col min="7430" max="7430" width="8.21875" style="2" customWidth="1"/>
    <col min="7431" max="7432" width="10.21875" style="2" customWidth="1"/>
    <col min="7433" max="7433" width="3.77734375" style="2" customWidth="1"/>
    <col min="7434" max="7434" width="8.77734375" style="2"/>
    <col min="7435" max="7435" width="6.21875" style="2" customWidth="1"/>
    <col min="7436" max="7436" width="5.5546875" style="2" customWidth="1"/>
    <col min="7437" max="7437" width="10.77734375" style="2" customWidth="1"/>
    <col min="7438" max="7438" width="8.21875" style="2" customWidth="1"/>
    <col min="7439" max="7439" width="12.21875" style="2" customWidth="1"/>
    <col min="7440" max="7440" width="10.21875" style="2" customWidth="1"/>
    <col min="7441" max="7441" width="9.21875" style="2" customWidth="1"/>
    <col min="7442" max="7680" width="8.77734375" style="2"/>
    <col min="7681" max="7681" width="4.21875" style="2" customWidth="1"/>
    <col min="7682" max="7682" width="2.5546875" style="2" customWidth="1"/>
    <col min="7683" max="7684" width="8.77734375" style="2"/>
    <col min="7685" max="7685" width="7.21875" style="2" customWidth="1"/>
    <col min="7686" max="7686" width="8.21875" style="2" customWidth="1"/>
    <col min="7687" max="7688" width="10.21875" style="2" customWidth="1"/>
    <col min="7689" max="7689" width="3.77734375" style="2" customWidth="1"/>
    <col min="7690" max="7690" width="8.77734375" style="2"/>
    <col min="7691" max="7691" width="6.21875" style="2" customWidth="1"/>
    <col min="7692" max="7692" width="5.5546875" style="2" customWidth="1"/>
    <col min="7693" max="7693" width="10.77734375" style="2" customWidth="1"/>
    <col min="7694" max="7694" width="8.21875" style="2" customWidth="1"/>
    <col min="7695" max="7695" width="12.21875" style="2" customWidth="1"/>
    <col min="7696" max="7696" width="10.21875" style="2" customWidth="1"/>
    <col min="7697" max="7697" width="9.21875" style="2" customWidth="1"/>
    <col min="7698" max="7936" width="8.77734375" style="2"/>
    <col min="7937" max="7937" width="4.21875" style="2" customWidth="1"/>
    <col min="7938" max="7938" width="2.5546875" style="2" customWidth="1"/>
    <col min="7939" max="7940" width="8.77734375" style="2"/>
    <col min="7941" max="7941" width="7.21875" style="2" customWidth="1"/>
    <col min="7942" max="7942" width="8.21875" style="2" customWidth="1"/>
    <col min="7943" max="7944" width="10.21875" style="2" customWidth="1"/>
    <col min="7945" max="7945" width="3.77734375" style="2" customWidth="1"/>
    <col min="7946" max="7946" width="8.77734375" style="2"/>
    <col min="7947" max="7947" width="6.21875" style="2" customWidth="1"/>
    <col min="7948" max="7948" width="5.5546875" style="2" customWidth="1"/>
    <col min="7949" max="7949" width="10.77734375" style="2" customWidth="1"/>
    <col min="7950" max="7950" width="8.21875" style="2" customWidth="1"/>
    <col min="7951" max="7951" width="12.21875" style="2" customWidth="1"/>
    <col min="7952" max="7952" width="10.21875" style="2" customWidth="1"/>
    <col min="7953" max="7953" width="9.21875" style="2" customWidth="1"/>
    <col min="7954" max="8192" width="8.77734375" style="2"/>
    <col min="8193" max="8193" width="4.21875" style="2" customWidth="1"/>
    <col min="8194" max="8194" width="2.5546875" style="2" customWidth="1"/>
    <col min="8195" max="8196" width="8.77734375" style="2"/>
    <col min="8197" max="8197" width="7.21875" style="2" customWidth="1"/>
    <col min="8198" max="8198" width="8.21875" style="2" customWidth="1"/>
    <col min="8199" max="8200" width="10.21875" style="2" customWidth="1"/>
    <col min="8201" max="8201" width="3.77734375" style="2" customWidth="1"/>
    <col min="8202" max="8202" width="8.77734375" style="2"/>
    <col min="8203" max="8203" width="6.21875" style="2" customWidth="1"/>
    <col min="8204" max="8204" width="5.5546875" style="2" customWidth="1"/>
    <col min="8205" max="8205" width="10.77734375" style="2" customWidth="1"/>
    <col min="8206" max="8206" width="8.21875" style="2" customWidth="1"/>
    <col min="8207" max="8207" width="12.21875" style="2" customWidth="1"/>
    <col min="8208" max="8208" width="10.21875" style="2" customWidth="1"/>
    <col min="8209" max="8209" width="9.21875" style="2" customWidth="1"/>
    <col min="8210" max="8448" width="8.77734375" style="2"/>
    <col min="8449" max="8449" width="4.21875" style="2" customWidth="1"/>
    <col min="8450" max="8450" width="2.5546875" style="2" customWidth="1"/>
    <col min="8451" max="8452" width="8.77734375" style="2"/>
    <col min="8453" max="8453" width="7.21875" style="2" customWidth="1"/>
    <col min="8454" max="8454" width="8.21875" style="2" customWidth="1"/>
    <col min="8455" max="8456" width="10.21875" style="2" customWidth="1"/>
    <col min="8457" max="8457" width="3.77734375" style="2" customWidth="1"/>
    <col min="8458" max="8458" width="8.77734375" style="2"/>
    <col min="8459" max="8459" width="6.21875" style="2" customWidth="1"/>
    <col min="8460" max="8460" width="5.5546875" style="2" customWidth="1"/>
    <col min="8461" max="8461" width="10.77734375" style="2" customWidth="1"/>
    <col min="8462" max="8462" width="8.21875" style="2" customWidth="1"/>
    <col min="8463" max="8463" width="12.21875" style="2" customWidth="1"/>
    <col min="8464" max="8464" width="10.21875" style="2" customWidth="1"/>
    <col min="8465" max="8465" width="9.21875" style="2" customWidth="1"/>
    <col min="8466" max="8704" width="8.77734375" style="2"/>
    <col min="8705" max="8705" width="4.21875" style="2" customWidth="1"/>
    <col min="8706" max="8706" width="2.5546875" style="2" customWidth="1"/>
    <col min="8707" max="8708" width="8.77734375" style="2"/>
    <col min="8709" max="8709" width="7.21875" style="2" customWidth="1"/>
    <col min="8710" max="8710" width="8.21875" style="2" customWidth="1"/>
    <col min="8711" max="8712" width="10.21875" style="2" customWidth="1"/>
    <col min="8713" max="8713" width="3.77734375" style="2" customWidth="1"/>
    <col min="8714" max="8714" width="8.77734375" style="2"/>
    <col min="8715" max="8715" width="6.21875" style="2" customWidth="1"/>
    <col min="8716" max="8716" width="5.5546875" style="2" customWidth="1"/>
    <col min="8717" max="8717" width="10.77734375" style="2" customWidth="1"/>
    <col min="8718" max="8718" width="8.21875" style="2" customWidth="1"/>
    <col min="8719" max="8719" width="12.21875" style="2" customWidth="1"/>
    <col min="8720" max="8720" width="10.21875" style="2" customWidth="1"/>
    <col min="8721" max="8721" width="9.21875" style="2" customWidth="1"/>
    <col min="8722" max="8960" width="8.77734375" style="2"/>
    <col min="8961" max="8961" width="4.21875" style="2" customWidth="1"/>
    <col min="8962" max="8962" width="2.5546875" style="2" customWidth="1"/>
    <col min="8963" max="8964" width="8.77734375" style="2"/>
    <col min="8965" max="8965" width="7.21875" style="2" customWidth="1"/>
    <col min="8966" max="8966" width="8.21875" style="2" customWidth="1"/>
    <col min="8967" max="8968" width="10.21875" style="2" customWidth="1"/>
    <col min="8969" max="8969" width="3.77734375" style="2" customWidth="1"/>
    <col min="8970" max="8970" width="8.77734375" style="2"/>
    <col min="8971" max="8971" width="6.21875" style="2" customWidth="1"/>
    <col min="8972" max="8972" width="5.5546875" style="2" customWidth="1"/>
    <col min="8973" max="8973" width="10.77734375" style="2" customWidth="1"/>
    <col min="8974" max="8974" width="8.21875" style="2" customWidth="1"/>
    <col min="8975" max="8975" width="12.21875" style="2" customWidth="1"/>
    <col min="8976" max="8976" width="10.21875" style="2" customWidth="1"/>
    <col min="8977" max="8977" width="9.21875" style="2" customWidth="1"/>
    <col min="8978" max="9216" width="8.77734375" style="2"/>
    <col min="9217" max="9217" width="4.21875" style="2" customWidth="1"/>
    <col min="9218" max="9218" width="2.5546875" style="2" customWidth="1"/>
    <col min="9219" max="9220" width="8.77734375" style="2"/>
    <col min="9221" max="9221" width="7.21875" style="2" customWidth="1"/>
    <col min="9222" max="9222" width="8.21875" style="2" customWidth="1"/>
    <col min="9223" max="9224" width="10.21875" style="2" customWidth="1"/>
    <col min="9225" max="9225" width="3.77734375" style="2" customWidth="1"/>
    <col min="9226" max="9226" width="8.77734375" style="2"/>
    <col min="9227" max="9227" width="6.21875" style="2" customWidth="1"/>
    <col min="9228" max="9228" width="5.5546875" style="2" customWidth="1"/>
    <col min="9229" max="9229" width="10.77734375" style="2" customWidth="1"/>
    <col min="9230" max="9230" width="8.21875" style="2" customWidth="1"/>
    <col min="9231" max="9231" width="12.21875" style="2" customWidth="1"/>
    <col min="9232" max="9232" width="10.21875" style="2" customWidth="1"/>
    <col min="9233" max="9233" width="9.21875" style="2" customWidth="1"/>
    <col min="9234" max="9472" width="8.77734375" style="2"/>
    <col min="9473" max="9473" width="4.21875" style="2" customWidth="1"/>
    <col min="9474" max="9474" width="2.5546875" style="2" customWidth="1"/>
    <col min="9475" max="9476" width="8.77734375" style="2"/>
    <col min="9477" max="9477" width="7.21875" style="2" customWidth="1"/>
    <col min="9478" max="9478" width="8.21875" style="2" customWidth="1"/>
    <col min="9479" max="9480" width="10.21875" style="2" customWidth="1"/>
    <col min="9481" max="9481" width="3.77734375" style="2" customWidth="1"/>
    <col min="9482" max="9482" width="8.77734375" style="2"/>
    <col min="9483" max="9483" width="6.21875" style="2" customWidth="1"/>
    <col min="9484" max="9484" width="5.5546875" style="2" customWidth="1"/>
    <col min="9485" max="9485" width="10.77734375" style="2" customWidth="1"/>
    <col min="9486" max="9486" width="8.21875" style="2" customWidth="1"/>
    <col min="9487" max="9487" width="12.21875" style="2" customWidth="1"/>
    <col min="9488" max="9488" width="10.21875" style="2" customWidth="1"/>
    <col min="9489" max="9489" width="9.21875" style="2" customWidth="1"/>
    <col min="9490" max="9728" width="8.77734375" style="2"/>
    <col min="9729" max="9729" width="4.21875" style="2" customWidth="1"/>
    <col min="9730" max="9730" width="2.5546875" style="2" customWidth="1"/>
    <col min="9731" max="9732" width="8.77734375" style="2"/>
    <col min="9733" max="9733" width="7.21875" style="2" customWidth="1"/>
    <col min="9734" max="9734" width="8.21875" style="2" customWidth="1"/>
    <col min="9735" max="9736" width="10.21875" style="2" customWidth="1"/>
    <col min="9737" max="9737" width="3.77734375" style="2" customWidth="1"/>
    <col min="9738" max="9738" width="8.77734375" style="2"/>
    <col min="9739" max="9739" width="6.21875" style="2" customWidth="1"/>
    <col min="9740" max="9740" width="5.5546875" style="2" customWidth="1"/>
    <col min="9741" max="9741" width="10.77734375" style="2" customWidth="1"/>
    <col min="9742" max="9742" width="8.21875" style="2" customWidth="1"/>
    <col min="9743" max="9743" width="12.21875" style="2" customWidth="1"/>
    <col min="9744" max="9744" width="10.21875" style="2" customWidth="1"/>
    <col min="9745" max="9745" width="9.21875" style="2" customWidth="1"/>
    <col min="9746" max="9984" width="8.77734375" style="2"/>
    <col min="9985" max="9985" width="4.21875" style="2" customWidth="1"/>
    <col min="9986" max="9986" width="2.5546875" style="2" customWidth="1"/>
    <col min="9987" max="9988" width="8.77734375" style="2"/>
    <col min="9989" max="9989" width="7.21875" style="2" customWidth="1"/>
    <col min="9990" max="9990" width="8.21875" style="2" customWidth="1"/>
    <col min="9991" max="9992" width="10.21875" style="2" customWidth="1"/>
    <col min="9993" max="9993" width="3.77734375" style="2" customWidth="1"/>
    <col min="9994" max="9994" width="8.77734375" style="2"/>
    <col min="9995" max="9995" width="6.21875" style="2" customWidth="1"/>
    <col min="9996" max="9996" width="5.5546875" style="2" customWidth="1"/>
    <col min="9997" max="9997" width="10.77734375" style="2" customWidth="1"/>
    <col min="9998" max="9998" width="8.21875" style="2" customWidth="1"/>
    <col min="9999" max="9999" width="12.21875" style="2" customWidth="1"/>
    <col min="10000" max="10000" width="10.21875" style="2" customWidth="1"/>
    <col min="10001" max="10001" width="9.21875" style="2" customWidth="1"/>
    <col min="10002" max="10240" width="8.77734375" style="2"/>
    <col min="10241" max="10241" width="4.21875" style="2" customWidth="1"/>
    <col min="10242" max="10242" width="2.5546875" style="2" customWidth="1"/>
    <col min="10243" max="10244" width="8.77734375" style="2"/>
    <col min="10245" max="10245" width="7.21875" style="2" customWidth="1"/>
    <col min="10246" max="10246" width="8.21875" style="2" customWidth="1"/>
    <col min="10247" max="10248" width="10.21875" style="2" customWidth="1"/>
    <col min="10249" max="10249" width="3.77734375" style="2" customWidth="1"/>
    <col min="10250" max="10250" width="8.77734375" style="2"/>
    <col min="10251" max="10251" width="6.21875" style="2" customWidth="1"/>
    <col min="10252" max="10252" width="5.5546875" style="2" customWidth="1"/>
    <col min="10253" max="10253" width="10.77734375" style="2" customWidth="1"/>
    <col min="10254" max="10254" width="8.21875" style="2" customWidth="1"/>
    <col min="10255" max="10255" width="12.21875" style="2" customWidth="1"/>
    <col min="10256" max="10256" width="10.21875" style="2" customWidth="1"/>
    <col min="10257" max="10257" width="9.21875" style="2" customWidth="1"/>
    <col min="10258" max="10496" width="8.77734375" style="2"/>
    <col min="10497" max="10497" width="4.21875" style="2" customWidth="1"/>
    <col min="10498" max="10498" width="2.5546875" style="2" customWidth="1"/>
    <col min="10499" max="10500" width="8.77734375" style="2"/>
    <col min="10501" max="10501" width="7.21875" style="2" customWidth="1"/>
    <col min="10502" max="10502" width="8.21875" style="2" customWidth="1"/>
    <col min="10503" max="10504" width="10.21875" style="2" customWidth="1"/>
    <col min="10505" max="10505" width="3.77734375" style="2" customWidth="1"/>
    <col min="10506" max="10506" width="8.77734375" style="2"/>
    <col min="10507" max="10507" width="6.21875" style="2" customWidth="1"/>
    <col min="10508" max="10508" width="5.5546875" style="2" customWidth="1"/>
    <col min="10509" max="10509" width="10.77734375" style="2" customWidth="1"/>
    <col min="10510" max="10510" width="8.21875" style="2" customWidth="1"/>
    <col min="10511" max="10511" width="12.21875" style="2" customWidth="1"/>
    <col min="10512" max="10512" width="10.21875" style="2" customWidth="1"/>
    <col min="10513" max="10513" width="9.21875" style="2" customWidth="1"/>
    <col min="10514" max="10752" width="8.77734375" style="2"/>
    <col min="10753" max="10753" width="4.21875" style="2" customWidth="1"/>
    <col min="10754" max="10754" width="2.5546875" style="2" customWidth="1"/>
    <col min="10755" max="10756" width="8.77734375" style="2"/>
    <col min="10757" max="10757" width="7.21875" style="2" customWidth="1"/>
    <col min="10758" max="10758" width="8.21875" style="2" customWidth="1"/>
    <col min="10759" max="10760" width="10.21875" style="2" customWidth="1"/>
    <col min="10761" max="10761" width="3.77734375" style="2" customWidth="1"/>
    <col min="10762" max="10762" width="8.77734375" style="2"/>
    <col min="10763" max="10763" width="6.21875" style="2" customWidth="1"/>
    <col min="10764" max="10764" width="5.5546875" style="2" customWidth="1"/>
    <col min="10765" max="10765" width="10.77734375" style="2" customWidth="1"/>
    <col min="10766" max="10766" width="8.21875" style="2" customWidth="1"/>
    <col min="10767" max="10767" width="12.21875" style="2" customWidth="1"/>
    <col min="10768" max="10768" width="10.21875" style="2" customWidth="1"/>
    <col min="10769" max="10769" width="9.21875" style="2" customWidth="1"/>
    <col min="10770" max="11008" width="8.77734375" style="2"/>
    <col min="11009" max="11009" width="4.21875" style="2" customWidth="1"/>
    <col min="11010" max="11010" width="2.5546875" style="2" customWidth="1"/>
    <col min="11011" max="11012" width="8.77734375" style="2"/>
    <col min="11013" max="11013" width="7.21875" style="2" customWidth="1"/>
    <col min="11014" max="11014" width="8.21875" style="2" customWidth="1"/>
    <col min="11015" max="11016" width="10.21875" style="2" customWidth="1"/>
    <col min="11017" max="11017" width="3.77734375" style="2" customWidth="1"/>
    <col min="11018" max="11018" width="8.77734375" style="2"/>
    <col min="11019" max="11019" width="6.21875" style="2" customWidth="1"/>
    <col min="11020" max="11020" width="5.5546875" style="2" customWidth="1"/>
    <col min="11021" max="11021" width="10.77734375" style="2" customWidth="1"/>
    <col min="11022" max="11022" width="8.21875" style="2" customWidth="1"/>
    <col min="11023" max="11023" width="12.21875" style="2" customWidth="1"/>
    <col min="11024" max="11024" width="10.21875" style="2" customWidth="1"/>
    <col min="11025" max="11025" width="9.21875" style="2" customWidth="1"/>
    <col min="11026" max="11264" width="8.77734375" style="2"/>
    <col min="11265" max="11265" width="4.21875" style="2" customWidth="1"/>
    <col min="11266" max="11266" width="2.5546875" style="2" customWidth="1"/>
    <col min="11267" max="11268" width="8.77734375" style="2"/>
    <col min="11269" max="11269" width="7.21875" style="2" customWidth="1"/>
    <col min="11270" max="11270" width="8.21875" style="2" customWidth="1"/>
    <col min="11271" max="11272" width="10.21875" style="2" customWidth="1"/>
    <col min="11273" max="11273" width="3.77734375" style="2" customWidth="1"/>
    <col min="11274" max="11274" width="8.77734375" style="2"/>
    <col min="11275" max="11275" width="6.21875" style="2" customWidth="1"/>
    <col min="11276" max="11276" width="5.5546875" style="2" customWidth="1"/>
    <col min="11277" max="11277" width="10.77734375" style="2" customWidth="1"/>
    <col min="11278" max="11278" width="8.21875" style="2" customWidth="1"/>
    <col min="11279" max="11279" width="12.21875" style="2" customWidth="1"/>
    <col min="11280" max="11280" width="10.21875" style="2" customWidth="1"/>
    <col min="11281" max="11281" width="9.21875" style="2" customWidth="1"/>
    <col min="11282" max="11520" width="8.77734375" style="2"/>
    <col min="11521" max="11521" width="4.21875" style="2" customWidth="1"/>
    <col min="11522" max="11522" width="2.5546875" style="2" customWidth="1"/>
    <col min="11523" max="11524" width="8.77734375" style="2"/>
    <col min="11525" max="11525" width="7.21875" style="2" customWidth="1"/>
    <col min="11526" max="11526" width="8.21875" style="2" customWidth="1"/>
    <col min="11527" max="11528" width="10.21875" style="2" customWidth="1"/>
    <col min="11529" max="11529" width="3.77734375" style="2" customWidth="1"/>
    <col min="11530" max="11530" width="8.77734375" style="2"/>
    <col min="11531" max="11531" width="6.21875" style="2" customWidth="1"/>
    <col min="11532" max="11532" width="5.5546875" style="2" customWidth="1"/>
    <col min="11533" max="11533" width="10.77734375" style="2" customWidth="1"/>
    <col min="11534" max="11534" width="8.21875" style="2" customWidth="1"/>
    <col min="11535" max="11535" width="12.21875" style="2" customWidth="1"/>
    <col min="11536" max="11536" width="10.21875" style="2" customWidth="1"/>
    <col min="11537" max="11537" width="9.21875" style="2" customWidth="1"/>
    <col min="11538" max="11776" width="8.77734375" style="2"/>
    <col min="11777" max="11777" width="4.21875" style="2" customWidth="1"/>
    <col min="11778" max="11778" width="2.5546875" style="2" customWidth="1"/>
    <col min="11779" max="11780" width="8.77734375" style="2"/>
    <col min="11781" max="11781" width="7.21875" style="2" customWidth="1"/>
    <col min="11782" max="11782" width="8.21875" style="2" customWidth="1"/>
    <col min="11783" max="11784" width="10.21875" style="2" customWidth="1"/>
    <col min="11785" max="11785" width="3.77734375" style="2" customWidth="1"/>
    <col min="11786" max="11786" width="8.77734375" style="2"/>
    <col min="11787" max="11787" width="6.21875" style="2" customWidth="1"/>
    <col min="11788" max="11788" width="5.5546875" style="2" customWidth="1"/>
    <col min="11789" max="11789" width="10.77734375" style="2" customWidth="1"/>
    <col min="11790" max="11790" width="8.21875" style="2" customWidth="1"/>
    <col min="11791" max="11791" width="12.21875" style="2" customWidth="1"/>
    <col min="11792" max="11792" width="10.21875" style="2" customWidth="1"/>
    <col min="11793" max="11793" width="9.21875" style="2" customWidth="1"/>
    <col min="11794" max="12032" width="8.77734375" style="2"/>
    <col min="12033" max="12033" width="4.21875" style="2" customWidth="1"/>
    <col min="12034" max="12034" width="2.5546875" style="2" customWidth="1"/>
    <col min="12035" max="12036" width="8.77734375" style="2"/>
    <col min="12037" max="12037" width="7.21875" style="2" customWidth="1"/>
    <col min="12038" max="12038" width="8.21875" style="2" customWidth="1"/>
    <col min="12039" max="12040" width="10.21875" style="2" customWidth="1"/>
    <col min="12041" max="12041" width="3.77734375" style="2" customWidth="1"/>
    <col min="12042" max="12042" width="8.77734375" style="2"/>
    <col min="12043" max="12043" width="6.21875" style="2" customWidth="1"/>
    <col min="12044" max="12044" width="5.5546875" style="2" customWidth="1"/>
    <col min="12045" max="12045" width="10.77734375" style="2" customWidth="1"/>
    <col min="12046" max="12046" width="8.21875" style="2" customWidth="1"/>
    <col min="12047" max="12047" width="12.21875" style="2" customWidth="1"/>
    <col min="12048" max="12048" width="10.21875" style="2" customWidth="1"/>
    <col min="12049" max="12049" width="9.21875" style="2" customWidth="1"/>
    <col min="12050" max="12288" width="8.77734375" style="2"/>
    <col min="12289" max="12289" width="4.21875" style="2" customWidth="1"/>
    <col min="12290" max="12290" width="2.5546875" style="2" customWidth="1"/>
    <col min="12291" max="12292" width="8.77734375" style="2"/>
    <col min="12293" max="12293" width="7.21875" style="2" customWidth="1"/>
    <col min="12294" max="12294" width="8.21875" style="2" customWidth="1"/>
    <col min="12295" max="12296" width="10.21875" style="2" customWidth="1"/>
    <col min="12297" max="12297" width="3.77734375" style="2" customWidth="1"/>
    <col min="12298" max="12298" width="8.77734375" style="2"/>
    <col min="12299" max="12299" width="6.21875" style="2" customWidth="1"/>
    <col min="12300" max="12300" width="5.5546875" style="2" customWidth="1"/>
    <col min="12301" max="12301" width="10.77734375" style="2" customWidth="1"/>
    <col min="12302" max="12302" width="8.21875" style="2" customWidth="1"/>
    <col min="12303" max="12303" width="12.21875" style="2" customWidth="1"/>
    <col min="12304" max="12304" width="10.21875" style="2" customWidth="1"/>
    <col min="12305" max="12305" width="9.21875" style="2" customWidth="1"/>
    <col min="12306" max="12544" width="8.77734375" style="2"/>
    <col min="12545" max="12545" width="4.21875" style="2" customWidth="1"/>
    <col min="12546" max="12546" width="2.5546875" style="2" customWidth="1"/>
    <col min="12547" max="12548" width="8.77734375" style="2"/>
    <col min="12549" max="12549" width="7.21875" style="2" customWidth="1"/>
    <col min="12550" max="12550" width="8.21875" style="2" customWidth="1"/>
    <col min="12551" max="12552" width="10.21875" style="2" customWidth="1"/>
    <col min="12553" max="12553" width="3.77734375" style="2" customWidth="1"/>
    <col min="12554" max="12554" width="8.77734375" style="2"/>
    <col min="12555" max="12555" width="6.21875" style="2" customWidth="1"/>
    <col min="12556" max="12556" width="5.5546875" style="2" customWidth="1"/>
    <col min="12557" max="12557" width="10.77734375" style="2" customWidth="1"/>
    <col min="12558" max="12558" width="8.21875" style="2" customWidth="1"/>
    <col min="12559" max="12559" width="12.21875" style="2" customWidth="1"/>
    <col min="12560" max="12560" width="10.21875" style="2" customWidth="1"/>
    <col min="12561" max="12561" width="9.21875" style="2" customWidth="1"/>
    <col min="12562" max="12800" width="8.77734375" style="2"/>
    <col min="12801" max="12801" width="4.21875" style="2" customWidth="1"/>
    <col min="12802" max="12802" width="2.5546875" style="2" customWidth="1"/>
    <col min="12803" max="12804" width="8.77734375" style="2"/>
    <col min="12805" max="12805" width="7.21875" style="2" customWidth="1"/>
    <col min="12806" max="12806" width="8.21875" style="2" customWidth="1"/>
    <col min="12807" max="12808" width="10.21875" style="2" customWidth="1"/>
    <col min="12809" max="12809" width="3.77734375" style="2" customWidth="1"/>
    <col min="12810" max="12810" width="8.77734375" style="2"/>
    <col min="12811" max="12811" width="6.21875" style="2" customWidth="1"/>
    <col min="12812" max="12812" width="5.5546875" style="2" customWidth="1"/>
    <col min="12813" max="12813" width="10.77734375" style="2" customWidth="1"/>
    <col min="12814" max="12814" width="8.21875" style="2" customWidth="1"/>
    <col min="12815" max="12815" width="12.21875" style="2" customWidth="1"/>
    <col min="12816" max="12816" width="10.21875" style="2" customWidth="1"/>
    <col min="12817" max="12817" width="9.21875" style="2" customWidth="1"/>
    <col min="12818" max="13056" width="8.77734375" style="2"/>
    <col min="13057" max="13057" width="4.21875" style="2" customWidth="1"/>
    <col min="13058" max="13058" width="2.5546875" style="2" customWidth="1"/>
    <col min="13059" max="13060" width="8.77734375" style="2"/>
    <col min="13061" max="13061" width="7.21875" style="2" customWidth="1"/>
    <col min="13062" max="13062" width="8.21875" style="2" customWidth="1"/>
    <col min="13063" max="13064" width="10.21875" style="2" customWidth="1"/>
    <col min="13065" max="13065" width="3.77734375" style="2" customWidth="1"/>
    <col min="13066" max="13066" width="8.77734375" style="2"/>
    <col min="13067" max="13067" width="6.21875" style="2" customWidth="1"/>
    <col min="13068" max="13068" width="5.5546875" style="2" customWidth="1"/>
    <col min="13069" max="13069" width="10.77734375" style="2" customWidth="1"/>
    <col min="13070" max="13070" width="8.21875" style="2" customWidth="1"/>
    <col min="13071" max="13071" width="12.21875" style="2" customWidth="1"/>
    <col min="13072" max="13072" width="10.21875" style="2" customWidth="1"/>
    <col min="13073" max="13073" width="9.21875" style="2" customWidth="1"/>
    <col min="13074" max="13312" width="8.77734375" style="2"/>
    <col min="13313" max="13313" width="4.21875" style="2" customWidth="1"/>
    <col min="13314" max="13314" width="2.5546875" style="2" customWidth="1"/>
    <col min="13315" max="13316" width="8.77734375" style="2"/>
    <col min="13317" max="13317" width="7.21875" style="2" customWidth="1"/>
    <col min="13318" max="13318" width="8.21875" style="2" customWidth="1"/>
    <col min="13319" max="13320" width="10.21875" style="2" customWidth="1"/>
    <col min="13321" max="13321" width="3.77734375" style="2" customWidth="1"/>
    <col min="13322" max="13322" width="8.77734375" style="2"/>
    <col min="13323" max="13323" width="6.21875" style="2" customWidth="1"/>
    <col min="13324" max="13324" width="5.5546875" style="2" customWidth="1"/>
    <col min="13325" max="13325" width="10.77734375" style="2" customWidth="1"/>
    <col min="13326" max="13326" width="8.21875" style="2" customWidth="1"/>
    <col min="13327" max="13327" width="12.21875" style="2" customWidth="1"/>
    <col min="13328" max="13328" width="10.21875" style="2" customWidth="1"/>
    <col min="13329" max="13329" width="9.21875" style="2" customWidth="1"/>
    <col min="13330" max="13568" width="8.77734375" style="2"/>
    <col min="13569" max="13569" width="4.21875" style="2" customWidth="1"/>
    <col min="13570" max="13570" width="2.5546875" style="2" customWidth="1"/>
    <col min="13571" max="13572" width="8.77734375" style="2"/>
    <col min="13573" max="13573" width="7.21875" style="2" customWidth="1"/>
    <col min="13574" max="13574" width="8.21875" style="2" customWidth="1"/>
    <col min="13575" max="13576" width="10.21875" style="2" customWidth="1"/>
    <col min="13577" max="13577" width="3.77734375" style="2" customWidth="1"/>
    <col min="13578" max="13578" width="8.77734375" style="2"/>
    <col min="13579" max="13579" width="6.21875" style="2" customWidth="1"/>
    <col min="13580" max="13580" width="5.5546875" style="2" customWidth="1"/>
    <col min="13581" max="13581" width="10.77734375" style="2" customWidth="1"/>
    <col min="13582" max="13582" width="8.21875" style="2" customWidth="1"/>
    <col min="13583" max="13583" width="12.21875" style="2" customWidth="1"/>
    <col min="13584" max="13584" width="10.21875" style="2" customWidth="1"/>
    <col min="13585" max="13585" width="9.21875" style="2" customWidth="1"/>
    <col min="13586" max="13824" width="8.77734375" style="2"/>
    <col min="13825" max="13825" width="4.21875" style="2" customWidth="1"/>
    <col min="13826" max="13826" width="2.5546875" style="2" customWidth="1"/>
    <col min="13827" max="13828" width="8.77734375" style="2"/>
    <col min="13829" max="13829" width="7.21875" style="2" customWidth="1"/>
    <col min="13830" max="13830" width="8.21875" style="2" customWidth="1"/>
    <col min="13831" max="13832" width="10.21875" style="2" customWidth="1"/>
    <col min="13833" max="13833" width="3.77734375" style="2" customWidth="1"/>
    <col min="13834" max="13834" width="8.77734375" style="2"/>
    <col min="13835" max="13835" width="6.21875" style="2" customWidth="1"/>
    <col min="13836" max="13836" width="5.5546875" style="2" customWidth="1"/>
    <col min="13837" max="13837" width="10.77734375" style="2" customWidth="1"/>
    <col min="13838" max="13838" width="8.21875" style="2" customWidth="1"/>
    <col min="13839" max="13839" width="12.21875" style="2" customWidth="1"/>
    <col min="13840" max="13840" width="10.21875" style="2" customWidth="1"/>
    <col min="13841" max="13841" width="9.21875" style="2" customWidth="1"/>
    <col min="13842" max="14080" width="8.77734375" style="2"/>
    <col min="14081" max="14081" width="4.21875" style="2" customWidth="1"/>
    <col min="14082" max="14082" width="2.5546875" style="2" customWidth="1"/>
    <col min="14083" max="14084" width="8.77734375" style="2"/>
    <col min="14085" max="14085" width="7.21875" style="2" customWidth="1"/>
    <col min="14086" max="14086" width="8.21875" style="2" customWidth="1"/>
    <col min="14087" max="14088" width="10.21875" style="2" customWidth="1"/>
    <col min="14089" max="14089" width="3.77734375" style="2" customWidth="1"/>
    <col min="14090" max="14090" width="8.77734375" style="2"/>
    <col min="14091" max="14091" width="6.21875" style="2" customWidth="1"/>
    <col min="14092" max="14092" width="5.5546875" style="2" customWidth="1"/>
    <col min="14093" max="14093" width="10.77734375" style="2" customWidth="1"/>
    <col min="14094" max="14094" width="8.21875" style="2" customWidth="1"/>
    <col min="14095" max="14095" width="12.21875" style="2" customWidth="1"/>
    <col min="14096" max="14096" width="10.21875" style="2" customWidth="1"/>
    <col min="14097" max="14097" width="9.21875" style="2" customWidth="1"/>
    <col min="14098" max="14336" width="8.77734375" style="2"/>
    <col min="14337" max="14337" width="4.21875" style="2" customWidth="1"/>
    <col min="14338" max="14338" width="2.5546875" style="2" customWidth="1"/>
    <col min="14339" max="14340" width="8.77734375" style="2"/>
    <col min="14341" max="14341" width="7.21875" style="2" customWidth="1"/>
    <col min="14342" max="14342" width="8.21875" style="2" customWidth="1"/>
    <col min="14343" max="14344" width="10.21875" style="2" customWidth="1"/>
    <col min="14345" max="14345" width="3.77734375" style="2" customWidth="1"/>
    <col min="14346" max="14346" width="8.77734375" style="2"/>
    <col min="14347" max="14347" width="6.21875" style="2" customWidth="1"/>
    <col min="14348" max="14348" width="5.5546875" style="2" customWidth="1"/>
    <col min="14349" max="14349" width="10.77734375" style="2" customWidth="1"/>
    <col min="14350" max="14350" width="8.21875" style="2" customWidth="1"/>
    <col min="14351" max="14351" width="12.21875" style="2" customWidth="1"/>
    <col min="14352" max="14352" width="10.21875" style="2" customWidth="1"/>
    <col min="14353" max="14353" width="9.21875" style="2" customWidth="1"/>
    <col min="14354" max="14592" width="8.77734375" style="2"/>
    <col min="14593" max="14593" width="4.21875" style="2" customWidth="1"/>
    <col min="14594" max="14594" width="2.5546875" style="2" customWidth="1"/>
    <col min="14595" max="14596" width="8.77734375" style="2"/>
    <col min="14597" max="14597" width="7.21875" style="2" customWidth="1"/>
    <col min="14598" max="14598" width="8.21875" style="2" customWidth="1"/>
    <col min="14599" max="14600" width="10.21875" style="2" customWidth="1"/>
    <col min="14601" max="14601" width="3.77734375" style="2" customWidth="1"/>
    <col min="14602" max="14602" width="8.77734375" style="2"/>
    <col min="14603" max="14603" width="6.21875" style="2" customWidth="1"/>
    <col min="14604" max="14604" width="5.5546875" style="2" customWidth="1"/>
    <col min="14605" max="14605" width="10.77734375" style="2" customWidth="1"/>
    <col min="14606" max="14606" width="8.21875" style="2" customWidth="1"/>
    <col min="14607" max="14607" width="12.21875" style="2" customWidth="1"/>
    <col min="14608" max="14608" width="10.21875" style="2" customWidth="1"/>
    <col min="14609" max="14609" width="9.21875" style="2" customWidth="1"/>
    <col min="14610" max="14848" width="8.77734375" style="2"/>
    <col min="14849" max="14849" width="4.21875" style="2" customWidth="1"/>
    <col min="14850" max="14850" width="2.5546875" style="2" customWidth="1"/>
    <col min="14851" max="14852" width="8.77734375" style="2"/>
    <col min="14853" max="14853" width="7.21875" style="2" customWidth="1"/>
    <col min="14854" max="14854" width="8.21875" style="2" customWidth="1"/>
    <col min="14855" max="14856" width="10.21875" style="2" customWidth="1"/>
    <col min="14857" max="14857" width="3.77734375" style="2" customWidth="1"/>
    <col min="14858" max="14858" width="8.77734375" style="2"/>
    <col min="14859" max="14859" width="6.21875" style="2" customWidth="1"/>
    <col min="14860" max="14860" width="5.5546875" style="2" customWidth="1"/>
    <col min="14861" max="14861" width="10.77734375" style="2" customWidth="1"/>
    <col min="14862" max="14862" width="8.21875" style="2" customWidth="1"/>
    <col min="14863" max="14863" width="12.21875" style="2" customWidth="1"/>
    <col min="14864" max="14864" width="10.21875" style="2" customWidth="1"/>
    <col min="14865" max="14865" width="9.21875" style="2" customWidth="1"/>
    <col min="14866" max="15104" width="8.77734375" style="2"/>
    <col min="15105" max="15105" width="4.21875" style="2" customWidth="1"/>
    <col min="15106" max="15106" width="2.5546875" style="2" customWidth="1"/>
    <col min="15107" max="15108" width="8.77734375" style="2"/>
    <col min="15109" max="15109" width="7.21875" style="2" customWidth="1"/>
    <col min="15110" max="15110" width="8.21875" style="2" customWidth="1"/>
    <col min="15111" max="15112" width="10.21875" style="2" customWidth="1"/>
    <col min="15113" max="15113" width="3.77734375" style="2" customWidth="1"/>
    <col min="15114" max="15114" width="8.77734375" style="2"/>
    <col min="15115" max="15115" width="6.21875" style="2" customWidth="1"/>
    <col min="15116" max="15116" width="5.5546875" style="2" customWidth="1"/>
    <col min="15117" max="15117" width="10.77734375" style="2" customWidth="1"/>
    <col min="15118" max="15118" width="8.21875" style="2" customWidth="1"/>
    <col min="15119" max="15119" width="12.21875" style="2" customWidth="1"/>
    <col min="15120" max="15120" width="10.21875" style="2" customWidth="1"/>
    <col min="15121" max="15121" width="9.21875" style="2" customWidth="1"/>
    <col min="15122" max="15360" width="8.77734375" style="2"/>
    <col min="15361" max="15361" width="4.21875" style="2" customWidth="1"/>
    <col min="15362" max="15362" width="2.5546875" style="2" customWidth="1"/>
    <col min="15363" max="15364" width="8.77734375" style="2"/>
    <col min="15365" max="15365" width="7.21875" style="2" customWidth="1"/>
    <col min="15366" max="15366" width="8.21875" style="2" customWidth="1"/>
    <col min="15367" max="15368" width="10.21875" style="2" customWidth="1"/>
    <col min="15369" max="15369" width="3.77734375" style="2" customWidth="1"/>
    <col min="15370" max="15370" width="8.77734375" style="2"/>
    <col min="15371" max="15371" width="6.21875" style="2" customWidth="1"/>
    <col min="15372" max="15372" width="5.5546875" style="2" customWidth="1"/>
    <col min="15373" max="15373" width="10.77734375" style="2" customWidth="1"/>
    <col min="15374" max="15374" width="8.21875" style="2" customWidth="1"/>
    <col min="15375" max="15375" width="12.21875" style="2" customWidth="1"/>
    <col min="15376" max="15376" width="10.21875" style="2" customWidth="1"/>
    <col min="15377" max="15377" width="9.21875" style="2" customWidth="1"/>
    <col min="15378" max="15616" width="8.77734375" style="2"/>
    <col min="15617" max="15617" width="4.21875" style="2" customWidth="1"/>
    <col min="15618" max="15618" width="2.5546875" style="2" customWidth="1"/>
    <col min="15619" max="15620" width="8.77734375" style="2"/>
    <col min="15621" max="15621" width="7.21875" style="2" customWidth="1"/>
    <col min="15622" max="15622" width="8.21875" style="2" customWidth="1"/>
    <col min="15623" max="15624" width="10.21875" style="2" customWidth="1"/>
    <col min="15625" max="15625" width="3.77734375" style="2" customWidth="1"/>
    <col min="15626" max="15626" width="8.77734375" style="2"/>
    <col min="15627" max="15627" width="6.21875" style="2" customWidth="1"/>
    <col min="15628" max="15628" width="5.5546875" style="2" customWidth="1"/>
    <col min="15629" max="15629" width="10.77734375" style="2" customWidth="1"/>
    <col min="15630" max="15630" width="8.21875" style="2" customWidth="1"/>
    <col min="15631" max="15631" width="12.21875" style="2" customWidth="1"/>
    <col min="15632" max="15632" width="10.21875" style="2" customWidth="1"/>
    <col min="15633" max="15633" width="9.21875" style="2" customWidth="1"/>
    <col min="15634" max="15872" width="8.77734375" style="2"/>
    <col min="15873" max="15873" width="4.21875" style="2" customWidth="1"/>
    <col min="15874" max="15874" width="2.5546875" style="2" customWidth="1"/>
    <col min="15875" max="15876" width="8.77734375" style="2"/>
    <col min="15877" max="15877" width="7.21875" style="2" customWidth="1"/>
    <col min="15878" max="15878" width="8.21875" style="2" customWidth="1"/>
    <col min="15879" max="15880" width="10.21875" style="2" customWidth="1"/>
    <col min="15881" max="15881" width="3.77734375" style="2" customWidth="1"/>
    <col min="15882" max="15882" width="8.77734375" style="2"/>
    <col min="15883" max="15883" width="6.21875" style="2" customWidth="1"/>
    <col min="15884" max="15884" width="5.5546875" style="2" customWidth="1"/>
    <col min="15885" max="15885" width="10.77734375" style="2" customWidth="1"/>
    <col min="15886" max="15886" width="8.21875" style="2" customWidth="1"/>
    <col min="15887" max="15887" width="12.21875" style="2" customWidth="1"/>
    <col min="15888" max="15888" width="10.21875" style="2" customWidth="1"/>
    <col min="15889" max="15889" width="9.21875" style="2" customWidth="1"/>
    <col min="15890" max="16128" width="8.77734375" style="2"/>
    <col min="16129" max="16129" width="4.21875" style="2" customWidth="1"/>
    <col min="16130" max="16130" width="2.5546875" style="2" customWidth="1"/>
    <col min="16131" max="16132" width="8.77734375" style="2"/>
    <col min="16133" max="16133" width="7.21875" style="2" customWidth="1"/>
    <col min="16134" max="16134" width="8.21875" style="2" customWidth="1"/>
    <col min="16135" max="16136" width="10.21875" style="2" customWidth="1"/>
    <col min="16137" max="16137" width="3.77734375" style="2" customWidth="1"/>
    <col min="16138" max="16138" width="8.77734375" style="2"/>
    <col min="16139" max="16139" width="6.21875" style="2" customWidth="1"/>
    <col min="16140" max="16140" width="5.5546875" style="2" customWidth="1"/>
    <col min="16141" max="16141" width="10.77734375" style="2" customWidth="1"/>
    <col min="16142" max="16142" width="8.21875" style="2" customWidth="1"/>
    <col min="16143" max="16143" width="12.21875" style="2" customWidth="1"/>
    <col min="16144" max="16144" width="10.21875" style="2" customWidth="1"/>
    <col min="16145" max="16145" width="9.21875" style="2" customWidth="1"/>
    <col min="16146" max="16384" width="8.77734375" style="2"/>
  </cols>
  <sheetData>
    <row r="1" spans="1:18" ht="15.6">
      <c r="A1" s="1220" t="s">
        <v>20</v>
      </c>
      <c r="B1" s="1220"/>
      <c r="C1" s="1220"/>
      <c r="D1" s="1220"/>
      <c r="E1" s="1220"/>
      <c r="F1" s="1220"/>
      <c r="G1" s="1220"/>
      <c r="H1" s="1220"/>
      <c r="I1" s="1220"/>
      <c r="J1" s="1220"/>
      <c r="K1" s="1220"/>
      <c r="L1" s="1220"/>
      <c r="M1" s="1220"/>
      <c r="N1" s="1220"/>
      <c r="O1" s="1220"/>
      <c r="P1" s="49"/>
      <c r="Q1" s="50"/>
      <c r="R1" s="49"/>
    </row>
    <row r="2" spans="1:18" ht="15.6">
      <c r="A2" s="1220" t="s">
        <v>42</v>
      </c>
      <c r="B2" s="1220"/>
      <c r="C2" s="1220"/>
      <c r="D2" s="1220"/>
      <c r="E2" s="1220"/>
      <c r="F2" s="1220"/>
      <c r="G2" s="1220"/>
      <c r="H2" s="1220"/>
      <c r="I2" s="1220"/>
      <c r="J2" s="1220"/>
      <c r="K2" s="1220"/>
      <c r="L2" s="1220"/>
      <c r="M2" s="1220"/>
      <c r="N2" s="1220"/>
      <c r="O2" s="1220"/>
    </row>
    <row r="3" spans="1:18" ht="9" customHeight="1">
      <c r="A3" s="49"/>
      <c r="B3" s="49"/>
      <c r="C3" s="49"/>
      <c r="D3" s="49"/>
      <c r="E3" s="49"/>
      <c r="F3" s="49"/>
      <c r="G3" s="49"/>
      <c r="H3" s="49"/>
      <c r="I3" s="49"/>
      <c r="J3" s="49"/>
      <c r="K3" s="49"/>
      <c r="L3" s="49"/>
      <c r="M3" s="49"/>
      <c r="N3" s="49"/>
      <c r="O3" s="49"/>
    </row>
    <row r="4" spans="1:18" ht="7.5" customHeight="1"/>
    <row r="5" spans="1:18" ht="39" customHeight="1">
      <c r="A5" s="33" t="s">
        <v>22</v>
      </c>
      <c r="F5" s="34" t="s">
        <v>23</v>
      </c>
      <c r="H5" s="35" t="s">
        <v>24</v>
      </c>
      <c r="I5" s="36"/>
      <c r="J5" s="1221" t="s">
        <v>25</v>
      </c>
      <c r="K5" s="1217"/>
      <c r="M5" s="3" t="s">
        <v>26</v>
      </c>
      <c r="O5" s="37" t="s">
        <v>27</v>
      </c>
    </row>
    <row r="6" spans="1:18" ht="6.75" customHeight="1"/>
    <row r="7" spans="1:18" ht="15">
      <c r="B7" s="5" t="s">
        <v>6</v>
      </c>
      <c r="F7" s="38" t="str">
        <f>IF('Input (1)'!$G$4=0," ",'Input (1)'!$G$4)</f>
        <v xml:space="preserve"> </v>
      </c>
      <c r="G7" s="39"/>
      <c r="J7" s="1222" t="str">
        <f>IF('Input (1)'!G4=0,"0",'Input (1)'!G4)</f>
        <v>0</v>
      </c>
      <c r="K7" s="1222"/>
      <c r="L7" s="40" t="s">
        <v>28</v>
      </c>
      <c r="M7" s="41">
        <f>IF('Input (1)'!G4=0,0,LOOKUP(J7,'criteria (1)'!$A$3:$A$10,'criteria (1)'!$B$3:$B$10))</f>
        <v>0</v>
      </c>
      <c r="N7" s="42" t="s">
        <v>29</v>
      </c>
      <c r="O7" s="38">
        <f>IF(Q7=0,0,IF(Q7&lt;LOOKUP(J7,'criteria (1)'!$A$3:$A$10,'criteria (1)'!$C$3:$C$10),LOOKUP(J7,'criteria (1)'!$A$3:$A$10,'criteria (1)'!$C$3:$C$10),IF(LOOKUP(J7,'criteria (1)'!$A$3:$A$10,'criteria (1)'!$C$3:$C$10)=0,0,Q7)))</f>
        <v>0</v>
      </c>
      <c r="P7" s="28" t="str">
        <f>IF('Input (1)'!G4=0," ",IF(O7=0,"ADD to 1-6",IF(O7=Q7," ","Minimum")))</f>
        <v xml:space="preserve"> </v>
      </c>
      <c r="Q7" s="32">
        <f>ROUND(IF('Input (1)'!G4=0,0,IF(M7=0,0,(J7/M7))),2)</f>
        <v>0</v>
      </c>
    </row>
    <row r="8" spans="1:18" ht="6.75" customHeight="1">
      <c r="J8" s="43"/>
      <c r="K8" s="43"/>
      <c r="O8" s="43"/>
    </row>
    <row r="9" spans="1:18">
      <c r="B9" s="5" t="s">
        <v>7</v>
      </c>
      <c r="J9" s="43"/>
      <c r="K9" s="43"/>
      <c r="O9" s="43"/>
    </row>
    <row r="10" spans="1:18">
      <c r="B10" s="28" t="s">
        <v>30</v>
      </c>
      <c r="J10" s="43"/>
      <c r="K10" s="43"/>
      <c r="O10" s="43"/>
    </row>
    <row r="11" spans="1:18" ht="16.5" customHeight="1">
      <c r="C11" s="12" t="s">
        <v>8</v>
      </c>
      <c r="F11" s="41" t="str">
        <f>IF(J11=0," ",IF($J$16&gt;300," ",'Input (1)'!G7))</f>
        <v xml:space="preserve"> </v>
      </c>
      <c r="G11" s="44" t="s">
        <v>31</v>
      </c>
      <c r="H11" s="38" t="str">
        <f>IF(J11=0," ",'C (1)'!H25)</f>
        <v xml:space="preserve"> </v>
      </c>
      <c r="I11" s="42" t="s">
        <v>29</v>
      </c>
      <c r="J11" s="1222">
        <f>IF('Input (1)'!G7=0,0,IF(SUM('Input (1)'!G7-'C (1)'!H25)+SUM('Input (1)'!G8-'C (1)'!H26)&gt;299.99,SUM('Input (1)'!G7-'C (1)'!H25),0))</f>
        <v>0</v>
      </c>
      <c r="K11" s="1222"/>
      <c r="L11" s="40" t="s">
        <v>28</v>
      </c>
      <c r="M11" s="41">
        <f>IF(SUM('Input (1)'!$G$7-'C (1)'!$H$25)+SUM('Input (1)'!$G$8-'C (1)'!$H$26)&gt;299.99,20,0)</f>
        <v>0</v>
      </c>
      <c r="N11" s="42" t="s">
        <v>29</v>
      </c>
      <c r="O11" s="38">
        <f>ROUND(IF(SUM('Input (1)'!$G$7-'C (1)'!$H$25)+SUM('Input (1)'!$G$8-'C (1)'!$H$26)&lt;299.99,0,IF(Q11+Q13&lt;15,0,(J11/M11))),2)</f>
        <v>0</v>
      </c>
      <c r="P11" s="2" t="str">
        <f>IF(O11=0," ",IF(O11=Q11," ","Minimum"))</f>
        <v xml:space="preserve"> </v>
      </c>
      <c r="Q11" s="32">
        <f>ROUND(IF(SUM('Input (1)'!$G$7-'C (1)'!$H$25)+SUM('Input (1)'!$G$8-'C (1)'!$H$26)&lt;299.99,0,(J11/M11)),2)</f>
        <v>0</v>
      </c>
    </row>
    <row r="12" spans="1:18" ht="9" customHeight="1">
      <c r="B12" s="12"/>
      <c r="J12" s="43"/>
      <c r="K12" s="43"/>
      <c r="O12" s="43"/>
    </row>
    <row r="13" spans="1:18" ht="15">
      <c r="C13" s="12" t="s">
        <v>9</v>
      </c>
      <c r="F13" s="41" t="str">
        <f>IF(J13=0," ",IF($J$16&gt;300," ",'Input (1)'!G8))</f>
        <v xml:space="preserve"> </v>
      </c>
      <c r="G13" s="44" t="s">
        <v>31</v>
      </c>
      <c r="H13" s="38" t="str">
        <f>IF(J13=0," ",'C (1)'!H26)</f>
        <v xml:space="preserve"> </v>
      </c>
      <c r="I13" s="42" t="s">
        <v>29</v>
      </c>
      <c r="J13" s="1222">
        <f>IF('Input (1)'!G8=0,0,IF(SUM('Input (1)'!G7-'C (1)'!H25)+SUM('Input (1)'!G8-'C (1)'!H26)&gt;299.99,SUM('Input (1)'!G8-'C (1)'!H26),0))</f>
        <v>0</v>
      </c>
      <c r="K13" s="1222"/>
      <c r="L13" s="40" t="s">
        <v>28</v>
      </c>
      <c r="M13" s="41">
        <f>IF(SUM('Input (1)'!$G$7-'C (1)'!$H$25)+SUM('Input (1)'!$G$8-'C (1)'!$H$26)&gt;299.99,23,0)</f>
        <v>0</v>
      </c>
      <c r="N13" s="42" t="s">
        <v>29</v>
      </c>
      <c r="O13" s="38">
        <f>ROUND(IF(SUM('Input (1)'!$G$7-'C (1)'!$H$25)+SUM('Input (1)'!$G$8-'C (1)'!$H$26)&lt;299.99,0,IF(Q11+Q13&lt;15,0,($J$13/$M$13))),2)</f>
        <v>0</v>
      </c>
      <c r="P13" s="2" t="str">
        <f>IF(O13=0," ",IF(O13=Q13," ","Minimum"))</f>
        <v xml:space="preserve"> </v>
      </c>
      <c r="Q13" s="32">
        <f>ROUND(IF(SUM('Input (1)'!$G$7-'C (1)'!$H$25)+SUM('Input (1)'!$G$8-'C (1)'!$H$26)&lt;299.99,0,($J$13/$M$13)),2)</f>
        <v>0</v>
      </c>
    </row>
    <row r="14" spans="1:18" ht="15">
      <c r="B14" s="5" t="s">
        <v>7</v>
      </c>
      <c r="F14" s="36"/>
      <c r="G14" s="44"/>
      <c r="H14" s="39"/>
      <c r="I14" s="42"/>
      <c r="O14" s="39" t="str">
        <f>IF(P14="Minimum",15," ")</f>
        <v xml:space="preserve"> </v>
      </c>
      <c r="P14" s="2" t="str">
        <f>IF(Q11+Q13=0," ",IF(Q11+Q13&lt;15,"Minimum"," "))</f>
        <v xml:space="preserve"> </v>
      </c>
    </row>
    <row r="15" spans="1:18">
      <c r="B15" s="28" t="s">
        <v>32</v>
      </c>
      <c r="O15" s="43"/>
    </row>
    <row r="16" spans="1:18" ht="15">
      <c r="C16" s="12" t="s">
        <v>33</v>
      </c>
      <c r="F16" s="41">
        <f>IF(J16=0," ",IF(J16&lt;300,SUM('Input (1)'!G7+'Input (1)'!G8)," "))</f>
        <v>73.149999999999991</v>
      </c>
      <c r="G16" s="44" t="s">
        <v>31</v>
      </c>
      <c r="H16" s="38">
        <f>IF(J16=0," ",'C (1)'!H22)</f>
        <v>4.62</v>
      </c>
      <c r="I16" s="42" t="s">
        <v>29</v>
      </c>
      <c r="J16" s="1222">
        <f>IF('Input (1)'!G9=0,0,IF(SUM('Input (1)'!G7-'C (1)'!H25)+SUM('Input (1)'!G8-'C (1)'!H26)&lt;300,IF(P7="ADD to 1-6",SUM('Input (1)'!G7-'C (1)'!H25)+SUM('Input (1)'!G8-'C (1)'!H26)+'Input (1)'!G4,SUM('Input (1)'!G7-'C (1)'!H25)+SUM('Input (1)'!G8-'C (1)'!H26)),0))</f>
        <v>68.529999999999987</v>
      </c>
      <c r="K16" s="1222"/>
      <c r="L16" s="40" t="s">
        <v>28</v>
      </c>
      <c r="M16" s="41">
        <f>IF(SUM('Input (1)'!$G$7-'C (1)'!$H$25)+SUM('Input (1)'!$G$8-'C (1)'!$H$26)&lt;299.99,LOOKUP(J16,'criteria (1)'!$M$3:$M$11,'criteria (1)'!$N$3:$N$11),0)</f>
        <v>15</v>
      </c>
      <c r="N16" s="42" t="s">
        <v>29</v>
      </c>
      <c r="O16" s="38">
        <f>IF(Q16=0,0,IF(Q16&lt;LOOKUP(J16,'criteria (1)'!$M$3:$M$10,'criteria (1)'!$O$3:$O$10),LOOKUP(J16,'criteria (1)'!$M$3:$M$10,'criteria (1)'!$O$3:$O$10),Q16))</f>
        <v>4.57</v>
      </c>
      <c r="P16" s="2" t="str">
        <f>IF(O16=0," ",IF(O16=Q16," ","Minimum"))</f>
        <v xml:space="preserve"> </v>
      </c>
      <c r="Q16" s="32">
        <f>ROUND(IF('Input (1)'!G9=0,0,IF(SUM('Input (1)'!$G$7-'C (1)'!$H$25)+SUM('Input (1)'!$G$8-'C (1)'!$H$26)&gt;299.99,0,(J16/M16))),2)</f>
        <v>4.57</v>
      </c>
    </row>
    <row r="17" spans="1:17" ht="6" customHeight="1">
      <c r="J17" s="43"/>
      <c r="K17" s="43"/>
      <c r="O17" s="43"/>
    </row>
    <row r="18" spans="1:17" ht="15">
      <c r="B18" s="5" t="s">
        <v>10</v>
      </c>
      <c r="F18" s="41">
        <f>IF(J18=0," ",'Input (1)'!G10)</f>
        <v>74.099999999999994</v>
      </c>
      <c r="G18" s="44" t="s">
        <v>31</v>
      </c>
      <c r="H18" s="38">
        <f>IF(J18=0," ",'C (1)'!$H$43)</f>
        <v>4.29</v>
      </c>
      <c r="I18" s="42" t="s">
        <v>29</v>
      </c>
      <c r="J18" s="1222">
        <f>IF('Input (1)'!G10=0,0,SUM('Input (1)'!G10-'C (1)'!H43))</f>
        <v>69.809999999999988</v>
      </c>
      <c r="K18" s="1222"/>
      <c r="L18" s="40" t="s">
        <v>28</v>
      </c>
      <c r="M18" s="41">
        <f>IF(J18=0,0,IF(J18&gt;99.99,LOOKUP(J18,'criteria (1)'!Q3:Q10,'criteria (1)'!R3:R10),12))</f>
        <v>12</v>
      </c>
      <c r="N18" s="42" t="s">
        <v>29</v>
      </c>
      <c r="O18" s="38">
        <f>ROUND(IF(J18=0,0,IF(J18&lt;99.99,IF(M18=0,8,(J18/M18)),IF(Q18&lt;LOOKUP(J18,'criteria (1)'!$Q$3:$Q$10,'criteria (1)'!$S$3:$S$10),LOOKUP(J18,'criteria (1)'!$Q$3:$Q$10,'criteria (1)'!$S$3:$S$10),Q18))),2)</f>
        <v>5.82</v>
      </c>
      <c r="P18" s="2" t="str">
        <f>IF(O18=0," ",IF(O18=Q18," ","Minimum"))</f>
        <v xml:space="preserve"> </v>
      </c>
      <c r="Q18" s="32">
        <f>ROUND(IF(M18=0,0,(J18/M18)),2)</f>
        <v>5.82</v>
      </c>
    </row>
    <row r="19" spans="1:17">
      <c r="B19" s="5"/>
      <c r="J19" s="39"/>
      <c r="K19" s="39"/>
      <c r="M19" s="36"/>
      <c r="N19" s="42"/>
      <c r="O19" s="36"/>
    </row>
    <row r="20" spans="1:17" ht="15.6">
      <c r="A20" s="48" t="s">
        <v>43</v>
      </c>
      <c r="J20" s="43"/>
      <c r="K20" s="43"/>
    </row>
    <row r="21" spans="1:17" ht="3.75" customHeight="1">
      <c r="J21" s="43"/>
      <c r="K21" s="43"/>
    </row>
    <row r="22" spans="1:17">
      <c r="B22" s="2" t="s">
        <v>44</v>
      </c>
      <c r="J22" s="1222" t="str">
        <f>IF('C (1)'!H55=0," ",'C (1)'!H55)</f>
        <v xml:space="preserve"> </v>
      </c>
      <c r="K22" s="1222"/>
    </row>
    <row r="23" spans="1:17" ht="6" customHeight="1">
      <c r="J23" s="43"/>
      <c r="K23" s="43"/>
    </row>
    <row r="24" spans="1:17">
      <c r="B24" s="2" t="s">
        <v>45</v>
      </c>
      <c r="J24" s="1222">
        <f>IF('C (1)'!H22=0," ",'C (1)'!H22)</f>
        <v>4.62</v>
      </c>
      <c r="K24" s="1222"/>
    </row>
    <row r="25" spans="1:17" ht="6" customHeight="1">
      <c r="J25" s="43"/>
      <c r="K25" s="43"/>
    </row>
    <row r="26" spans="1:17">
      <c r="B26" s="2" t="s">
        <v>46</v>
      </c>
      <c r="J26" s="1222">
        <f>IF('C (1)'!H43=0," ",'C (1)'!H43)</f>
        <v>4.29</v>
      </c>
      <c r="K26" s="1222"/>
    </row>
    <row r="27" spans="1:17" ht="6" customHeight="1">
      <c r="J27" s="43"/>
      <c r="K27" s="43"/>
    </row>
    <row r="28" spans="1:17" ht="6" customHeight="1">
      <c r="J28" s="39"/>
      <c r="K28" s="39"/>
    </row>
    <row r="29" spans="1:17" ht="13.5" customHeight="1" thickBot="1">
      <c r="B29" s="46" t="s">
        <v>47</v>
      </c>
      <c r="J29" s="1219">
        <f>SUM(J22:K27)</f>
        <v>8.91</v>
      </c>
      <c r="K29" s="1219"/>
      <c r="L29" s="40" t="s">
        <v>28</v>
      </c>
      <c r="M29" s="41">
        <f>IF(SUM('Input (1)'!C4:C10)=0,0,IF(J29&gt;=14,LOOKUP(J29,'criteria (1)'!$U$3:$U$10,'criteria (1)'!$V$3:$V$10),0))</f>
        <v>0</v>
      </c>
      <c r="N29" s="42" t="s">
        <v>29</v>
      </c>
      <c r="O29" s="38">
        <f>IF(J29=0,0,IF(Q29&lt;LOOKUP(J29,'criteria (1)'!$U$3:$U$10,'criteria (1)'!$W$3:$W$10),LOOKUP(J29,'criteria (1)'!$U$3:$U$10,'criteria (1)'!$W$3:$W$10),Q29))</f>
        <v>0.75</v>
      </c>
      <c r="P29" s="2" t="str">
        <f>IF(O29=0," ",IF(O29=Q29," ","Minimum"))</f>
        <v>Minimum</v>
      </c>
      <c r="Q29" s="32">
        <f>ROUND(IF(SUM('Input (1)'!C4:C10)=0,0,IF(M29=0,0,(J29/M29))),2)</f>
        <v>0</v>
      </c>
    </row>
    <row r="30" spans="1:17" ht="12" customHeight="1" thickTop="1">
      <c r="B30" s="1226"/>
      <c r="C30" s="1226"/>
      <c r="D30" s="1226"/>
      <c r="E30" s="1226"/>
      <c r="F30" s="47"/>
      <c r="G30" s="47"/>
      <c r="H30" s="47"/>
      <c r="J30" s="12"/>
      <c r="N30" s="42"/>
      <c r="O30" s="39"/>
      <c r="P30" s="46"/>
    </row>
    <row r="31" spans="1:17" ht="19.5" customHeight="1">
      <c r="A31" s="48" t="s">
        <v>39</v>
      </c>
      <c r="O31" s="43"/>
    </row>
    <row r="32" spans="1:17" ht="15">
      <c r="B32" s="1227" t="str">
        <f>IF('Input (1)'!E14=0," ","Alternative Secondary High School")</f>
        <v xml:space="preserve"> </v>
      </c>
      <c r="C32" s="1227"/>
      <c r="D32" s="1227"/>
      <c r="E32" s="1227"/>
      <c r="F32" s="1227"/>
      <c r="J32" s="1222">
        <f>'Input (1)'!G14</f>
        <v>0</v>
      </c>
      <c r="K32" s="1222"/>
      <c r="L32" s="40" t="s">
        <v>28</v>
      </c>
      <c r="M32" s="41">
        <f>IF(J32=0,0,IF(Q32&lt;1,M18,12))</f>
        <v>0</v>
      </c>
      <c r="N32" s="42" t="s">
        <v>29</v>
      </c>
      <c r="O32" s="38">
        <f>ROUND(IF(J32=0,0,J32/M32),2)</f>
        <v>0</v>
      </c>
      <c r="P32" s="45"/>
      <c r="Q32" s="32">
        <f>ROUND(IF(J32=0,0,J32/12),2)</f>
        <v>0</v>
      </c>
    </row>
    <row r="33" spans="1:17" ht="11.25" customHeight="1">
      <c r="J33" s="43"/>
      <c r="K33" s="43"/>
      <c r="O33" s="43"/>
    </row>
    <row r="34" spans="1:17" ht="11.25" customHeight="1">
      <c r="B34" s="1227" t="str">
        <f>IF('Input (1)'!E15=0," ","Summer Alternative Secondary High School")</f>
        <v xml:space="preserve"> </v>
      </c>
      <c r="C34" s="1227"/>
      <c r="D34" s="1227"/>
      <c r="E34" s="1227"/>
      <c r="F34" s="1227"/>
      <c r="J34" s="1222">
        <f>'Input (1)'!E15</f>
        <v>0</v>
      </c>
      <c r="K34" s="1222"/>
      <c r="L34" s="40" t="s">
        <v>28</v>
      </c>
      <c r="M34" s="41">
        <f>IF(J34=0,0,40)</f>
        <v>0</v>
      </c>
      <c r="N34" s="42" t="s">
        <v>29</v>
      </c>
      <c r="O34" s="38">
        <f>ROUND(IF(J34=0,0,J34/M34),2)</f>
        <v>0</v>
      </c>
      <c r="P34" s="45"/>
      <c r="Q34" s="32">
        <f>ROUND(IF(J34=0,0,J34/12),2)</f>
        <v>0</v>
      </c>
    </row>
    <row r="35" spans="1:17" ht="13.5" customHeight="1">
      <c r="J35" s="36"/>
      <c r="K35" s="36"/>
      <c r="L35" s="40"/>
      <c r="M35" s="36"/>
      <c r="N35" s="42"/>
      <c r="O35" s="36"/>
      <c r="P35" s="46"/>
    </row>
    <row r="36" spans="1:17" ht="18.75" customHeight="1" thickBot="1">
      <c r="A36" s="45"/>
      <c r="B36" s="12" t="s">
        <v>40</v>
      </c>
      <c r="C36" s="46"/>
      <c r="D36" s="46"/>
      <c r="E36" s="46"/>
      <c r="F36" s="46"/>
      <c r="G36" s="46"/>
      <c r="H36" s="46"/>
      <c r="I36" s="46"/>
      <c r="J36" s="46"/>
      <c r="K36" s="46"/>
      <c r="M36" s="36"/>
      <c r="O36" s="52">
        <f>ROUND(IF(SUM(O7:O34)=0,0,SUM(O7:O34)),2)</f>
        <v>11.14</v>
      </c>
    </row>
    <row r="37" spans="1:17" ht="13.8" thickTop="1"/>
  </sheetData>
  <sheetProtection password="CDD6" sheet="1" objects="1" scenarios="1"/>
  <mergeCells count="17">
    <mergeCell ref="B30:E30"/>
    <mergeCell ref="B32:F32"/>
    <mergeCell ref="J32:K32"/>
    <mergeCell ref="B34:F34"/>
    <mergeCell ref="J34:K34"/>
    <mergeCell ref="J29:K29"/>
    <mergeCell ref="A1:O1"/>
    <mergeCell ref="A2:O2"/>
    <mergeCell ref="J5:K5"/>
    <mergeCell ref="J7:K7"/>
    <mergeCell ref="J11:K11"/>
    <mergeCell ref="J13:K13"/>
    <mergeCell ref="J16:K16"/>
    <mergeCell ref="J18:K18"/>
    <mergeCell ref="J22:K22"/>
    <mergeCell ref="J24:K24"/>
    <mergeCell ref="J26:K26"/>
  </mergeCells>
  <pageMargins left="0.5" right="0.5" top="0.5" bottom="0.5" header="0.25" footer="0.25"/>
  <pageSetup scale="76" orientation="portrait" r:id="rId1"/>
  <headerFooter alignWithMargins="0">
    <oddFooter>&amp;L&amp;F</oddFooter>
  </headerFooter>
  <colBreaks count="1" manualBreakCount="1">
    <brk id="16" max="1048575" man="1"/>
  </col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92">
    <tabColor rgb="FF002060"/>
    <pageSetUpPr fitToPage="1"/>
  </sheetPr>
  <dimension ref="A1:O56"/>
  <sheetViews>
    <sheetView workbookViewId="0">
      <selection activeCell="K29" sqref="K29:K43"/>
    </sheetView>
  </sheetViews>
  <sheetFormatPr defaultColWidth="10.44140625" defaultRowHeight="10.199999999999999"/>
  <cols>
    <col min="1" max="1" width="6.21875" style="185" customWidth="1"/>
    <col min="2" max="2" width="6.77734375" style="185" customWidth="1"/>
    <col min="3" max="3" width="7.44140625" style="185" customWidth="1"/>
    <col min="4" max="4" width="9.21875" style="185" customWidth="1"/>
    <col min="5" max="5" width="7.44140625" style="185" customWidth="1"/>
    <col min="6" max="6" width="8.5546875" style="185" customWidth="1"/>
    <col min="7" max="7" width="8.21875" style="185" customWidth="1"/>
    <col min="8" max="8" width="8.5546875" style="185" customWidth="1"/>
    <col min="9" max="9" width="1.44140625" style="185" customWidth="1"/>
    <col min="10" max="10" width="13.77734375" style="185" customWidth="1"/>
    <col min="11" max="11" width="11" style="185" customWidth="1"/>
    <col min="12" max="12" width="13.5546875" style="185" customWidth="1"/>
    <col min="13" max="14" width="12.77734375" style="185" customWidth="1"/>
    <col min="15" max="15" width="10.44140625" style="185"/>
    <col min="16" max="16" width="3.77734375" style="185" customWidth="1"/>
    <col min="17" max="16384" width="10.44140625" style="185"/>
  </cols>
  <sheetData>
    <row r="1" spans="1:13" s="455" customFormat="1" ht="18">
      <c r="L1" s="456"/>
    </row>
    <row r="2" spans="1:13" s="172" customFormat="1" ht="18" customHeight="1">
      <c r="A2" s="504" t="s">
        <v>470</v>
      </c>
      <c r="C2" s="171"/>
    </row>
    <row r="3" spans="1:13" s="454" customFormat="1" ht="15" customHeight="1">
      <c r="A3" s="513">
        <v>1</v>
      </c>
      <c r="B3" s="514" t="s">
        <v>466</v>
      </c>
      <c r="C3" s="515"/>
      <c r="D3" s="516"/>
      <c r="E3" s="511"/>
      <c r="F3" s="511"/>
      <c r="G3" s="173"/>
    </row>
    <row r="4" spans="1:13" s="454" customFormat="1" ht="31.95" customHeight="1">
      <c r="A4" s="517">
        <v>2</v>
      </c>
      <c r="B4" s="518" t="s">
        <v>467</v>
      </c>
      <c r="C4" s="519"/>
      <c r="D4" s="520"/>
      <c r="E4" s="511"/>
      <c r="F4" s="511"/>
      <c r="G4" s="173"/>
    </row>
    <row r="5" spans="1:13" s="454" customFormat="1" ht="15" customHeight="1">
      <c r="A5" s="517">
        <v>4</v>
      </c>
      <c r="B5" s="521" t="s">
        <v>468</v>
      </c>
      <c r="C5" s="513"/>
      <c r="D5" s="517"/>
      <c r="E5" s="512"/>
      <c r="F5" s="512"/>
      <c r="G5" s="173"/>
    </row>
    <row r="6" spans="1:13" ht="19.95" customHeight="1">
      <c r="A6" s="517">
        <v>5</v>
      </c>
      <c r="B6" s="518" t="s">
        <v>469</v>
      </c>
      <c r="C6" s="519"/>
      <c r="D6" s="520"/>
      <c r="E6" s="451"/>
      <c r="F6" s="451"/>
      <c r="G6" s="450"/>
    </row>
    <row r="9" spans="1:13" s="184" customFormat="1" ht="12">
      <c r="A9" s="371"/>
      <c r="B9" s="371"/>
      <c r="C9" s="371"/>
      <c r="D9" s="371"/>
      <c r="E9" s="371" t="s">
        <v>391</v>
      </c>
      <c r="F9" s="371"/>
      <c r="G9" s="371"/>
      <c r="H9" s="371"/>
      <c r="I9" s="371"/>
      <c r="J9" s="371"/>
      <c r="K9" s="371"/>
      <c r="L9" s="371"/>
      <c r="M9" s="371"/>
    </row>
    <row r="10" spans="1:13" s="421" customFormat="1" ht="12" customHeight="1">
      <c r="A10" s="449" t="s">
        <v>390</v>
      </c>
      <c r="B10" s="170"/>
      <c r="C10" s="170"/>
      <c r="D10" s="448"/>
      <c r="E10" s="374" t="s">
        <v>215</v>
      </c>
      <c r="F10" s="374" t="s">
        <v>216</v>
      </c>
      <c r="G10" s="374" t="s">
        <v>217</v>
      </c>
      <c r="H10" s="374" t="s">
        <v>218</v>
      </c>
      <c r="I10" s="444"/>
      <c r="J10" s="445" t="s">
        <v>304</v>
      </c>
      <c r="K10" s="445" t="s">
        <v>238</v>
      </c>
      <c r="L10" s="447" t="s">
        <v>386</v>
      </c>
      <c r="M10" s="446"/>
    </row>
    <row r="11" spans="1:13" s="421" customFormat="1" ht="24.6" customHeight="1">
      <c r="A11" s="166" t="s">
        <v>239</v>
      </c>
      <c r="B11" s="374" t="s">
        <v>220</v>
      </c>
      <c r="C11" s="374" t="s">
        <v>221</v>
      </c>
      <c r="D11" s="374" t="s">
        <v>222</v>
      </c>
      <c r="E11" s="374" t="s">
        <v>223</v>
      </c>
      <c r="F11" s="374" t="s">
        <v>224</v>
      </c>
      <c r="G11" s="374" t="s">
        <v>225</v>
      </c>
      <c r="H11" s="374" t="s">
        <v>226</v>
      </c>
      <c r="I11" s="444"/>
      <c r="J11" s="167" t="s">
        <v>240</v>
      </c>
      <c r="K11" s="167" t="s">
        <v>169</v>
      </c>
      <c r="L11" s="445" t="s">
        <v>389</v>
      </c>
      <c r="M11" s="419"/>
    </row>
    <row r="12" spans="1:13" s="421" customFormat="1" ht="12">
      <c r="A12" s="164"/>
      <c r="B12" s="164"/>
      <c r="C12" s="164"/>
      <c r="D12" s="164"/>
      <c r="E12" s="164"/>
      <c r="F12" s="164"/>
      <c r="G12" s="164"/>
      <c r="H12" s="164"/>
      <c r="I12" s="444"/>
      <c r="J12" s="443" t="s">
        <v>241</v>
      </c>
      <c r="K12" s="443" t="s">
        <v>242</v>
      </c>
      <c r="L12" s="442">
        <v>33400</v>
      </c>
      <c r="M12" s="419"/>
    </row>
    <row r="13" spans="1:13" s="421" customFormat="1" ht="12">
      <c r="A13" s="166">
        <v>0</v>
      </c>
      <c r="B13" s="430" t="s">
        <v>243</v>
      </c>
      <c r="C13" s="430" t="s">
        <v>243</v>
      </c>
      <c r="D13" s="430" t="s">
        <v>243</v>
      </c>
      <c r="E13" s="430" t="s">
        <v>243</v>
      </c>
      <c r="F13" s="430" t="s">
        <v>243</v>
      </c>
      <c r="G13" s="430" t="s">
        <v>243</v>
      </c>
      <c r="H13" s="430" t="s">
        <v>243</v>
      </c>
      <c r="I13" s="165"/>
      <c r="J13" s="441"/>
      <c r="K13" s="440">
        <v>1</v>
      </c>
      <c r="L13" s="439"/>
      <c r="M13" s="419"/>
    </row>
    <row r="14" spans="1:13" s="421" customFormat="1" ht="12">
      <c r="A14" s="166">
        <v>1</v>
      </c>
      <c r="B14" s="430" t="s">
        <v>243</v>
      </c>
      <c r="C14" s="430" t="s">
        <v>243</v>
      </c>
      <c r="D14" s="430" t="s">
        <v>243</v>
      </c>
      <c r="E14" s="430" t="s">
        <v>243</v>
      </c>
      <c r="F14" s="430" t="s">
        <v>243</v>
      </c>
      <c r="G14" s="430" t="s">
        <v>243</v>
      </c>
      <c r="H14" s="430" t="s">
        <v>243</v>
      </c>
      <c r="I14" s="165"/>
      <c r="J14" s="438" t="s">
        <v>243</v>
      </c>
      <c r="K14" s="437" t="s">
        <v>244</v>
      </c>
      <c r="L14" s="436">
        <v>34250</v>
      </c>
      <c r="M14" s="419"/>
    </row>
    <row r="15" spans="1:13" s="421" customFormat="1" ht="12">
      <c r="A15" s="166">
        <v>2</v>
      </c>
      <c r="B15" s="430" t="s">
        <v>243</v>
      </c>
      <c r="C15" s="430" t="s">
        <v>243</v>
      </c>
      <c r="D15" s="430" t="s">
        <v>243</v>
      </c>
      <c r="E15" s="430" t="s">
        <v>243</v>
      </c>
      <c r="F15" s="430" t="s">
        <v>243</v>
      </c>
      <c r="G15" s="430" t="s">
        <v>243</v>
      </c>
      <c r="H15" s="430" t="s">
        <v>243</v>
      </c>
      <c r="I15" s="165"/>
      <c r="J15" s="168" t="s">
        <v>235</v>
      </c>
      <c r="K15" s="435">
        <v>1.3426</v>
      </c>
      <c r="L15" s="168"/>
      <c r="M15" s="419"/>
    </row>
    <row r="16" spans="1:13" s="421" customFormat="1" ht="12">
      <c r="A16" s="166">
        <v>3</v>
      </c>
      <c r="B16" s="430" t="s">
        <v>243</v>
      </c>
      <c r="C16" s="430" t="s">
        <v>243</v>
      </c>
      <c r="D16" s="430" t="s">
        <v>243</v>
      </c>
      <c r="E16" s="430" t="s">
        <v>243</v>
      </c>
      <c r="F16" s="430" t="s">
        <v>243</v>
      </c>
      <c r="G16" s="430" t="s">
        <v>245</v>
      </c>
      <c r="H16" s="423" t="s">
        <v>245</v>
      </c>
      <c r="I16" s="165"/>
      <c r="J16" s="398" t="s">
        <v>245</v>
      </c>
      <c r="K16" s="434">
        <v>1.3929</v>
      </c>
      <c r="L16" s="398">
        <v>35117</v>
      </c>
      <c r="M16" s="419"/>
    </row>
    <row r="17" spans="1:13" s="421" customFormat="1" ht="12">
      <c r="A17" s="166">
        <v>4</v>
      </c>
      <c r="B17" s="430" t="s">
        <v>243</v>
      </c>
      <c r="C17" s="430" t="s">
        <v>243</v>
      </c>
      <c r="D17" s="430" t="s">
        <v>243</v>
      </c>
      <c r="E17" s="430" t="s">
        <v>243</v>
      </c>
      <c r="F17" s="430" t="s">
        <v>243</v>
      </c>
      <c r="G17" s="423" t="s">
        <v>245</v>
      </c>
      <c r="H17" s="391" t="s">
        <v>246</v>
      </c>
      <c r="I17" s="165"/>
      <c r="J17" s="391" t="s">
        <v>246</v>
      </c>
      <c r="K17" s="429">
        <v>1.4451000000000001</v>
      </c>
      <c r="L17" s="391">
        <v>37249</v>
      </c>
      <c r="M17" s="419"/>
    </row>
    <row r="18" spans="1:13" s="421" customFormat="1" ht="12">
      <c r="A18" s="166">
        <v>5</v>
      </c>
      <c r="B18" s="430" t="s">
        <v>243</v>
      </c>
      <c r="C18" s="430" t="s">
        <v>243</v>
      </c>
      <c r="D18" s="430" t="s">
        <v>243</v>
      </c>
      <c r="E18" s="430" t="s">
        <v>243</v>
      </c>
      <c r="F18" s="423" t="s">
        <v>245</v>
      </c>
      <c r="G18" s="391" t="s">
        <v>246</v>
      </c>
      <c r="H18" s="396" t="s">
        <v>247</v>
      </c>
      <c r="I18" s="165"/>
      <c r="J18" s="396" t="s">
        <v>247</v>
      </c>
      <c r="K18" s="433">
        <v>1.4993000000000001</v>
      </c>
      <c r="L18" s="396">
        <v>38758</v>
      </c>
      <c r="M18" s="419"/>
    </row>
    <row r="19" spans="1:13" s="421" customFormat="1" ht="12">
      <c r="A19" s="166">
        <v>6</v>
      </c>
      <c r="B19" s="430" t="s">
        <v>243</v>
      </c>
      <c r="C19" s="430" t="s">
        <v>243</v>
      </c>
      <c r="D19" s="430" t="s">
        <v>243</v>
      </c>
      <c r="E19" s="423" t="s">
        <v>245</v>
      </c>
      <c r="F19" s="391" t="s">
        <v>246</v>
      </c>
      <c r="G19" s="396" t="s">
        <v>247</v>
      </c>
      <c r="H19" s="395" t="s">
        <v>248</v>
      </c>
      <c r="I19" s="165"/>
      <c r="J19" s="395" t="s">
        <v>248</v>
      </c>
      <c r="K19" s="432">
        <v>1.5555000000000001</v>
      </c>
      <c r="L19" s="395">
        <v>39546</v>
      </c>
      <c r="M19" s="419"/>
    </row>
    <row r="20" spans="1:13" s="421" customFormat="1" ht="12">
      <c r="A20" s="166">
        <v>7</v>
      </c>
      <c r="B20" s="430" t="s">
        <v>243</v>
      </c>
      <c r="C20" s="430" t="s">
        <v>243</v>
      </c>
      <c r="D20" s="423" t="s">
        <v>245</v>
      </c>
      <c r="E20" s="391" t="s">
        <v>246</v>
      </c>
      <c r="F20" s="396" t="s">
        <v>247</v>
      </c>
      <c r="G20" s="395" t="s">
        <v>248</v>
      </c>
      <c r="H20" s="394" t="s">
        <v>249</v>
      </c>
      <c r="I20" s="165"/>
      <c r="J20" s="394" t="s">
        <v>249</v>
      </c>
      <c r="K20" s="431">
        <v>1.6137999999999999</v>
      </c>
      <c r="L20" s="394">
        <v>41113</v>
      </c>
      <c r="M20" s="419"/>
    </row>
    <row r="21" spans="1:13" s="421" customFormat="1" ht="12">
      <c r="A21" s="166">
        <v>8</v>
      </c>
      <c r="B21" s="430" t="s">
        <v>243</v>
      </c>
      <c r="C21" s="423" t="s">
        <v>245</v>
      </c>
      <c r="D21" s="391" t="s">
        <v>246</v>
      </c>
      <c r="E21" s="396" t="s">
        <v>247</v>
      </c>
      <c r="F21" s="395" t="s">
        <v>248</v>
      </c>
      <c r="G21" s="394" t="s">
        <v>249</v>
      </c>
      <c r="H21" s="427" t="s">
        <v>250</v>
      </c>
      <c r="I21" s="165"/>
      <c r="J21" s="391" t="s">
        <v>250</v>
      </c>
      <c r="K21" s="429">
        <v>1.6742999999999999</v>
      </c>
      <c r="L21" s="391">
        <v>41961</v>
      </c>
      <c r="M21" s="419"/>
    </row>
    <row r="22" spans="1:13" s="421" customFormat="1" ht="12">
      <c r="A22" s="166">
        <v>9</v>
      </c>
      <c r="B22" s="423" t="s">
        <v>245</v>
      </c>
      <c r="C22" s="391" t="s">
        <v>246</v>
      </c>
      <c r="D22" s="396" t="s">
        <v>247</v>
      </c>
      <c r="E22" s="395" t="s">
        <v>248</v>
      </c>
      <c r="F22" s="394" t="s">
        <v>249</v>
      </c>
      <c r="G22" s="427" t="s">
        <v>250</v>
      </c>
      <c r="H22" s="390" t="s">
        <v>251</v>
      </c>
      <c r="I22" s="165"/>
      <c r="J22" s="390" t="s">
        <v>251</v>
      </c>
      <c r="K22" s="428">
        <v>1.7371000000000001</v>
      </c>
      <c r="L22" s="390">
        <v>43591</v>
      </c>
      <c r="M22" s="419"/>
    </row>
    <row r="23" spans="1:13" s="421" customFormat="1" ht="12">
      <c r="A23" s="166">
        <v>10</v>
      </c>
      <c r="B23" s="423" t="s">
        <v>245</v>
      </c>
      <c r="C23" s="396" t="s">
        <v>247</v>
      </c>
      <c r="D23" s="395" t="s">
        <v>248</v>
      </c>
      <c r="E23" s="394" t="s">
        <v>249</v>
      </c>
      <c r="F23" s="427" t="s">
        <v>250</v>
      </c>
      <c r="G23" s="390" t="s">
        <v>251</v>
      </c>
      <c r="H23" s="391" t="s">
        <v>252</v>
      </c>
      <c r="I23" s="165"/>
      <c r="J23" s="388" t="s">
        <v>252</v>
      </c>
      <c r="K23" s="426">
        <v>1.8022</v>
      </c>
      <c r="L23" s="388">
        <v>44503</v>
      </c>
      <c r="M23" s="419"/>
    </row>
    <row r="24" spans="1:13" s="421" customFormat="1" ht="12">
      <c r="A24" s="166">
        <v>11</v>
      </c>
      <c r="B24" s="423" t="s">
        <v>245</v>
      </c>
      <c r="C24" s="396" t="s">
        <v>247</v>
      </c>
      <c r="D24" s="395" t="s">
        <v>248</v>
      </c>
      <c r="E24" s="394" t="s">
        <v>249</v>
      </c>
      <c r="F24" s="390" t="s">
        <v>251</v>
      </c>
      <c r="G24" s="391" t="s">
        <v>252</v>
      </c>
      <c r="H24" s="386" t="s">
        <v>253</v>
      </c>
      <c r="I24" s="165"/>
      <c r="J24" s="386" t="s">
        <v>253</v>
      </c>
      <c r="K24" s="425">
        <v>1.8697999999999999</v>
      </c>
      <c r="L24" s="386">
        <v>46201</v>
      </c>
      <c r="M24" s="419"/>
    </row>
    <row r="25" spans="1:13" s="421" customFormat="1" ht="12">
      <c r="A25" s="166">
        <v>12</v>
      </c>
      <c r="B25" s="423" t="s">
        <v>245</v>
      </c>
      <c r="C25" s="396" t="s">
        <v>247</v>
      </c>
      <c r="D25" s="395" t="s">
        <v>248</v>
      </c>
      <c r="E25" s="394" t="s">
        <v>249</v>
      </c>
      <c r="F25" s="390" t="s">
        <v>251</v>
      </c>
      <c r="G25" s="386" t="s">
        <v>253</v>
      </c>
      <c r="H25" s="384" t="s">
        <v>254</v>
      </c>
      <c r="I25" s="165"/>
      <c r="J25" s="384" t="s">
        <v>254</v>
      </c>
      <c r="K25" s="424">
        <v>1.9399</v>
      </c>
      <c r="L25" s="384">
        <v>47183</v>
      </c>
      <c r="M25" s="419"/>
    </row>
    <row r="26" spans="1:13" s="421" customFormat="1" ht="12">
      <c r="A26" s="166" t="s">
        <v>255</v>
      </c>
      <c r="B26" s="423" t="s">
        <v>245</v>
      </c>
      <c r="C26" s="396" t="s">
        <v>247</v>
      </c>
      <c r="D26" s="395" t="s">
        <v>248</v>
      </c>
      <c r="E26" s="394" t="s">
        <v>249</v>
      </c>
      <c r="F26" s="390" t="s">
        <v>251</v>
      </c>
      <c r="G26" s="386" t="s">
        <v>253</v>
      </c>
      <c r="H26" s="376" t="s">
        <v>256</v>
      </c>
      <c r="I26" s="165"/>
      <c r="J26" s="376" t="s">
        <v>256</v>
      </c>
      <c r="K26" s="422">
        <v>2.0125999999999999</v>
      </c>
      <c r="L26" s="376">
        <v>48202</v>
      </c>
      <c r="M26" s="419"/>
    </row>
    <row r="27" spans="1:13" ht="6" customHeight="1">
      <c r="A27" s="420"/>
      <c r="B27" s="163"/>
      <c r="C27" s="163"/>
      <c r="D27" s="163"/>
      <c r="E27" s="163"/>
      <c r="F27" s="163"/>
      <c r="G27" s="163"/>
      <c r="H27" s="163"/>
      <c r="I27" s="163"/>
      <c r="J27" s="163"/>
      <c r="K27" s="163"/>
      <c r="L27" s="419"/>
      <c r="M27" s="419"/>
    </row>
    <row r="28" spans="1:13" ht="34.950000000000003" customHeight="1" thickBot="1">
      <c r="A28" s="169" t="s">
        <v>388</v>
      </c>
      <c r="B28" s="170"/>
      <c r="C28" s="418"/>
      <c r="D28" s="417"/>
      <c r="E28" s="374" t="s">
        <v>215</v>
      </c>
      <c r="F28" s="374" t="s">
        <v>216</v>
      </c>
      <c r="G28" s="374" t="s">
        <v>217</v>
      </c>
      <c r="H28" s="374" t="s">
        <v>218</v>
      </c>
      <c r="I28" s="163"/>
      <c r="J28" s="416" t="s">
        <v>387</v>
      </c>
      <c r="K28" s="414" t="s">
        <v>405</v>
      </c>
      <c r="L28" s="415" t="s">
        <v>406</v>
      </c>
      <c r="M28" s="414" t="s">
        <v>405</v>
      </c>
    </row>
    <row r="29" spans="1:13" ht="12.6" customHeight="1" thickBot="1">
      <c r="A29" s="166" t="s">
        <v>239</v>
      </c>
      <c r="B29" s="374" t="s">
        <v>220</v>
      </c>
      <c r="C29" s="374" t="s">
        <v>221</v>
      </c>
      <c r="D29" s="374" t="s">
        <v>222</v>
      </c>
      <c r="E29" s="374" t="s">
        <v>223</v>
      </c>
      <c r="F29" s="374" t="s">
        <v>224</v>
      </c>
      <c r="G29" s="374" t="s">
        <v>225</v>
      </c>
      <c r="H29" s="374" t="s">
        <v>226</v>
      </c>
      <c r="I29" s="163"/>
      <c r="J29" s="413" t="s">
        <v>265</v>
      </c>
      <c r="K29" s="316">
        <f>+'Master Budget Sheet'!BL168</f>
        <v>49104</v>
      </c>
      <c r="L29" s="411">
        <f>+'Master Budget Sheet'!AG174</f>
        <v>0</v>
      </c>
      <c r="M29" s="410">
        <f>K29*L29</f>
        <v>0</v>
      </c>
    </row>
    <row r="30" spans="1:13" s="405" customFormat="1" ht="15.6" customHeight="1" thickBot="1">
      <c r="A30" s="393">
        <v>0</v>
      </c>
      <c r="B30" s="392"/>
      <c r="C30" s="392"/>
      <c r="D30" s="392"/>
      <c r="E30" s="392"/>
      <c r="F30" s="392"/>
      <c r="G30" s="392"/>
      <c r="H30" s="392"/>
      <c r="I30" s="163"/>
      <c r="J30" s="409"/>
      <c r="K30" s="408"/>
      <c r="L30" s="407"/>
      <c r="M30" s="406"/>
    </row>
    <row r="31" spans="1:13" ht="12.6" thickBot="1">
      <c r="A31" s="393">
        <v>1</v>
      </c>
      <c r="B31" s="392"/>
      <c r="C31" s="392"/>
      <c r="D31" s="392"/>
      <c r="E31" s="392"/>
      <c r="F31" s="392"/>
      <c r="G31" s="392"/>
      <c r="H31" s="392"/>
      <c r="I31" s="163"/>
      <c r="J31" s="404" t="s">
        <v>243</v>
      </c>
      <c r="K31" s="403">
        <f>+'Master Budget Sheet'!BL169</f>
        <v>50134</v>
      </c>
      <c r="L31" s="411">
        <f>+'Master Budget Sheet'!AG175</f>
        <v>0</v>
      </c>
      <c r="M31" s="402">
        <f>K31*L31</f>
        <v>0</v>
      </c>
    </row>
    <row r="32" spans="1:13" ht="12.6" thickBot="1">
      <c r="A32" s="393">
        <v>2</v>
      </c>
      <c r="B32" s="392"/>
      <c r="C32" s="392"/>
      <c r="D32" s="392"/>
      <c r="E32" s="392"/>
      <c r="F32" s="392"/>
      <c r="G32" s="392"/>
      <c r="H32" s="392"/>
      <c r="I32" s="163"/>
      <c r="J32" s="400"/>
      <c r="K32" s="401"/>
      <c r="L32" s="400"/>
      <c r="M32" s="399"/>
    </row>
    <row r="33" spans="1:14" ht="12.6" thickBot="1">
      <c r="A33" s="393">
        <v>3</v>
      </c>
      <c r="B33" s="392"/>
      <c r="C33" s="392"/>
      <c r="D33" s="392"/>
      <c r="E33" s="392"/>
      <c r="F33" s="392"/>
      <c r="G33" s="392"/>
      <c r="H33" s="383"/>
      <c r="I33" s="163"/>
      <c r="J33" s="398" t="s">
        <v>245</v>
      </c>
      <c r="K33" s="398">
        <f>+'Master Budget Sheet'!BL170</f>
        <v>51164</v>
      </c>
      <c r="L33" s="411">
        <f>+'Master Budget Sheet'!AG176</f>
        <v>0</v>
      </c>
      <c r="M33" s="397">
        <f t="shared" ref="M33:M43" si="0">K33*L33</f>
        <v>0</v>
      </c>
    </row>
    <row r="34" spans="1:14" ht="12.6" thickBot="1">
      <c r="A34" s="393">
        <v>4</v>
      </c>
      <c r="B34" s="392"/>
      <c r="C34" s="392"/>
      <c r="D34" s="392"/>
      <c r="E34" s="392"/>
      <c r="F34" s="392"/>
      <c r="G34" s="383"/>
      <c r="H34" s="387"/>
      <c r="I34" s="163"/>
      <c r="J34" s="391" t="s">
        <v>246</v>
      </c>
      <c r="K34" s="391">
        <f>+'Master Budget Sheet'!BL171</f>
        <v>52194</v>
      </c>
      <c r="L34" s="411">
        <f>+'Master Budget Sheet'!AG177</f>
        <v>0</v>
      </c>
      <c r="M34" s="375">
        <f t="shared" si="0"/>
        <v>0</v>
      </c>
    </row>
    <row r="35" spans="1:14" ht="12.6" thickBot="1">
      <c r="A35" s="393">
        <v>5</v>
      </c>
      <c r="B35" s="392"/>
      <c r="C35" s="392"/>
      <c r="D35" s="392"/>
      <c r="E35" s="392"/>
      <c r="F35" s="383"/>
      <c r="G35" s="387"/>
      <c r="H35" s="382"/>
      <c r="I35" s="163"/>
      <c r="J35" s="396" t="s">
        <v>247</v>
      </c>
      <c r="K35" s="396">
        <f>+'Master Budget Sheet'!BL172</f>
        <v>53997</v>
      </c>
      <c r="L35" s="411">
        <f>+'Master Budget Sheet'!AG178</f>
        <v>0</v>
      </c>
      <c r="M35" s="375">
        <f t="shared" si="0"/>
        <v>0</v>
      </c>
    </row>
    <row r="36" spans="1:14" ht="12.6" thickBot="1">
      <c r="A36" s="393">
        <v>6</v>
      </c>
      <c r="B36" s="392"/>
      <c r="C36" s="392"/>
      <c r="D36" s="392"/>
      <c r="E36" s="383"/>
      <c r="F36" s="387"/>
      <c r="G36" s="382"/>
      <c r="H36" s="381"/>
      <c r="I36" s="163"/>
      <c r="J36" s="395" t="s">
        <v>248</v>
      </c>
      <c r="K36" s="395">
        <f>+'Master Budget Sheet'!BL173</f>
        <v>55799</v>
      </c>
      <c r="L36" s="411">
        <f>+'Master Budget Sheet'!AG179</f>
        <v>0</v>
      </c>
      <c r="M36" s="375">
        <f t="shared" si="0"/>
        <v>0</v>
      </c>
    </row>
    <row r="37" spans="1:14" ht="12.6" thickBot="1">
      <c r="A37" s="393">
        <v>7</v>
      </c>
      <c r="B37" s="392"/>
      <c r="C37" s="392"/>
      <c r="D37" s="383"/>
      <c r="E37" s="387"/>
      <c r="F37" s="382"/>
      <c r="G37" s="381"/>
      <c r="H37" s="380"/>
      <c r="I37" s="163"/>
      <c r="J37" s="394" t="s">
        <v>249</v>
      </c>
      <c r="K37" s="394">
        <f>+'Master Budget Sheet'!BL174</f>
        <v>57602</v>
      </c>
      <c r="L37" s="411">
        <f>+'Master Budget Sheet'!AG180</f>
        <v>0</v>
      </c>
      <c r="M37" s="375">
        <f t="shared" si="0"/>
        <v>0</v>
      </c>
    </row>
    <row r="38" spans="1:14" ht="12.6" thickBot="1">
      <c r="A38" s="393">
        <v>8</v>
      </c>
      <c r="B38" s="392"/>
      <c r="C38" s="383"/>
      <c r="D38" s="387"/>
      <c r="E38" s="382"/>
      <c r="F38" s="381"/>
      <c r="G38" s="380">
        <v>0</v>
      </c>
      <c r="H38" s="389"/>
      <c r="I38" s="163"/>
      <c r="J38" s="391" t="s">
        <v>250</v>
      </c>
      <c r="K38" s="391">
        <f>+'Master Budget Sheet'!BL175</f>
        <v>59404</v>
      </c>
      <c r="L38" s="411">
        <f>+'Master Budget Sheet'!AG181</f>
        <v>1</v>
      </c>
      <c r="M38" s="375">
        <f t="shared" si="0"/>
        <v>59404</v>
      </c>
    </row>
    <row r="39" spans="1:14" ht="12.6" thickBot="1">
      <c r="A39" s="166">
        <v>9</v>
      </c>
      <c r="B39" s="383"/>
      <c r="C39" s="387"/>
      <c r="D39" s="382"/>
      <c r="E39" s="381"/>
      <c r="F39" s="380"/>
      <c r="G39" s="389"/>
      <c r="H39" s="379"/>
      <c r="I39" s="163"/>
      <c r="J39" s="390" t="s">
        <v>251</v>
      </c>
      <c r="K39" s="390">
        <f>+'Master Budget Sheet'!BL176</f>
        <v>63009</v>
      </c>
      <c r="L39" s="411">
        <f>+'Master Budget Sheet'!AG182</f>
        <v>0</v>
      </c>
      <c r="M39" s="375">
        <f t="shared" si="0"/>
        <v>0</v>
      </c>
    </row>
    <row r="40" spans="1:14" ht="12.6" thickBot="1">
      <c r="A40" s="166">
        <v>10</v>
      </c>
      <c r="B40" s="383"/>
      <c r="C40" s="382"/>
      <c r="D40" s="381"/>
      <c r="E40" s="380"/>
      <c r="F40" s="389"/>
      <c r="G40" s="379"/>
      <c r="H40" s="387"/>
      <c r="I40" s="163"/>
      <c r="J40" s="388" t="s">
        <v>252</v>
      </c>
      <c r="K40" s="388">
        <f>+'Master Budget Sheet'!BL177</f>
        <v>65069</v>
      </c>
      <c r="L40" s="411">
        <f>+'Master Budget Sheet'!AG183</f>
        <v>0</v>
      </c>
      <c r="M40" s="375">
        <f t="shared" si="0"/>
        <v>0</v>
      </c>
    </row>
    <row r="41" spans="1:14" ht="12.6" thickBot="1">
      <c r="A41" s="166">
        <v>11</v>
      </c>
      <c r="B41" s="383"/>
      <c r="C41" s="382"/>
      <c r="D41" s="381"/>
      <c r="E41" s="380"/>
      <c r="F41" s="379"/>
      <c r="G41" s="387"/>
      <c r="H41" s="378"/>
      <c r="I41" s="163"/>
      <c r="J41" s="386" t="s">
        <v>253</v>
      </c>
      <c r="K41" s="386">
        <f>+'Master Budget Sheet'!BL178</f>
        <v>67129</v>
      </c>
      <c r="L41" s="411">
        <f>+'Master Budget Sheet'!AG184</f>
        <v>0</v>
      </c>
      <c r="M41" s="375">
        <f t="shared" si="0"/>
        <v>0</v>
      </c>
    </row>
    <row r="42" spans="1:14" ht="12.6" thickBot="1">
      <c r="A42" s="166">
        <v>12</v>
      </c>
      <c r="B42" s="383"/>
      <c r="C42" s="382"/>
      <c r="D42" s="381"/>
      <c r="E42" s="380"/>
      <c r="F42" s="379"/>
      <c r="G42" s="378"/>
      <c r="H42" s="385"/>
      <c r="I42" s="163"/>
      <c r="J42" s="384" t="s">
        <v>254</v>
      </c>
      <c r="K42" s="384">
        <f>+'Master Budget Sheet'!BL179</f>
        <v>69189</v>
      </c>
      <c r="L42" s="411">
        <f>+'Master Budget Sheet'!AG185</f>
        <v>0</v>
      </c>
      <c r="M42" s="375">
        <f t="shared" si="0"/>
        <v>0</v>
      </c>
    </row>
    <row r="43" spans="1:14" ht="12.6" thickBot="1">
      <c r="A43" s="166" t="s">
        <v>255</v>
      </c>
      <c r="B43" s="383"/>
      <c r="C43" s="382"/>
      <c r="D43" s="381"/>
      <c r="E43" s="380"/>
      <c r="F43" s="379"/>
      <c r="G43" s="378">
        <v>0</v>
      </c>
      <c r="H43" s="377"/>
      <c r="I43" s="163"/>
      <c r="J43" s="376" t="s">
        <v>256</v>
      </c>
      <c r="K43" s="376">
        <f>+'Master Budget Sheet'!BL180</f>
        <v>71249</v>
      </c>
      <c r="L43" s="411">
        <f>+'Master Budget Sheet'!AG186</f>
        <v>0</v>
      </c>
      <c r="M43" s="375">
        <f t="shared" si="0"/>
        <v>0</v>
      </c>
    </row>
    <row r="44" spans="1:14" s="184" customFormat="1" ht="12.6" thickBot="1">
      <c r="B44" s="163"/>
      <c r="C44" s="163"/>
      <c r="D44" s="163"/>
      <c r="E44" s="163"/>
      <c r="F44" s="163"/>
      <c r="G44" s="374" t="s">
        <v>53</v>
      </c>
      <c r="H44" s="373">
        <f>SUM(B30:H43)</f>
        <v>0</v>
      </c>
      <c r="I44" s="372"/>
      <c r="J44" s="371"/>
      <c r="K44" s="163"/>
      <c r="L44" s="370">
        <f>SUM(L29:L43)</f>
        <v>1</v>
      </c>
      <c r="M44" s="369">
        <f>SUM(M29:M43)</f>
        <v>59404</v>
      </c>
    </row>
    <row r="45" spans="1:14" ht="4.95" customHeight="1" thickTop="1" thickBot="1">
      <c r="A45" s="163"/>
      <c r="B45" s="163"/>
      <c r="C45" s="163"/>
      <c r="D45" s="163"/>
      <c r="E45" s="163"/>
      <c r="F45" s="163"/>
      <c r="G45" s="350"/>
      <c r="H45" s="163"/>
      <c r="I45" s="163"/>
      <c r="J45" s="163"/>
      <c r="K45" s="163"/>
      <c r="L45" s="163"/>
      <c r="M45" s="163"/>
    </row>
    <row r="46" spans="1:14" s="344" customFormat="1" ht="9.6" customHeight="1">
      <c r="A46" s="163"/>
      <c r="B46" s="163"/>
      <c r="C46" s="163"/>
      <c r="D46" s="163"/>
      <c r="E46" s="163"/>
      <c r="F46" s="163"/>
      <c r="G46" s="368"/>
      <c r="H46" s="163"/>
      <c r="J46" s="367" t="s">
        <v>260</v>
      </c>
      <c r="K46" s="366"/>
      <c r="L46" s="365"/>
      <c r="M46" s="364"/>
      <c r="N46" s="338"/>
    </row>
    <row r="47" spans="1:14" s="344" customFormat="1" ht="12">
      <c r="A47" s="163"/>
      <c r="B47" s="362"/>
      <c r="C47" s="362"/>
      <c r="D47" s="362"/>
      <c r="E47" s="362"/>
      <c r="F47" s="362"/>
      <c r="G47" s="350"/>
      <c r="H47" s="362"/>
      <c r="J47" s="348" t="s">
        <v>385</v>
      </c>
      <c r="K47" s="343"/>
      <c r="L47" s="343"/>
      <c r="M47" s="363"/>
      <c r="N47" s="338"/>
    </row>
    <row r="48" spans="1:14" s="356" customFormat="1" ht="12">
      <c r="A48" s="362"/>
      <c r="B48" s="163"/>
      <c r="C48" s="163"/>
      <c r="D48" s="163"/>
      <c r="E48" s="163"/>
      <c r="F48" s="163"/>
      <c r="G48" s="350"/>
      <c r="H48" s="163"/>
      <c r="J48" s="361" t="s">
        <v>261</v>
      </c>
      <c r="K48" s="360" t="s">
        <v>168</v>
      </c>
      <c r="L48" s="359" t="s">
        <v>372</v>
      </c>
      <c r="M48" s="358" t="s">
        <v>259</v>
      </c>
      <c r="N48" s="357"/>
    </row>
    <row r="49" spans="1:15" s="344" customFormat="1" ht="12">
      <c r="A49" s="163"/>
      <c r="B49" s="163"/>
      <c r="C49" s="163"/>
      <c r="D49" s="163"/>
      <c r="E49" s="163"/>
      <c r="F49" s="163"/>
      <c r="G49" s="350"/>
      <c r="H49" s="163"/>
      <c r="J49" s="355" t="s">
        <v>262</v>
      </c>
      <c r="K49" s="354">
        <f>+'Master Budget Sheet'!AG188</f>
        <v>1</v>
      </c>
      <c r="L49" s="353">
        <f>+'Master Budget Sheet'!BL182</f>
        <v>2000</v>
      </c>
      <c r="M49" s="352">
        <f>K49*L49</f>
        <v>2000</v>
      </c>
      <c r="N49" s="338"/>
    </row>
    <row r="50" spans="1:15" s="344" customFormat="1" ht="12">
      <c r="A50" s="163"/>
      <c r="B50" s="163"/>
      <c r="C50" s="163"/>
      <c r="D50" s="163"/>
      <c r="E50" s="163"/>
      <c r="F50" s="163"/>
      <c r="G50" s="350"/>
      <c r="H50" s="163"/>
      <c r="J50" s="355" t="s">
        <v>263</v>
      </c>
      <c r="K50" s="354">
        <f>+'Master Budget Sheet'!AG189</f>
        <v>1</v>
      </c>
      <c r="L50" s="353">
        <f>+'Master Budget Sheet'!BL183</f>
        <v>3500</v>
      </c>
      <c r="M50" s="352">
        <f>K50*L50</f>
        <v>3500</v>
      </c>
      <c r="N50" s="338"/>
    </row>
    <row r="51" spans="1:15" s="344" customFormat="1" ht="12">
      <c r="A51" s="163"/>
      <c r="B51" s="163"/>
      <c r="C51" s="163"/>
      <c r="D51" s="163"/>
      <c r="E51" s="163"/>
      <c r="F51" s="163"/>
      <c r="G51" s="350"/>
      <c r="H51" s="163"/>
      <c r="I51" s="343"/>
      <c r="J51" s="349"/>
      <c r="K51" s="351"/>
      <c r="L51" s="346" t="s">
        <v>264</v>
      </c>
      <c r="M51" s="345">
        <f>SUM(M49:M50)</f>
        <v>5500</v>
      </c>
      <c r="N51" s="338"/>
    </row>
    <row r="52" spans="1:15" s="344" customFormat="1" ht="13.8">
      <c r="A52" s="163"/>
      <c r="B52" s="163"/>
      <c r="C52" s="163"/>
      <c r="D52" s="163"/>
      <c r="E52" s="163"/>
      <c r="F52" s="163"/>
      <c r="G52" s="350"/>
      <c r="H52" s="163"/>
      <c r="I52" s="343"/>
      <c r="J52" s="349"/>
      <c r="K52" s="282" t="s">
        <v>366</v>
      </c>
      <c r="L52" s="346"/>
      <c r="M52" s="345"/>
      <c r="N52" s="270" t="s">
        <v>384</v>
      </c>
    </row>
    <row r="53" spans="1:15" s="344" customFormat="1" ht="12">
      <c r="A53" s="163"/>
      <c r="B53" s="163"/>
      <c r="C53" s="163"/>
      <c r="D53" s="163"/>
      <c r="E53" s="163"/>
      <c r="F53" s="163"/>
      <c r="G53" s="163"/>
      <c r="H53" s="163"/>
      <c r="I53" s="343"/>
      <c r="J53" s="348"/>
      <c r="K53" s="347"/>
      <c r="L53" s="346" t="s">
        <v>383</v>
      </c>
      <c r="M53" s="345">
        <f>M44+M51</f>
        <v>64904</v>
      </c>
      <c r="N53" s="338"/>
    </row>
    <row r="54" spans="1:15" ht="12.6" thickBot="1">
      <c r="A54" s="163"/>
      <c r="B54" s="163"/>
      <c r="C54" s="163"/>
      <c r="D54" s="163"/>
      <c r="E54" s="163"/>
      <c r="F54" s="163"/>
      <c r="G54" s="163"/>
      <c r="H54" s="163"/>
      <c r="I54" s="343"/>
      <c r="J54" s="342"/>
      <c r="K54" s="341"/>
      <c r="L54" s="340" t="s">
        <v>363</v>
      </c>
      <c r="M54" s="339">
        <f>IF(L44&gt;0, M53/L44,0)</f>
        <v>64904</v>
      </c>
      <c r="N54" s="338"/>
    </row>
    <row r="55" spans="1:15" ht="10.199999999999999" customHeight="1" thickBot="1">
      <c r="A55" s="163"/>
      <c r="I55" s="163"/>
      <c r="J55" s="163"/>
      <c r="K55" s="163"/>
      <c r="L55" s="163"/>
      <c r="M55" s="163"/>
    </row>
    <row r="56" spans="1:15" s="337" customFormat="1" ht="47.55" customHeight="1" thickBot="1">
      <c r="A56" s="1239" t="s">
        <v>382</v>
      </c>
      <c r="B56" s="1240"/>
      <c r="C56" s="1240"/>
      <c r="D56" s="1240"/>
      <c r="E56" s="1240"/>
      <c r="F56" s="1240"/>
      <c r="G56" s="1240"/>
      <c r="H56" s="1240"/>
      <c r="I56" s="1240"/>
      <c r="J56" s="1240"/>
      <c r="K56" s="1240"/>
      <c r="L56" s="1240"/>
      <c r="M56" s="1240"/>
      <c r="N56" s="1240"/>
      <c r="O56" s="1241"/>
    </row>
  </sheetData>
  <mergeCells count="1">
    <mergeCell ref="A56:O56"/>
  </mergeCells>
  <pageMargins left="0.75" right="0.25" top="0" bottom="0" header="0.3" footer="0.3"/>
  <pageSetup scale="76"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94">
    <tabColor rgb="FFFFFF00"/>
    <pageSetUpPr fitToPage="1"/>
  </sheetPr>
  <dimension ref="C1:M27"/>
  <sheetViews>
    <sheetView showGridLines="0" zoomScale="85" workbookViewId="0">
      <selection activeCell="D22" sqref="D22"/>
    </sheetView>
  </sheetViews>
  <sheetFormatPr defaultColWidth="10.44140625" defaultRowHeight="13.2"/>
  <cols>
    <col min="1" max="2" width="5.44140625" style="260" customWidth="1"/>
    <col min="3" max="3" width="33.44140625" style="63" customWidth="1"/>
    <col min="4" max="4" width="24.5546875" style="64" customWidth="1"/>
    <col min="5" max="5" width="10.44140625" style="63"/>
    <col min="6" max="10" width="10.44140625" style="260"/>
    <col min="11" max="11" width="11.5546875" style="260" customWidth="1"/>
    <col min="12" max="12" width="12.44140625" style="260" customWidth="1"/>
    <col min="13" max="16384" width="10.44140625" style="260"/>
  </cols>
  <sheetData>
    <row r="1" spans="3:13" ht="13.8" thickBot="1"/>
    <row r="2" spans="3:13">
      <c r="C2" s="65"/>
      <c r="D2" s="66"/>
      <c r="E2" s="67"/>
      <c r="F2" s="267"/>
      <c r="G2" s="267"/>
      <c r="H2" s="267"/>
      <c r="I2" s="267"/>
      <c r="J2" s="267"/>
      <c r="K2" s="267"/>
      <c r="L2" s="267"/>
      <c r="M2" s="266"/>
    </row>
    <row r="3" spans="3:13">
      <c r="C3" s="68" t="s">
        <v>119</v>
      </c>
      <c r="D3" s="69"/>
      <c r="E3" s="70"/>
      <c r="F3" s="264"/>
      <c r="G3" s="264"/>
      <c r="H3" s="264"/>
      <c r="I3" s="264"/>
      <c r="J3" s="264"/>
      <c r="K3" s="264"/>
      <c r="M3" s="263"/>
    </row>
    <row r="4" spans="3:13">
      <c r="C4" s="68" t="s">
        <v>120</v>
      </c>
      <c r="D4" s="69"/>
      <c r="E4" s="70"/>
      <c r="F4" s="264"/>
      <c r="G4" s="264"/>
      <c r="H4" s="264"/>
      <c r="I4" s="264"/>
      <c r="J4" s="264"/>
      <c r="K4" s="264"/>
      <c r="M4" s="263"/>
    </row>
    <row r="5" spans="3:13">
      <c r="C5" s="68" t="s">
        <v>355</v>
      </c>
      <c r="D5" s="71"/>
      <c r="E5" s="72"/>
      <c r="F5" s="265"/>
      <c r="G5" s="265"/>
      <c r="H5" s="265"/>
      <c r="I5" s="264"/>
      <c r="J5" s="264"/>
      <c r="K5" s="264"/>
      <c r="M5" s="263"/>
    </row>
    <row r="6" spans="3:13">
      <c r="C6" s="68"/>
      <c r="D6" s="69"/>
      <c r="E6" s="70"/>
      <c r="F6" s="264"/>
      <c r="G6" s="264"/>
      <c r="H6" s="264"/>
      <c r="I6" s="264"/>
      <c r="J6" s="264"/>
      <c r="K6" s="264"/>
      <c r="M6" s="263"/>
    </row>
    <row r="7" spans="3:13" ht="25.05" customHeight="1">
      <c r="C7" s="73" t="s">
        <v>121</v>
      </c>
      <c r="D7" s="74"/>
      <c r="E7" s="64" t="s">
        <v>122</v>
      </c>
      <c r="M7" s="263"/>
    </row>
    <row r="8" spans="3:13" ht="25.05" customHeight="1">
      <c r="C8" s="73" t="s">
        <v>123</v>
      </c>
      <c r="D8" s="74"/>
      <c r="E8" s="64" t="s">
        <v>122</v>
      </c>
      <c r="M8" s="263"/>
    </row>
    <row r="9" spans="3:13" ht="25.05" customHeight="1">
      <c r="C9" s="73" t="s">
        <v>124</v>
      </c>
      <c r="D9" s="75">
        <f>+'Master Budget Sheet'!AM19</f>
        <v>17.89</v>
      </c>
      <c r="E9" s="64" t="s">
        <v>125</v>
      </c>
      <c r="M9" s="263"/>
    </row>
    <row r="10" spans="3:13" ht="25.05" customHeight="1">
      <c r="C10" s="76" t="s">
        <v>126</v>
      </c>
      <c r="D10" s="77" t="s">
        <v>127</v>
      </c>
      <c r="E10" s="78" t="s">
        <v>128</v>
      </c>
      <c r="M10" s="263"/>
    </row>
    <row r="11" spans="3:13" ht="25.05" customHeight="1">
      <c r="C11" s="73" t="s">
        <v>129</v>
      </c>
      <c r="D11" s="79">
        <f>'AdminIndex (5)'!H61</f>
        <v>1.4993000000000001</v>
      </c>
      <c r="E11" s="80" t="s">
        <v>130</v>
      </c>
      <c r="M11" s="263"/>
    </row>
    <row r="12" spans="3:13" ht="25.05" customHeight="1">
      <c r="C12" s="73" t="s">
        <v>131</v>
      </c>
      <c r="D12" s="81">
        <f>'Instructional fte (5)'!E43</f>
        <v>65991.605882352946</v>
      </c>
      <c r="E12" s="80" t="s">
        <v>353</v>
      </c>
      <c r="M12" s="263"/>
    </row>
    <row r="13" spans="3:13" ht="25.05" customHeight="1">
      <c r="C13" s="73" t="s">
        <v>354</v>
      </c>
      <c r="D13" s="269">
        <f>'Pupil Services fte (5)'!M54</f>
        <v>70399</v>
      </c>
      <c r="E13" s="80" t="s">
        <v>352</v>
      </c>
      <c r="M13" s="263"/>
    </row>
    <row r="14" spans="3:13" ht="25.05" customHeight="1">
      <c r="C14" s="73" t="s">
        <v>132</v>
      </c>
      <c r="D14" s="79">
        <f>'AdminIndex (5)'!H40</f>
        <v>1</v>
      </c>
      <c r="E14" s="80" t="s">
        <v>130</v>
      </c>
      <c r="M14" s="263"/>
    </row>
    <row r="15" spans="3:13" ht="22.2" customHeight="1">
      <c r="C15" s="73" t="s">
        <v>133</v>
      </c>
      <c r="D15" s="82">
        <f>'Instructional fte (5)'!B26</f>
        <v>17</v>
      </c>
      <c r="E15" s="80" t="s">
        <v>353</v>
      </c>
      <c r="M15" s="263"/>
    </row>
    <row r="16" spans="3:13" ht="25.05" customHeight="1">
      <c r="C16" s="73" t="s">
        <v>134</v>
      </c>
      <c r="D16" s="79">
        <f>'Pupil Services fte (5)'!L44</f>
        <v>1</v>
      </c>
      <c r="E16" s="80" t="s">
        <v>352</v>
      </c>
      <c r="M16" s="263"/>
    </row>
    <row r="17" spans="3:13" ht="25.05" customHeight="1">
      <c r="C17" s="73" t="s">
        <v>135</v>
      </c>
      <c r="D17" s="83">
        <f>+'Master Budget Sheet'!AL193</f>
        <v>12.1</v>
      </c>
      <c r="E17" s="64" t="s">
        <v>122</v>
      </c>
      <c r="M17" s="263"/>
    </row>
    <row r="18" spans="3:13" ht="25.05" customHeight="1">
      <c r="C18" s="73" t="s">
        <v>136</v>
      </c>
      <c r="D18" s="84">
        <f>+'Master Budget Sheet'!AM90</f>
        <v>196267</v>
      </c>
      <c r="E18" s="64" t="s">
        <v>122</v>
      </c>
      <c r="M18" s="263"/>
    </row>
    <row r="19" spans="3:13" ht="25.05" customHeight="1">
      <c r="C19" s="73" t="s">
        <v>137</v>
      </c>
      <c r="D19" s="84">
        <f>+'Master Budget Sheet'!AM163</f>
        <v>1080866.611</v>
      </c>
      <c r="E19" s="64" t="s">
        <v>122</v>
      </c>
      <c r="M19" s="263"/>
    </row>
    <row r="20" spans="3:13" ht="25.05" customHeight="1">
      <c r="C20" s="73" t="s">
        <v>138</v>
      </c>
      <c r="D20" s="84">
        <f>+'Master Budget Sheet'!AM191</f>
        <v>75704.759999999995</v>
      </c>
      <c r="E20" s="64" t="s">
        <v>122</v>
      </c>
      <c r="M20" s="263"/>
    </row>
    <row r="21" spans="3:13" ht="25.05" customHeight="1">
      <c r="C21" s="73" t="s">
        <v>139</v>
      </c>
      <c r="D21" s="84">
        <f>+'Master Budget Sheet'!AM193</f>
        <v>294495</v>
      </c>
      <c r="E21" s="64" t="s">
        <v>122</v>
      </c>
      <c r="M21" s="263"/>
    </row>
    <row r="22" spans="3:13" ht="20.100000000000001" customHeight="1">
      <c r="C22" s="73" t="s">
        <v>140</v>
      </c>
      <c r="D22" s="85"/>
      <c r="M22" s="263"/>
    </row>
    <row r="23" spans="3:13" ht="20.100000000000001" customHeight="1">
      <c r="C23" s="86" t="s">
        <v>141</v>
      </c>
      <c r="M23" s="263"/>
    </row>
    <row r="24" spans="3:13" ht="20.100000000000001" customHeight="1">
      <c r="C24" s="87" t="s">
        <v>142</v>
      </c>
      <c r="M24" s="263"/>
    </row>
    <row r="25" spans="3:13" ht="20.100000000000001" customHeight="1">
      <c r="C25" s="87"/>
      <c r="M25" s="263"/>
    </row>
    <row r="26" spans="3:13" ht="20.100000000000001" customHeight="1">
      <c r="C26" s="73" t="s">
        <v>143</v>
      </c>
      <c r="M26" s="263"/>
    </row>
    <row r="27" spans="3:13" ht="13.8" thickBot="1">
      <c r="C27" s="88" t="s">
        <v>144</v>
      </c>
      <c r="D27" s="89"/>
      <c r="E27" s="90"/>
      <c r="F27" s="262"/>
      <c r="G27" s="262"/>
      <c r="H27" s="262"/>
      <c r="I27" s="262"/>
      <c r="J27" s="262"/>
      <c r="K27" s="262"/>
      <c r="L27" s="262"/>
      <c r="M27" s="261"/>
    </row>
  </sheetData>
  <printOptions horizontalCentered="1" verticalCentered="1"/>
  <pageMargins left="0.47" right="0.2" top="0.52" bottom="0.25" header="0.5" footer="0.22"/>
  <pageSetup scale="81" orientation="landscape"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95">
    <pageSetUpPr fitToPage="1"/>
  </sheetPr>
  <dimension ref="A1:AA53"/>
  <sheetViews>
    <sheetView zoomScaleNormal="100" workbookViewId="0">
      <selection activeCell="I13" sqref="I13"/>
    </sheetView>
  </sheetViews>
  <sheetFormatPr defaultColWidth="10.44140625" defaultRowHeight="13.8"/>
  <cols>
    <col min="1" max="1" width="8.21875" style="91" customWidth="1"/>
    <col min="2" max="2" width="4.44140625" style="91" customWidth="1"/>
    <col min="3" max="3" width="13.77734375" style="91" customWidth="1"/>
    <col min="4" max="4" width="2" style="91" customWidth="1"/>
    <col min="5" max="5" width="13.77734375" style="91" customWidth="1"/>
    <col min="6" max="6" width="2" style="91" customWidth="1"/>
    <col min="7" max="7" width="13.77734375" style="91" customWidth="1"/>
    <col min="8" max="8" width="1.21875" style="91" customWidth="1"/>
    <col min="9" max="9" width="13.77734375" style="91" customWidth="1"/>
    <col min="10" max="10" width="2.21875" style="91" customWidth="1"/>
    <col min="11" max="11" width="13.77734375" style="91" customWidth="1"/>
    <col min="12" max="12" width="1.21875" style="91" customWidth="1"/>
    <col min="13" max="13" width="14.77734375" style="91" customWidth="1"/>
    <col min="14" max="14" width="1.21875" style="91" customWidth="1"/>
    <col min="15" max="15" width="13.77734375" style="91" customWidth="1"/>
    <col min="16" max="16" width="1.21875" style="91" customWidth="1"/>
    <col min="17" max="17" width="13.77734375" style="91" customWidth="1"/>
    <col min="18" max="18" width="1.21875" style="91" customWidth="1"/>
    <col min="19" max="19" width="13.77734375" style="91" customWidth="1"/>
    <col min="20" max="20" width="1.21875" style="91" customWidth="1"/>
    <col min="21" max="21" width="13.77734375" style="91" customWidth="1"/>
    <col min="22" max="22" width="1.21875" style="91" customWidth="1"/>
    <col min="23" max="23" width="13.77734375" style="91" customWidth="1"/>
    <col min="24" max="24" width="1.21875" style="91" customWidth="1"/>
    <col min="25" max="25" width="13.77734375" style="91" customWidth="1"/>
    <col min="26" max="26" width="1.21875" style="91" customWidth="1"/>
    <col min="27" max="16384" width="10.44140625" style="91"/>
  </cols>
  <sheetData>
    <row r="1" spans="1:25">
      <c r="A1" s="1233"/>
      <c r="B1" s="1233"/>
      <c r="C1" s="1233"/>
      <c r="D1" s="1233"/>
      <c r="E1" s="1233"/>
      <c r="F1" s="1233"/>
      <c r="G1" s="1233"/>
      <c r="H1" s="1233"/>
      <c r="I1" s="1233"/>
      <c r="J1" s="1233"/>
      <c r="K1" s="1233"/>
      <c r="L1" s="1233"/>
      <c r="M1" s="1233"/>
      <c r="N1" s="1233"/>
      <c r="O1" s="1233"/>
      <c r="P1" s="1233"/>
      <c r="Q1" s="1233"/>
      <c r="R1" s="1233"/>
      <c r="S1" s="1233"/>
      <c r="T1" s="1233"/>
      <c r="U1" s="1233"/>
      <c r="V1" s="1233"/>
      <c r="W1" s="1233"/>
      <c r="X1" s="1233"/>
      <c r="Y1" s="1233"/>
    </row>
    <row r="2" spans="1:25">
      <c r="A2" s="1233" t="s">
        <v>145</v>
      </c>
      <c r="B2" s="1233"/>
      <c r="C2" s="1233"/>
      <c r="D2" s="1233"/>
      <c r="E2" s="1233"/>
      <c r="F2" s="1233"/>
      <c r="G2" s="1233"/>
      <c r="H2" s="1233"/>
      <c r="I2" s="1233"/>
      <c r="J2" s="1233"/>
      <c r="K2" s="1233"/>
      <c r="L2" s="1233"/>
      <c r="M2" s="1233"/>
      <c r="N2" s="1233"/>
      <c r="O2" s="1233"/>
      <c r="P2" s="1233"/>
      <c r="Q2" s="1233"/>
      <c r="R2" s="1233"/>
      <c r="S2" s="1233"/>
      <c r="T2" s="1233"/>
      <c r="U2" s="1233"/>
      <c r="V2" s="1233"/>
      <c r="W2" s="1233"/>
      <c r="X2" s="1233"/>
      <c r="Y2" s="1233"/>
    </row>
    <row r="3" spans="1:25">
      <c r="A3" s="1233" t="s">
        <v>146</v>
      </c>
      <c r="B3" s="1233"/>
      <c r="C3" s="1233"/>
      <c r="D3" s="1233"/>
      <c r="E3" s="1233"/>
      <c r="F3" s="1233"/>
      <c r="G3" s="1233"/>
      <c r="H3" s="1233"/>
      <c r="I3" s="1233"/>
      <c r="J3" s="1233"/>
      <c r="K3" s="1233"/>
      <c r="L3" s="1233"/>
      <c r="M3" s="1233"/>
      <c r="N3" s="1233"/>
      <c r="O3" s="1233"/>
      <c r="P3" s="1233"/>
      <c r="Q3" s="1233"/>
      <c r="R3" s="1233"/>
      <c r="S3" s="1233"/>
      <c r="T3" s="1233"/>
      <c r="U3" s="1233"/>
      <c r="V3" s="1233"/>
      <c r="W3" s="1233"/>
      <c r="X3" s="1233"/>
      <c r="Y3" s="1233"/>
    </row>
    <row r="4" spans="1:25">
      <c r="A4" s="1233" t="s">
        <v>147</v>
      </c>
      <c r="B4" s="1233"/>
      <c r="C4" s="1233"/>
      <c r="D4" s="1233"/>
      <c r="E4" s="1233"/>
      <c r="F4" s="1233"/>
      <c r="G4" s="1233"/>
      <c r="H4" s="1233"/>
      <c r="I4" s="1233"/>
      <c r="J4" s="1233"/>
      <c r="K4" s="1233"/>
      <c r="L4" s="1233"/>
      <c r="M4" s="1233"/>
      <c r="N4" s="1233"/>
      <c r="O4" s="1233"/>
      <c r="P4" s="1233"/>
      <c r="Q4" s="1233"/>
      <c r="R4" s="1233"/>
      <c r="S4" s="1233"/>
      <c r="T4" s="1233"/>
      <c r="U4" s="1233"/>
      <c r="V4" s="1233"/>
      <c r="W4" s="1233"/>
      <c r="X4" s="1233"/>
      <c r="Y4" s="1233"/>
    </row>
    <row r="7" spans="1:25">
      <c r="A7" s="91" t="s">
        <v>148</v>
      </c>
      <c r="B7" s="92">
        <f>'Enter Data Elements (5)'!D7</f>
        <v>0</v>
      </c>
      <c r="C7" s="93">
        <f>'Enter Data Elements (5)'!D8</f>
        <v>0</v>
      </c>
      <c r="D7" s="94"/>
      <c r="E7" s="94"/>
    </row>
    <row r="9" spans="1:25">
      <c r="A9" s="91" t="s">
        <v>149</v>
      </c>
      <c r="P9" s="91" t="s">
        <v>150</v>
      </c>
      <c r="W9" s="94"/>
    </row>
    <row r="10" spans="1:25">
      <c r="A10" s="91" t="s">
        <v>151</v>
      </c>
      <c r="I10" s="95">
        <v>1.84399</v>
      </c>
      <c r="J10" s="95"/>
      <c r="P10" s="91" t="s">
        <v>151</v>
      </c>
      <c r="W10" s="96">
        <f>'Enter Data Elements (5)'!D11</f>
        <v>1.4993000000000001</v>
      </c>
    </row>
    <row r="11" spans="1:25">
      <c r="A11" s="91" t="s">
        <v>152</v>
      </c>
      <c r="I11" s="97">
        <v>1.86643</v>
      </c>
      <c r="J11" s="95"/>
      <c r="K11" s="98">
        <f>IF(I10&gt;I11,ROUND(I11/I10,4),1)</f>
        <v>1</v>
      </c>
      <c r="P11" s="91" t="s">
        <v>153</v>
      </c>
      <c r="W11" s="99">
        <f>W10*K11</f>
        <v>1.4993000000000001</v>
      </c>
    </row>
    <row r="12" spans="1:25">
      <c r="A12" s="91" t="s">
        <v>154</v>
      </c>
      <c r="I12" s="100">
        <f>0.0765+0.1504</f>
        <v>0.22689999999999999</v>
      </c>
      <c r="P12" s="91" t="s">
        <v>155</v>
      </c>
      <c r="W12" s="101">
        <f>'Enter Data Elements (5)'!D9</f>
        <v>17.89</v>
      </c>
    </row>
    <row r="13" spans="1:25">
      <c r="I13" s="97"/>
      <c r="J13" s="95"/>
      <c r="K13" s="98"/>
    </row>
    <row r="14" spans="1:25">
      <c r="J14" s="102"/>
      <c r="W14" s="103"/>
    </row>
    <row r="16" spans="1:25" ht="16.2" customHeight="1">
      <c r="C16" s="112" t="s">
        <v>156</v>
      </c>
      <c r="D16" s="112"/>
      <c r="E16" s="112" t="s">
        <v>156</v>
      </c>
      <c r="F16" s="112"/>
      <c r="G16" s="1234" t="s">
        <v>157</v>
      </c>
      <c r="H16" s="1235"/>
      <c r="I16" s="1236"/>
      <c r="J16" s="104"/>
      <c r="K16" s="112" t="s">
        <v>158</v>
      </c>
      <c r="L16" s="112"/>
      <c r="M16" s="112" t="s">
        <v>159</v>
      </c>
      <c r="N16" s="112"/>
      <c r="O16" s="112" t="s">
        <v>160</v>
      </c>
      <c r="P16" s="112"/>
      <c r="Q16" s="112" t="s">
        <v>156</v>
      </c>
      <c r="R16" s="112"/>
      <c r="S16" s="112" t="s">
        <v>156</v>
      </c>
      <c r="T16" s="112"/>
      <c r="U16" s="112" t="s">
        <v>161</v>
      </c>
      <c r="V16" s="112"/>
      <c r="W16" s="112" t="s">
        <v>162</v>
      </c>
      <c r="Y16" s="112" t="s">
        <v>163</v>
      </c>
    </row>
    <row r="17" spans="1:25">
      <c r="C17" s="112" t="s">
        <v>164</v>
      </c>
      <c r="D17" s="112"/>
      <c r="E17" s="112" t="s">
        <v>164</v>
      </c>
      <c r="F17" s="112"/>
      <c r="G17" s="104" t="s">
        <v>165</v>
      </c>
      <c r="H17" s="104"/>
      <c r="I17" s="104" t="s">
        <v>166</v>
      </c>
      <c r="J17" s="112"/>
      <c r="K17" s="112" t="s">
        <v>167</v>
      </c>
      <c r="L17" s="112"/>
      <c r="M17" s="112" t="s">
        <v>156</v>
      </c>
      <c r="N17" s="112"/>
      <c r="O17" s="112" t="s">
        <v>168</v>
      </c>
      <c r="P17" s="112"/>
      <c r="Q17" s="112" t="s">
        <v>164</v>
      </c>
      <c r="S17" s="112" t="s">
        <v>169</v>
      </c>
      <c r="U17" s="112" t="s">
        <v>170</v>
      </c>
      <c r="V17" s="112"/>
      <c r="W17" s="112" t="s">
        <v>170</v>
      </c>
      <c r="Y17" s="112" t="s">
        <v>171</v>
      </c>
    </row>
    <row r="18" spans="1:25">
      <c r="C18" s="112" t="s">
        <v>172</v>
      </c>
      <c r="E18" s="112" t="s">
        <v>168</v>
      </c>
      <c r="G18" s="112" t="s">
        <v>173</v>
      </c>
      <c r="H18" s="112"/>
      <c r="I18" s="112" t="s">
        <v>173</v>
      </c>
      <c r="K18" s="112" t="s">
        <v>164</v>
      </c>
      <c r="L18" s="112"/>
      <c r="M18" s="112" t="s">
        <v>164</v>
      </c>
      <c r="Q18" s="112" t="s">
        <v>168</v>
      </c>
      <c r="Y18" s="112" t="s">
        <v>174</v>
      </c>
    </row>
    <row r="19" spans="1:25">
      <c r="G19" s="112"/>
      <c r="I19" s="112"/>
      <c r="K19" s="112" t="s">
        <v>168</v>
      </c>
      <c r="L19" s="112"/>
      <c r="M19" s="112" t="s">
        <v>168</v>
      </c>
      <c r="Y19" s="112" t="s">
        <v>175</v>
      </c>
    </row>
    <row r="20" spans="1:25">
      <c r="E20" s="112" t="s">
        <v>176</v>
      </c>
      <c r="F20" s="112"/>
      <c r="L20" s="112"/>
      <c r="M20" s="112" t="s">
        <v>177</v>
      </c>
      <c r="Q20" s="105" t="s">
        <v>178</v>
      </c>
      <c r="W20" s="112" t="s">
        <v>179</v>
      </c>
      <c r="Y20" s="112" t="s">
        <v>180</v>
      </c>
    </row>
    <row r="21" spans="1:25">
      <c r="C21" s="112" t="s">
        <v>181</v>
      </c>
      <c r="D21" s="112"/>
      <c r="E21" s="112" t="s">
        <v>182</v>
      </c>
      <c r="F21" s="112"/>
      <c r="G21" s="112" t="s">
        <v>183</v>
      </c>
      <c r="H21" s="112"/>
      <c r="I21" s="112" t="s">
        <v>184</v>
      </c>
      <c r="J21" s="112"/>
      <c r="K21" s="112" t="s">
        <v>185</v>
      </c>
      <c r="L21" s="112"/>
      <c r="M21" s="112" t="s">
        <v>186</v>
      </c>
      <c r="N21" s="112"/>
      <c r="O21" s="112" t="s">
        <v>187</v>
      </c>
      <c r="P21" s="112"/>
      <c r="Q21" s="112" t="s">
        <v>188</v>
      </c>
      <c r="R21" s="112"/>
      <c r="S21" s="104" t="str">
        <f>LOWER("I")</f>
        <v>i</v>
      </c>
      <c r="T21" s="112"/>
      <c r="U21" s="112" t="s">
        <v>189</v>
      </c>
      <c r="V21" s="112"/>
      <c r="W21" s="112" t="s">
        <v>190</v>
      </c>
      <c r="X21" s="112"/>
      <c r="Y21" s="112" t="s">
        <v>191</v>
      </c>
    </row>
    <row r="22" spans="1:25">
      <c r="O22" s="94"/>
    </row>
    <row r="23" spans="1:25">
      <c r="A23" s="91" t="s">
        <v>192</v>
      </c>
      <c r="C23" s="106">
        <v>7.4999999999999997E-2</v>
      </c>
      <c r="D23" s="107"/>
      <c r="E23" s="108">
        <f>$W$12*C23</f>
        <v>1.34175</v>
      </c>
      <c r="G23" s="109"/>
      <c r="I23" s="109"/>
      <c r="K23" s="109"/>
      <c r="M23" s="108">
        <f>E23+G23</f>
        <v>1.34175</v>
      </c>
      <c r="O23" s="96">
        <f>'Enter Data Elements (5)'!D14</f>
        <v>1</v>
      </c>
      <c r="Q23" s="108">
        <f>M23</f>
        <v>1.34175</v>
      </c>
      <c r="S23" s="108">
        <f>W11</f>
        <v>1.4993000000000001</v>
      </c>
      <c r="U23" s="110">
        <f>+'Master Budget Sheet'!AM13</f>
        <v>47152</v>
      </c>
      <c r="W23" s="111">
        <f>S23*U23</f>
        <v>70694.993600000002</v>
      </c>
      <c r="Y23" s="111">
        <f>Q23*W23</f>
        <v>94855.007662799995</v>
      </c>
    </row>
    <row r="24" spans="1:25">
      <c r="O24" s="94"/>
      <c r="Q24" s="105"/>
    </row>
    <row r="25" spans="1:25">
      <c r="A25" s="91" t="s">
        <v>193</v>
      </c>
      <c r="C25" s="106">
        <v>1.0209999999999999</v>
      </c>
      <c r="D25" s="107"/>
      <c r="E25" s="108">
        <f>$W$12*C25</f>
        <v>18.265689999999999</v>
      </c>
      <c r="G25" s="109"/>
      <c r="I25" s="109"/>
      <c r="K25" s="109"/>
      <c r="M25" s="108">
        <f>E25+G25+I25+K25</f>
        <v>18.265689999999999</v>
      </c>
      <c r="O25" s="96">
        <f>'Enter Data Elements (5)'!D15</f>
        <v>17</v>
      </c>
      <c r="Q25" s="108">
        <f>M25</f>
        <v>18.265689999999999</v>
      </c>
      <c r="S25" s="109"/>
      <c r="U25" s="109"/>
      <c r="W25" s="101">
        <f>'Enter Data Elements (5)'!D12</f>
        <v>65991.605882352946</v>
      </c>
      <c r="Y25" s="111">
        <f>Q25*W25</f>
        <v>1205382.2156492353</v>
      </c>
    </row>
    <row r="26" spans="1:25" ht="12.75" customHeight="1">
      <c r="O26" s="94"/>
      <c r="Q26" s="105"/>
      <c r="S26" s="112"/>
    </row>
    <row r="27" spans="1:25">
      <c r="A27" s="91" t="s">
        <v>194</v>
      </c>
      <c r="C27" s="106">
        <v>7.9000000000000001E-2</v>
      </c>
      <c r="D27" s="107"/>
      <c r="E27" s="108">
        <f>$W$12*C27</f>
        <v>1.4133100000000001</v>
      </c>
      <c r="G27" s="109"/>
      <c r="I27" s="109"/>
      <c r="K27" s="109"/>
      <c r="M27" s="108">
        <f>E27+G27+I27+K27</f>
        <v>1.4133100000000001</v>
      </c>
      <c r="O27" s="96">
        <f>'Enter Data Elements (5)'!D16</f>
        <v>1</v>
      </c>
      <c r="Q27" s="108">
        <f>M27</f>
        <v>1.4133100000000001</v>
      </c>
      <c r="S27" s="109"/>
      <c r="U27" s="109"/>
      <c r="W27" s="101">
        <f>IF('Enter Data Elements (5)'!D13&gt;0,'Enter Data Elements (5)'!D13, W25)</f>
        <v>70399</v>
      </c>
      <c r="Y27" s="111">
        <f>Q27*W27</f>
        <v>99495.610690000001</v>
      </c>
    </row>
    <row r="28" spans="1:25" ht="12.75" customHeight="1">
      <c r="O28" s="94"/>
      <c r="Q28" s="105"/>
      <c r="S28" s="112"/>
    </row>
    <row r="29" spans="1:25">
      <c r="A29" s="91" t="s">
        <v>195</v>
      </c>
      <c r="C29" s="106">
        <v>0.375</v>
      </c>
      <c r="D29" s="107"/>
      <c r="E29" s="108">
        <f>$W$12*C29</f>
        <v>6.7087500000000002</v>
      </c>
      <c r="G29" s="109"/>
      <c r="I29" s="109"/>
      <c r="K29" s="109"/>
      <c r="M29" s="113">
        <f>E29</f>
        <v>6.7087500000000002</v>
      </c>
      <c r="O29" s="96">
        <f>'Enter Data Elements (5)'!D17</f>
        <v>12.1</v>
      </c>
      <c r="Q29" s="108">
        <f>M29</f>
        <v>6.7087500000000002</v>
      </c>
      <c r="S29" s="109"/>
      <c r="U29" s="110">
        <f>+'Master Budget Sheet'!AM15</f>
        <v>42400</v>
      </c>
      <c r="W29" s="109"/>
      <c r="Y29" s="109"/>
    </row>
    <row r="30" spans="1:25">
      <c r="O30" s="94"/>
    </row>
    <row r="31" spans="1:25">
      <c r="A31" s="91" t="s">
        <v>196</v>
      </c>
      <c r="M31" s="108">
        <f>M23+M25+M27+M29</f>
        <v>27.729500000000002</v>
      </c>
      <c r="O31" s="108">
        <f>O23+O25+O27+O29</f>
        <v>31.1</v>
      </c>
      <c r="Q31" s="108">
        <f>Q23+Q25+Q27+Q29</f>
        <v>27.729500000000002</v>
      </c>
    </row>
    <row r="36" spans="1:27">
      <c r="C36" s="112" t="s">
        <v>195</v>
      </c>
      <c r="G36" s="112" t="s">
        <v>171</v>
      </c>
      <c r="I36" s="112" t="s">
        <v>160</v>
      </c>
      <c r="K36" s="112" t="s">
        <v>174</v>
      </c>
      <c r="M36" s="114" t="s">
        <v>197</v>
      </c>
      <c r="O36" s="112" t="s">
        <v>198</v>
      </c>
      <c r="Q36" s="112" t="s">
        <v>199</v>
      </c>
      <c r="S36" s="112" t="s">
        <v>174</v>
      </c>
      <c r="U36" s="112" t="s">
        <v>200</v>
      </c>
      <c r="W36" s="114" t="s">
        <v>174</v>
      </c>
    </row>
    <row r="37" spans="1:27">
      <c r="C37" s="112" t="s">
        <v>171</v>
      </c>
      <c r="G37" s="112" t="s">
        <v>174</v>
      </c>
      <c r="I37" s="112" t="s">
        <v>170</v>
      </c>
      <c r="K37" s="112" t="s">
        <v>175</v>
      </c>
      <c r="M37" s="115" t="s">
        <v>175</v>
      </c>
      <c r="O37" s="112" t="s">
        <v>164</v>
      </c>
      <c r="Q37" s="112" t="s">
        <v>164</v>
      </c>
      <c r="S37" s="112" t="s">
        <v>175</v>
      </c>
      <c r="U37" s="112" t="s">
        <v>170</v>
      </c>
      <c r="W37" s="115" t="s">
        <v>175</v>
      </c>
    </row>
    <row r="38" spans="1:27">
      <c r="C38" s="112" t="s">
        <v>174</v>
      </c>
      <c r="G38" s="112" t="s">
        <v>175</v>
      </c>
      <c r="K38" s="112" t="s">
        <v>201</v>
      </c>
      <c r="M38" s="116"/>
      <c r="S38" s="112" t="s">
        <v>202</v>
      </c>
      <c r="U38" s="112" t="s">
        <v>175</v>
      </c>
      <c r="W38" s="117"/>
    </row>
    <row r="39" spans="1:27">
      <c r="C39" s="112" t="s">
        <v>175</v>
      </c>
      <c r="G39" s="112"/>
      <c r="K39" s="112" t="s">
        <v>203</v>
      </c>
      <c r="M39" s="116"/>
      <c r="S39" s="118"/>
      <c r="U39" s="105"/>
      <c r="W39" s="117"/>
    </row>
    <row r="40" spans="1:27">
      <c r="C40" s="112" t="s">
        <v>204</v>
      </c>
      <c r="G40" s="112" t="s">
        <v>359</v>
      </c>
      <c r="K40" s="91" t="s">
        <v>358</v>
      </c>
      <c r="M40" s="115" t="str">
        <f>"p x "&amp;I12</f>
        <v>p x 0.2269</v>
      </c>
      <c r="O40" s="112" t="s">
        <v>205</v>
      </c>
      <c r="S40" s="112"/>
      <c r="U40" s="112"/>
      <c r="W40" s="117" t="s">
        <v>357</v>
      </c>
    </row>
    <row r="41" spans="1:27">
      <c r="C41" s="112" t="s">
        <v>206</v>
      </c>
      <c r="G41" s="112" t="s">
        <v>207</v>
      </c>
      <c r="I41" s="112" t="s">
        <v>208</v>
      </c>
      <c r="K41" s="112" t="s">
        <v>356</v>
      </c>
      <c r="M41" s="115" t="s">
        <v>209</v>
      </c>
      <c r="O41" s="112" t="s">
        <v>210</v>
      </c>
      <c r="Q41" s="112" t="s">
        <v>211</v>
      </c>
      <c r="S41" s="112" t="s">
        <v>212</v>
      </c>
      <c r="U41" s="112" t="s">
        <v>213</v>
      </c>
      <c r="W41" s="115" t="s">
        <v>214</v>
      </c>
      <c r="AA41" s="112"/>
    </row>
    <row r="42" spans="1:27">
      <c r="F42" s="94"/>
      <c r="G42" s="94"/>
      <c r="H42" s="94"/>
      <c r="I42" s="94"/>
      <c r="M42" s="116"/>
      <c r="U42" s="112"/>
      <c r="W42" s="115"/>
    </row>
    <row r="43" spans="1:27">
      <c r="A43" s="91" t="s">
        <v>192</v>
      </c>
      <c r="C43" s="109"/>
      <c r="F43" s="94"/>
      <c r="G43" s="119">
        <f>Y23</f>
        <v>94855.007662799995</v>
      </c>
      <c r="H43" s="94"/>
      <c r="I43" s="101">
        <f>'Enter Data Elements (5)'!D18</f>
        <v>196267</v>
      </c>
      <c r="K43" s="120"/>
      <c r="M43" s="121">
        <f>IF($G$51&gt;$I$51,ROUND(G43/$G$51*$M$51,2),ROUND(I43/$I$51*$M$51,2))</f>
        <v>21051.68</v>
      </c>
      <c r="O43" s="122"/>
      <c r="Q43" s="122"/>
      <c r="S43" s="122"/>
      <c r="U43" s="122"/>
      <c r="V43" s="123"/>
      <c r="W43" s="124">
        <f>G43</f>
        <v>94855.007662799995</v>
      </c>
      <c r="AA43" s="111"/>
    </row>
    <row r="44" spans="1:27">
      <c r="F44" s="94"/>
      <c r="G44" s="94"/>
      <c r="H44" s="94"/>
      <c r="I44" s="125"/>
      <c r="M44" s="116"/>
      <c r="S44" s="112"/>
      <c r="U44" s="105"/>
      <c r="W44" s="117"/>
    </row>
    <row r="45" spans="1:27">
      <c r="A45" s="91" t="s">
        <v>193</v>
      </c>
      <c r="C45" s="109"/>
      <c r="F45" s="118"/>
      <c r="G45" s="119">
        <f>Y25</f>
        <v>1205382.2156492353</v>
      </c>
      <c r="H45" s="94"/>
      <c r="I45" s="101">
        <f>'Enter Data Elements (5)'!D19</f>
        <v>1080866.611</v>
      </c>
      <c r="K45" s="120"/>
      <c r="M45" s="121">
        <f>IF($G$51&gt;$I$51,ROUND(G45/$G$51*$M$51,2),ROUND(I45/$I$51*$M$51,2))</f>
        <v>267516.93</v>
      </c>
      <c r="O45" s="122"/>
      <c r="Q45" s="122"/>
      <c r="S45" s="122"/>
      <c r="U45" s="122"/>
      <c r="W45" s="124">
        <f>G45</f>
        <v>1205382.2156492353</v>
      </c>
      <c r="AA45" s="111"/>
    </row>
    <row r="46" spans="1:27">
      <c r="F46" s="118"/>
      <c r="G46" s="119" t="s">
        <v>235</v>
      </c>
      <c r="H46" s="94"/>
      <c r="I46" s="125"/>
      <c r="M46" s="116"/>
      <c r="S46" s="112"/>
      <c r="U46" s="105"/>
      <c r="W46" s="117"/>
    </row>
    <row r="47" spans="1:27">
      <c r="A47" s="91" t="s">
        <v>194</v>
      </c>
      <c r="C47" s="109"/>
      <c r="F47" s="94"/>
      <c r="G47" s="119">
        <f>Y27</f>
        <v>99495.610690000001</v>
      </c>
      <c r="H47" s="94"/>
      <c r="I47" s="101">
        <f>'Enter Data Elements (5)'!D20</f>
        <v>75704.759999999995</v>
      </c>
      <c r="K47" s="120"/>
      <c r="M47" s="121">
        <f>IF($G$51&gt;$I$51,ROUND(G47/$G$51*$M$51,2),ROUND(I47/$I$51*$M$51,2))</f>
        <v>22081.59</v>
      </c>
      <c r="O47" s="122"/>
      <c r="Q47" s="122"/>
      <c r="S47" s="122"/>
      <c r="U47" s="122"/>
      <c r="W47" s="124">
        <f>G47</f>
        <v>99495.610690000001</v>
      </c>
    </row>
    <row r="48" spans="1:27">
      <c r="F48" s="94"/>
      <c r="G48" s="94"/>
      <c r="H48" s="94"/>
      <c r="I48" s="125"/>
      <c r="M48" s="116"/>
      <c r="S48" s="112"/>
      <c r="U48" s="105"/>
      <c r="W48" s="117"/>
    </row>
    <row r="49" spans="1:27">
      <c r="A49" s="91" t="s">
        <v>195</v>
      </c>
      <c r="C49" s="111">
        <f>Q29*U29</f>
        <v>284451</v>
      </c>
      <c r="F49" s="118"/>
      <c r="G49" s="119">
        <f>C49</f>
        <v>284451</v>
      </c>
      <c r="H49" s="94"/>
      <c r="I49" s="101">
        <f>'Enter Data Elements (5)'!D21</f>
        <v>294495</v>
      </c>
      <c r="K49" s="120"/>
      <c r="M49" s="121">
        <f>IF($G$51&gt;$I$51,ROUND(G49/$G$51*$M$51,2),ROUND(I49/$I$51*$M$51,2))</f>
        <v>63129.73</v>
      </c>
      <c r="O49" s="122"/>
      <c r="Q49" s="122"/>
      <c r="S49" s="122"/>
      <c r="U49" s="122"/>
      <c r="W49" s="124">
        <f>G49</f>
        <v>284451</v>
      </c>
      <c r="AA49" s="111"/>
    </row>
    <row r="50" spans="1:27">
      <c r="I50" s="105"/>
      <c r="K50" s="126">
        <f>SUM(K43:K49)</f>
        <v>0</v>
      </c>
      <c r="M50" s="116"/>
      <c r="S50" s="112"/>
      <c r="U50" s="105"/>
      <c r="W50" s="117"/>
    </row>
    <row r="51" spans="1:27">
      <c r="A51" s="91" t="s">
        <v>196</v>
      </c>
      <c r="G51" s="111">
        <f>G43+G45+G47+G49</f>
        <v>1684183.8340020352</v>
      </c>
      <c r="I51" s="111">
        <f>I43+I45+I47+I49</f>
        <v>1647333.371</v>
      </c>
      <c r="K51" s="111">
        <f>MIN(G51,I51)</f>
        <v>1647333.371</v>
      </c>
      <c r="M51" s="127">
        <f>ROUND(K51*$I$12,2)</f>
        <v>373779.94</v>
      </c>
      <c r="O51" s="111"/>
      <c r="Q51" s="111"/>
      <c r="W51" s="127">
        <f>W43+W45+W47+W49</f>
        <v>1684183.8340020352</v>
      </c>
    </row>
    <row r="53" spans="1:27">
      <c r="I53" s="111"/>
    </row>
  </sheetData>
  <mergeCells count="5">
    <mergeCell ref="A1:Y1"/>
    <mergeCell ref="A2:Y2"/>
    <mergeCell ref="A3:Y3"/>
    <mergeCell ref="A4:Y4"/>
    <mergeCell ref="G16:I16"/>
  </mergeCells>
  <pageMargins left="0.25" right="0.25" top="0.75" bottom="0.75" header="0.3" footer="0.3"/>
  <pageSetup scale="68" orientation="landscape" horizontalDpi="1800" verticalDpi="1800"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96"/>
  <dimension ref="A1:J127"/>
  <sheetViews>
    <sheetView workbookViewId="0">
      <selection activeCell="D38" sqref="D38"/>
    </sheetView>
  </sheetViews>
  <sheetFormatPr defaultColWidth="10.44140625" defaultRowHeight="10.95" customHeight="1"/>
  <cols>
    <col min="1" max="1" width="10.44140625" style="139" customWidth="1"/>
    <col min="2" max="5" width="9.21875" style="139" customWidth="1"/>
    <col min="6" max="6" width="10.5546875" style="139" customWidth="1"/>
    <col min="7" max="8" width="9.21875" style="139" customWidth="1"/>
    <col min="9" max="9" width="8.77734375" style="129" customWidth="1"/>
    <col min="10" max="16384" width="10.44140625" style="139"/>
  </cols>
  <sheetData>
    <row r="1" spans="1:8" ht="10.95" customHeight="1">
      <c r="A1" s="128"/>
      <c r="B1" s="128"/>
      <c r="C1" s="128"/>
      <c r="D1" s="128"/>
      <c r="E1" s="128"/>
      <c r="F1" s="128"/>
      <c r="G1" s="128"/>
      <c r="H1" s="128"/>
    </row>
    <row r="2" spans="1:8" ht="10.95" customHeight="1">
      <c r="A2" s="130" t="s">
        <v>361</v>
      </c>
      <c r="B2" s="128"/>
      <c r="C2" s="128"/>
      <c r="D2" s="128"/>
      <c r="E2" s="128"/>
      <c r="F2" s="128"/>
      <c r="G2" s="128"/>
      <c r="H2" s="128"/>
    </row>
    <row r="3" spans="1:8" ht="10.95" customHeight="1">
      <c r="A3" s="130"/>
      <c r="B3" s="128"/>
      <c r="C3" s="128"/>
      <c r="D3" s="128"/>
      <c r="E3" s="128"/>
      <c r="F3" s="128"/>
      <c r="G3" s="128"/>
      <c r="H3" s="128"/>
    </row>
    <row r="4" spans="1:8" ht="10.95" customHeight="1">
      <c r="A4" s="131"/>
      <c r="B4" s="132"/>
      <c r="C4" s="132"/>
      <c r="D4" s="132"/>
      <c r="E4" s="133" t="s">
        <v>215</v>
      </c>
      <c r="F4" s="133" t="s">
        <v>216</v>
      </c>
      <c r="G4" s="133" t="s">
        <v>217</v>
      </c>
      <c r="H4" s="133" t="s">
        <v>218</v>
      </c>
    </row>
    <row r="5" spans="1:8" ht="10.95" customHeight="1">
      <c r="A5" s="134" t="s">
        <v>219</v>
      </c>
      <c r="B5" s="134" t="s">
        <v>220</v>
      </c>
      <c r="C5" s="134" t="s">
        <v>221</v>
      </c>
      <c r="D5" s="134" t="s">
        <v>222</v>
      </c>
      <c r="E5" s="133" t="s">
        <v>223</v>
      </c>
      <c r="F5" s="133" t="s">
        <v>224</v>
      </c>
      <c r="G5" s="133" t="s">
        <v>225</v>
      </c>
      <c r="H5" s="133" t="s">
        <v>226</v>
      </c>
    </row>
    <row r="6" spans="1:8" ht="10.95" customHeight="1">
      <c r="A6" s="133">
        <v>0</v>
      </c>
      <c r="B6" s="135">
        <v>1</v>
      </c>
      <c r="C6" s="135">
        <v>1.0375000000000001</v>
      </c>
      <c r="D6" s="135">
        <v>1.0764</v>
      </c>
      <c r="E6" s="135">
        <v>1.1168</v>
      </c>
      <c r="F6" s="135">
        <v>1.1587000000000001</v>
      </c>
      <c r="G6" s="135">
        <v>1.2021999999999999</v>
      </c>
      <c r="H6" s="135">
        <v>1.2473000000000001</v>
      </c>
    </row>
    <row r="7" spans="1:8" ht="10.95" customHeight="1">
      <c r="A7" s="133">
        <v>1</v>
      </c>
      <c r="B7" s="135">
        <v>1.0375000000000001</v>
      </c>
      <c r="C7" s="135">
        <v>1.0764</v>
      </c>
      <c r="D7" s="135">
        <v>1.1168</v>
      </c>
      <c r="E7" s="135">
        <v>1.1587000000000001</v>
      </c>
      <c r="F7" s="135">
        <v>1.2021999999999999</v>
      </c>
      <c r="G7" s="135">
        <v>1.2473000000000001</v>
      </c>
      <c r="H7" s="135">
        <v>1.2941</v>
      </c>
    </row>
    <row r="8" spans="1:8" ht="10.95" customHeight="1">
      <c r="A8" s="133">
        <v>2</v>
      </c>
      <c r="B8" s="135">
        <v>1.0764</v>
      </c>
      <c r="C8" s="135">
        <v>1.1168</v>
      </c>
      <c r="D8" s="135">
        <v>1.1587000000000001</v>
      </c>
      <c r="E8" s="135">
        <v>1.2021999999999999</v>
      </c>
      <c r="F8" s="135">
        <v>1.2473000000000001</v>
      </c>
      <c r="G8" s="135">
        <v>1.2941</v>
      </c>
      <c r="H8" s="135">
        <v>1.3426</v>
      </c>
    </row>
    <row r="9" spans="1:8" ht="10.95" customHeight="1">
      <c r="A9" s="133">
        <v>3</v>
      </c>
      <c r="B9" s="135">
        <v>1.1168</v>
      </c>
      <c r="C9" s="135">
        <v>1.1587000000000001</v>
      </c>
      <c r="D9" s="135">
        <v>1.2021999999999999</v>
      </c>
      <c r="E9" s="135">
        <v>1.2473000000000001</v>
      </c>
      <c r="F9" s="135">
        <v>1.2941</v>
      </c>
      <c r="G9" s="135">
        <v>1.3426</v>
      </c>
      <c r="H9" s="135">
        <v>1.3929</v>
      </c>
    </row>
    <row r="10" spans="1:8" ht="10.95" customHeight="1">
      <c r="A10" s="133">
        <v>4</v>
      </c>
      <c r="B10" s="135">
        <v>1.1587000000000001</v>
      </c>
      <c r="C10" s="135">
        <v>1.2021999999999999</v>
      </c>
      <c r="D10" s="135">
        <v>1.2473000000000001</v>
      </c>
      <c r="E10" s="135">
        <v>1.2941</v>
      </c>
      <c r="F10" s="135">
        <v>1.3426</v>
      </c>
      <c r="G10" s="135">
        <v>1.3929</v>
      </c>
      <c r="H10" s="135">
        <v>1.4451000000000001</v>
      </c>
    </row>
    <row r="11" spans="1:8" ht="10.95" customHeight="1">
      <c r="A11" s="133">
        <v>5</v>
      </c>
      <c r="B11" s="135">
        <v>1.2021999999999999</v>
      </c>
      <c r="C11" s="135">
        <v>1.2473000000000001</v>
      </c>
      <c r="D11" s="135">
        <v>1.2941</v>
      </c>
      <c r="E11" s="135">
        <v>1.3426</v>
      </c>
      <c r="F11" s="135">
        <v>1.3929</v>
      </c>
      <c r="G11" s="135">
        <v>1.4451000000000001</v>
      </c>
      <c r="H11" s="135">
        <v>1.4993000000000001</v>
      </c>
    </row>
    <row r="12" spans="1:8" ht="10.95" customHeight="1">
      <c r="A12" s="133">
        <v>6</v>
      </c>
      <c r="B12" s="135">
        <v>1.2473000000000001</v>
      </c>
      <c r="C12" s="135">
        <v>1.2941</v>
      </c>
      <c r="D12" s="135">
        <v>1.3426</v>
      </c>
      <c r="E12" s="135">
        <v>1.3929</v>
      </c>
      <c r="F12" s="135">
        <v>1.4451000000000001</v>
      </c>
      <c r="G12" s="135">
        <v>1.4993000000000001</v>
      </c>
      <c r="H12" s="135">
        <v>1.5555000000000001</v>
      </c>
    </row>
    <row r="13" spans="1:8" ht="10.95" customHeight="1">
      <c r="A13" s="133">
        <v>7</v>
      </c>
      <c r="B13" s="135">
        <v>1.2941</v>
      </c>
      <c r="C13" s="135">
        <v>1.3426</v>
      </c>
      <c r="D13" s="135">
        <v>1.3929</v>
      </c>
      <c r="E13" s="135">
        <v>1.4451000000000001</v>
      </c>
      <c r="F13" s="135">
        <v>1.4993000000000001</v>
      </c>
      <c r="G13" s="135">
        <v>1.5555000000000001</v>
      </c>
      <c r="H13" s="135">
        <v>1.6137999999999999</v>
      </c>
    </row>
    <row r="14" spans="1:8" ht="10.95" customHeight="1">
      <c r="A14" s="133">
        <v>8</v>
      </c>
      <c r="B14" s="135">
        <v>1.3426</v>
      </c>
      <c r="C14" s="135">
        <v>1.3929</v>
      </c>
      <c r="D14" s="135">
        <v>1.4451000000000001</v>
      </c>
      <c r="E14" s="135">
        <v>1.4993000000000001</v>
      </c>
      <c r="F14" s="135">
        <v>1.5555000000000001</v>
      </c>
      <c r="G14" s="135">
        <v>1.6137999999999999</v>
      </c>
      <c r="H14" s="135">
        <v>1.6742999999999999</v>
      </c>
    </row>
    <row r="15" spans="1:8" ht="10.95" customHeight="1">
      <c r="A15" s="133">
        <v>9</v>
      </c>
      <c r="B15" s="135">
        <v>1.3929</v>
      </c>
      <c r="C15" s="135">
        <v>1.4451000000000001</v>
      </c>
      <c r="D15" s="135">
        <v>1.4993000000000001</v>
      </c>
      <c r="E15" s="135">
        <v>1.5555000000000001</v>
      </c>
      <c r="F15" s="135">
        <v>1.6137999999999999</v>
      </c>
      <c r="G15" s="135">
        <v>1.6742999999999999</v>
      </c>
      <c r="H15" s="135">
        <v>1.7371000000000001</v>
      </c>
    </row>
    <row r="16" spans="1:8" ht="10.95" customHeight="1">
      <c r="A16" s="133">
        <v>10</v>
      </c>
      <c r="B16" s="135">
        <v>1.3929</v>
      </c>
      <c r="C16" s="135">
        <v>1.4993000000000001</v>
      </c>
      <c r="D16" s="135">
        <v>1.5555000000000001</v>
      </c>
      <c r="E16" s="135">
        <v>1.6137999999999999</v>
      </c>
      <c r="F16" s="135">
        <v>1.6742999999999999</v>
      </c>
      <c r="G16" s="135">
        <v>1.7371000000000001</v>
      </c>
      <c r="H16" s="135">
        <v>1.8022</v>
      </c>
    </row>
    <row r="17" spans="1:8" ht="10.95" customHeight="1">
      <c r="A17" s="133">
        <v>11</v>
      </c>
      <c r="B17" s="135">
        <v>1.3929</v>
      </c>
      <c r="C17" s="135">
        <v>1.4993000000000001</v>
      </c>
      <c r="D17" s="135">
        <v>1.5555000000000001</v>
      </c>
      <c r="E17" s="135">
        <v>1.6137999999999999</v>
      </c>
      <c r="F17" s="135">
        <v>1.7371000000000001</v>
      </c>
      <c r="G17" s="135">
        <v>1.8022</v>
      </c>
      <c r="H17" s="135">
        <v>1.8697999999999999</v>
      </c>
    </row>
    <row r="18" spans="1:8" ht="10.95" customHeight="1">
      <c r="A18" s="133">
        <v>12</v>
      </c>
      <c r="B18" s="135">
        <v>1.3929</v>
      </c>
      <c r="C18" s="135">
        <v>1.4993000000000001</v>
      </c>
      <c r="D18" s="135">
        <v>1.5555000000000001</v>
      </c>
      <c r="E18" s="135">
        <v>1.6137999999999999</v>
      </c>
      <c r="F18" s="135">
        <v>1.7371000000000001</v>
      </c>
      <c r="G18" s="135">
        <v>1.8697999999999999</v>
      </c>
      <c r="H18" s="135">
        <v>1.9399</v>
      </c>
    </row>
    <row r="19" spans="1:8" ht="10.95" customHeight="1">
      <c r="A19" s="133" t="s">
        <v>227</v>
      </c>
      <c r="B19" s="135">
        <v>1.3929</v>
      </c>
      <c r="C19" s="135">
        <v>1.4993000000000001</v>
      </c>
      <c r="D19" s="135">
        <v>1.5555000000000001</v>
      </c>
      <c r="E19" s="135">
        <v>1.6137999999999999</v>
      </c>
      <c r="F19" s="135">
        <v>1.7371000000000001</v>
      </c>
      <c r="G19" s="135">
        <v>1.8697999999999999</v>
      </c>
      <c r="H19" s="135">
        <v>2.0125999999999999</v>
      </c>
    </row>
    <row r="20" spans="1:8" ht="10.95" customHeight="1">
      <c r="A20" s="136"/>
      <c r="B20" s="137"/>
      <c r="C20" s="137"/>
      <c r="D20" s="137"/>
      <c r="E20" s="137"/>
      <c r="F20" s="137"/>
      <c r="G20" s="137"/>
      <c r="H20" s="137"/>
    </row>
    <row r="21" spans="1:8" ht="10.95" customHeight="1">
      <c r="A21" s="136"/>
      <c r="B21" s="129"/>
      <c r="C21" s="129"/>
      <c r="D21" s="129"/>
      <c r="E21" s="129"/>
      <c r="F21" s="129"/>
      <c r="G21" s="129"/>
      <c r="H21" s="129"/>
    </row>
    <row r="22" spans="1:8" ht="10.95" customHeight="1">
      <c r="A22" s="128" t="s">
        <v>228</v>
      </c>
      <c r="B22" s="128"/>
      <c r="C22" s="128"/>
      <c r="D22" s="128"/>
      <c r="E22" s="128"/>
      <c r="F22" s="128"/>
      <c r="G22" s="128"/>
      <c r="H22" s="128"/>
    </row>
    <row r="23" spans="1:8" ht="10.95" customHeight="1">
      <c r="A23" s="131"/>
      <c r="B23" s="132"/>
      <c r="C23" s="132"/>
      <c r="D23" s="132"/>
      <c r="E23" s="133" t="s">
        <v>215</v>
      </c>
      <c r="F23" s="133" t="s">
        <v>216</v>
      </c>
      <c r="G23" s="133" t="s">
        <v>217</v>
      </c>
      <c r="H23" s="133" t="s">
        <v>218</v>
      </c>
    </row>
    <row r="24" spans="1:8" ht="10.95" customHeight="1">
      <c r="A24" s="134" t="s">
        <v>219</v>
      </c>
      <c r="B24" s="134" t="s">
        <v>220</v>
      </c>
      <c r="C24" s="134" t="s">
        <v>221</v>
      </c>
      <c r="D24" s="134" t="s">
        <v>222</v>
      </c>
      <c r="E24" s="133" t="s">
        <v>336</v>
      </c>
      <c r="F24" s="133" t="s">
        <v>337</v>
      </c>
      <c r="G24" s="133" t="s">
        <v>339</v>
      </c>
      <c r="H24" s="133" t="s">
        <v>338</v>
      </c>
    </row>
    <row r="25" spans="1:8" ht="10.95" customHeight="1">
      <c r="A25" s="133">
        <v>0</v>
      </c>
      <c r="B25" s="138">
        <f>SUMIFS('Master Budget Sheet'!$AQ$87:$AQ$87,'Master Budget Sheet'!$F$87:$F$87,B$24,'Master Budget Sheet'!$E$87:$E$87,$A25-3)</f>
        <v>0</v>
      </c>
      <c r="C25" s="138">
        <f>SUMIFS('Master Budget Sheet'!$AQ$87:$AQ$87,'Master Budget Sheet'!$F$87:$F$87,C$24,'Master Budget Sheet'!$E$87:$E$87,$A25-3)</f>
        <v>0</v>
      </c>
      <c r="D25" s="138">
        <f>SUMIFS('Master Budget Sheet'!$AQ$87:$AQ$87,'Master Budget Sheet'!$F$87:$F$87,D$24,'Master Budget Sheet'!$E$87:$E$87,$A25-3)</f>
        <v>0</v>
      </c>
      <c r="E25" s="138">
        <f>SUMIFS('Master Budget Sheet'!$AQ$87:$AQ$87,'Master Budget Sheet'!$F$87:$F$87,E$24,'Master Budget Sheet'!$E$87:$E$87,$A25-3)</f>
        <v>0</v>
      </c>
      <c r="F25" s="138">
        <f>SUMIFS('Master Budget Sheet'!$AQ$87:$AQ$87,'Master Budget Sheet'!$F$87:$F$87,F$24,'Master Budget Sheet'!$E$87:$E$87,$A25-3)</f>
        <v>0</v>
      </c>
      <c r="G25" s="138">
        <f>SUMIFS('Master Budget Sheet'!$AQ$87:$AQ$87,'Master Budget Sheet'!$F$87:$F$87,G$24,'Master Budget Sheet'!$E$87:$E$87,$A25-3)</f>
        <v>0</v>
      </c>
      <c r="H25" s="138">
        <f>SUMIFS('Master Budget Sheet'!$AQ$87:$AQ$87,'Master Budget Sheet'!$F$87:$F$87,H$24,'Master Budget Sheet'!$E$87:$E$87,$A25-3)</f>
        <v>0</v>
      </c>
    </row>
    <row r="26" spans="1:8" ht="10.95" customHeight="1">
      <c r="A26" s="133">
        <v>1</v>
      </c>
      <c r="B26" s="138">
        <f>SUMIFS('Master Budget Sheet'!$AQ$87:$AQ$87,'Master Budget Sheet'!$F$87:$F$87,B$24,'Master Budget Sheet'!$E$87:$E$87,$A26-3)</f>
        <v>0</v>
      </c>
      <c r="C26" s="138">
        <f>SUMIFS('Master Budget Sheet'!$AQ$87:$AQ$87,'Master Budget Sheet'!$F$87:$F$87,C$24,'Master Budget Sheet'!$E$87:$E$87,$A26-3)</f>
        <v>0</v>
      </c>
      <c r="D26" s="138">
        <f>SUMIFS('Master Budget Sheet'!$AQ$87:$AQ$87,'Master Budget Sheet'!$F$87:$F$87,D$24,'Master Budget Sheet'!$E$87:$E$87,$A26-3)</f>
        <v>0</v>
      </c>
      <c r="E26" s="138">
        <f>SUMIFS('Master Budget Sheet'!$AQ$87:$AQ$87,'Master Budget Sheet'!$F$87:$F$87,E$24,'Master Budget Sheet'!$E$87:$E$87,$A26-3)</f>
        <v>0</v>
      </c>
      <c r="F26" s="138">
        <f>SUMIFS('Master Budget Sheet'!$AQ$87:$AQ$87,'Master Budget Sheet'!$F$87:$F$87,F$24,'Master Budget Sheet'!$E$87:$E$87,$A26-3)</f>
        <v>0</v>
      </c>
      <c r="G26" s="138">
        <f>SUMIFS('Master Budget Sheet'!$AQ$87:$AQ$87,'Master Budget Sheet'!$F$87:$F$87,G$24,'Master Budget Sheet'!$E$87:$E$87,$A26-3)</f>
        <v>0</v>
      </c>
      <c r="H26" s="138">
        <f>SUMIFS('Master Budget Sheet'!$AQ$87:$AQ$87,'Master Budget Sheet'!$F$87:$F$87,H$24,'Master Budget Sheet'!$E$87:$E$87,$A26-3)</f>
        <v>0</v>
      </c>
    </row>
    <row r="27" spans="1:8" ht="10.95" customHeight="1">
      <c r="A27" s="133">
        <v>2</v>
      </c>
      <c r="B27" s="138">
        <f>SUMIFS('Master Budget Sheet'!$AQ$87:$AQ$87,'Master Budget Sheet'!$F$87:$F$87,B$24,'Master Budget Sheet'!$E$87:$E$87,$A27-3)</f>
        <v>0</v>
      </c>
      <c r="C27" s="138">
        <f>SUMIFS('Master Budget Sheet'!$AQ$87:$AQ$87,'Master Budget Sheet'!$F$87:$F$87,C$24,'Master Budget Sheet'!$E$87:$E$87,$A27-3)</f>
        <v>0</v>
      </c>
      <c r="D27" s="138">
        <f>SUMIFS('Master Budget Sheet'!$AQ$87:$AQ$87,'Master Budget Sheet'!$F$87:$F$87,D$24,'Master Budget Sheet'!$E$87:$E$87,$A27-3)</f>
        <v>0</v>
      </c>
      <c r="E27" s="138">
        <f>SUMIFS('Master Budget Sheet'!$AQ$87:$AQ$87,'Master Budget Sheet'!$F$87:$F$87,E$24,'Master Budget Sheet'!$E$87:$E$87,$A27-3)</f>
        <v>0</v>
      </c>
      <c r="F27" s="138">
        <f>SUMIFS('Master Budget Sheet'!$AQ$87:$AQ$87,'Master Budget Sheet'!$F$87:$F$87,F$24,'Master Budget Sheet'!$E$87:$E$87,$A27-3)</f>
        <v>0</v>
      </c>
      <c r="G27" s="138">
        <f>SUMIFS('Master Budget Sheet'!$AQ$87:$AQ$87,'Master Budget Sheet'!$F$87:$F$87,G$24,'Master Budget Sheet'!$E$87:$E$87,$A27-3)</f>
        <v>0</v>
      </c>
      <c r="H27" s="138">
        <f>SUMIFS('Master Budget Sheet'!$AQ$87:$AQ$87,'Master Budget Sheet'!$F$87:$F$87,H$24,'Master Budget Sheet'!$E$87:$E$87,$A27-3)</f>
        <v>0</v>
      </c>
    </row>
    <row r="28" spans="1:8" ht="10.95" customHeight="1">
      <c r="A28" s="133">
        <v>3</v>
      </c>
      <c r="B28" s="138">
        <f>SUMIFS('Master Budget Sheet'!$AQ$87:$AQ$87,'Master Budget Sheet'!$F$87:$F$87,B$24,'Master Budget Sheet'!$E$87:$E$87,$A28-3)</f>
        <v>0</v>
      </c>
      <c r="C28" s="138">
        <f>SUMIFS('Master Budget Sheet'!$AQ$87:$AQ$87,'Master Budget Sheet'!$F$87:$F$87,C$24,'Master Budget Sheet'!$E$87:$E$87,$A28-3)</f>
        <v>0</v>
      </c>
      <c r="D28" s="138">
        <f>SUMIFS('Master Budget Sheet'!$AQ$87:$AQ$87,'Master Budget Sheet'!$F$87:$F$87,D$24,'Master Budget Sheet'!$E$87:$E$87,$A28-3)</f>
        <v>0</v>
      </c>
      <c r="E28" s="138">
        <f>SUMIFS('Master Budget Sheet'!$AQ$87:$AQ$87,'Master Budget Sheet'!$F$87:$F$87,E$24,'Master Budget Sheet'!$E$87:$E$87,$A28-3)</f>
        <v>0</v>
      </c>
      <c r="F28" s="138">
        <f>SUMIFS('Master Budget Sheet'!$AQ$87:$AQ$87,'Master Budget Sheet'!$F$87:$F$87,F$24,'Master Budget Sheet'!$E$87:$E$87,$A28-3)</f>
        <v>0</v>
      </c>
      <c r="G28" s="138">
        <f>SUMIFS('Master Budget Sheet'!$AQ$87:$AQ$87,'Master Budget Sheet'!$F$87:$F$87,G$24,'Master Budget Sheet'!$E$87:$E$87,$A28-3)</f>
        <v>0</v>
      </c>
      <c r="H28" s="138">
        <f>SUMIFS('Master Budget Sheet'!$AQ$87:$AQ$87,'Master Budget Sheet'!$F$87:$F$87,H$24,'Master Budget Sheet'!$E$87:$E$87,$A28-3)</f>
        <v>0</v>
      </c>
    </row>
    <row r="29" spans="1:8" ht="10.95" customHeight="1">
      <c r="A29" s="133">
        <v>4</v>
      </c>
      <c r="B29" s="138">
        <f>SUMIFS('Master Budget Sheet'!$AQ$87:$AQ$87,'Master Budget Sheet'!$F$87:$F$87,B$24,'Master Budget Sheet'!$E$87:$E$87,$A29-3)</f>
        <v>0</v>
      </c>
      <c r="C29" s="138">
        <f>SUMIFS('Master Budget Sheet'!$AQ$87:$AQ$87,'Master Budget Sheet'!$F$87:$F$87,C$24,'Master Budget Sheet'!$E$87:$E$87,$A29-3)</f>
        <v>0</v>
      </c>
      <c r="D29" s="138">
        <f>SUMIFS('Master Budget Sheet'!$AQ$87:$AQ$87,'Master Budget Sheet'!$F$87:$F$87,D$24,'Master Budget Sheet'!$E$87:$E$87,$A29-3)</f>
        <v>0</v>
      </c>
      <c r="E29" s="138">
        <f>SUMIFS('Master Budget Sheet'!$AQ$87:$AQ$87,'Master Budget Sheet'!$F$87:$F$87,E$24,'Master Budget Sheet'!$E$87:$E$87,$A29-3)</f>
        <v>0</v>
      </c>
      <c r="F29" s="138">
        <f>SUMIFS('Master Budget Sheet'!$AQ$87:$AQ$87,'Master Budget Sheet'!$F$87:$F$87,F$24,'Master Budget Sheet'!$E$87:$E$87,$A29-3)</f>
        <v>0</v>
      </c>
      <c r="G29" s="138">
        <f>SUMIFS('Master Budget Sheet'!$AQ$87:$AQ$87,'Master Budget Sheet'!$F$87:$F$87,G$24,'Master Budget Sheet'!$E$87:$E$87,$A29-3)</f>
        <v>0</v>
      </c>
      <c r="H29" s="138">
        <f>SUMIFS('Master Budget Sheet'!$AQ$87:$AQ$87,'Master Budget Sheet'!$F$87:$F$87,H$24,'Master Budget Sheet'!$E$87:$E$87,$A29-3)</f>
        <v>0</v>
      </c>
    </row>
    <row r="30" spans="1:8" ht="10.95" customHeight="1">
      <c r="A30" s="133">
        <v>5</v>
      </c>
      <c r="B30" s="138">
        <f>SUMIFS('Master Budget Sheet'!$AQ$87:$AQ$87,'Master Budget Sheet'!$F$87:$F$87,B$24,'Master Budget Sheet'!$E$87:$E$87,$A30-3)</f>
        <v>0</v>
      </c>
      <c r="C30" s="138">
        <f>SUMIFS('Master Budget Sheet'!$AQ$87:$AQ$87,'Master Budget Sheet'!$F$87:$F$87,C$24,'Master Budget Sheet'!$E$87:$E$87,$A30-3)</f>
        <v>0</v>
      </c>
      <c r="D30" s="138">
        <f>SUMIFS('Master Budget Sheet'!$AQ$87:$AQ$87,'Master Budget Sheet'!$F$87:$F$87,D$24,'Master Budget Sheet'!$E$87:$E$87,$A30-3)</f>
        <v>0</v>
      </c>
      <c r="E30" s="138">
        <f>SUMIFS('Master Budget Sheet'!$AQ$87:$AQ$87,'Master Budget Sheet'!$F$87:$F$87,E$24,'Master Budget Sheet'!$E$87:$E$87,$A30-3)</f>
        <v>0</v>
      </c>
      <c r="F30" s="138">
        <f>SUMIFS('Master Budget Sheet'!$AQ$87:$AQ$87,'Master Budget Sheet'!$F$87:$F$87,F$24,'Master Budget Sheet'!$E$87:$E$87,$A30-3)</f>
        <v>0</v>
      </c>
      <c r="G30" s="138">
        <f>SUMIFS('Master Budget Sheet'!$AQ$87:$AQ$87,'Master Budget Sheet'!$F$87:$F$87,G$24,'Master Budget Sheet'!$E$87:$E$87,$A30-3)</f>
        <v>0</v>
      </c>
      <c r="H30" s="138">
        <f>SUMIFS('Master Budget Sheet'!$AQ$87:$AQ$87,'Master Budget Sheet'!$F$87:$F$87,H$24,'Master Budget Sheet'!$E$87:$E$87,$A30-3)</f>
        <v>1</v>
      </c>
    </row>
    <row r="31" spans="1:8" ht="10.95" customHeight="1">
      <c r="A31" s="133">
        <v>6</v>
      </c>
      <c r="B31" s="138">
        <f>SUMIFS('Master Budget Sheet'!$AQ$87:$AQ$87,'Master Budget Sheet'!$F$87:$F$87,B$24,'Master Budget Sheet'!$E$87:$E$87,$A31-3)</f>
        <v>0</v>
      </c>
      <c r="C31" s="138">
        <f>SUMIFS('Master Budget Sheet'!$AQ$87:$AQ$87,'Master Budget Sheet'!$F$87:$F$87,C$24,'Master Budget Sheet'!$E$87:$E$87,$A31-3)</f>
        <v>0</v>
      </c>
      <c r="D31" s="138">
        <f>SUMIFS('Master Budget Sheet'!$AQ$87:$AQ$87,'Master Budget Sheet'!$F$87:$F$87,D$24,'Master Budget Sheet'!$E$87:$E$87,$A31-3)</f>
        <v>0</v>
      </c>
      <c r="E31" s="138">
        <f>SUMIFS('Master Budget Sheet'!$AQ$87:$AQ$87,'Master Budget Sheet'!$F$87:$F$87,E$24,'Master Budget Sheet'!$E$87:$E$87,$A31-3)</f>
        <v>0</v>
      </c>
      <c r="F31" s="138">
        <f>SUMIFS('Master Budget Sheet'!$AQ$87:$AQ$87,'Master Budget Sheet'!$F$87:$F$87,F$24,'Master Budget Sheet'!$E$87:$E$87,$A31-3)</f>
        <v>0</v>
      </c>
      <c r="G31" s="138">
        <f>SUMIFS('Master Budget Sheet'!$AQ$87:$AQ$87,'Master Budget Sheet'!$F$87:$F$87,G$24,'Master Budget Sheet'!$E$87:$E$87,$A31-3)</f>
        <v>0</v>
      </c>
      <c r="H31" s="138">
        <f>SUMIFS('Master Budget Sheet'!$AQ$87:$AQ$87,'Master Budget Sheet'!$F$87:$F$87,H$24,'Master Budget Sheet'!$E$87:$E$87,$A31-3)</f>
        <v>0</v>
      </c>
    </row>
    <row r="32" spans="1:8" ht="10.95" customHeight="1">
      <c r="A32" s="133">
        <v>7</v>
      </c>
      <c r="B32" s="138">
        <f>SUMIFS('Master Budget Sheet'!$AQ$87:$AQ$87,'Master Budget Sheet'!$F$87:$F$87,B$24,'Master Budget Sheet'!$E$87:$E$87,$A32-3)</f>
        <v>0</v>
      </c>
      <c r="C32" s="138">
        <f>SUMIFS('Master Budget Sheet'!$AQ$87:$AQ$87,'Master Budget Sheet'!$F$87:$F$87,C$24,'Master Budget Sheet'!$E$87:$E$87,$A32-3)</f>
        <v>0</v>
      </c>
      <c r="D32" s="138">
        <f>SUMIFS('Master Budget Sheet'!$AQ$87:$AQ$87,'Master Budget Sheet'!$F$87:$F$87,D$24,'Master Budget Sheet'!$E$87:$E$87,$A32-3)</f>
        <v>0</v>
      </c>
      <c r="E32" s="138">
        <f>SUMIFS('Master Budget Sheet'!$AQ$87:$AQ$87,'Master Budget Sheet'!$F$87:$F$87,E$24,'Master Budget Sheet'!$E$87:$E$87,$A32-3)</f>
        <v>0</v>
      </c>
      <c r="F32" s="138">
        <f>SUMIFS('Master Budget Sheet'!$AQ$87:$AQ$87,'Master Budget Sheet'!$F$87:$F$87,F$24,'Master Budget Sheet'!$E$87:$E$87,$A32-3)</f>
        <v>0</v>
      </c>
      <c r="G32" s="138">
        <f>SUMIFS('Master Budget Sheet'!$AQ$87:$AQ$87,'Master Budget Sheet'!$F$87:$F$87,G$24,'Master Budget Sheet'!$E$87:$E$87,$A32-3)</f>
        <v>0</v>
      </c>
      <c r="H32" s="138">
        <f>SUMIFS('Master Budget Sheet'!$AQ$87:$AQ$87,'Master Budget Sheet'!$F$87:$F$87,H$24,'Master Budget Sheet'!$E$87:$E$87,$A32-3)</f>
        <v>0</v>
      </c>
    </row>
    <row r="33" spans="1:10" ht="10.95" customHeight="1">
      <c r="A33" s="133">
        <v>8</v>
      </c>
      <c r="B33" s="138">
        <f>SUMIFS('Master Budget Sheet'!$AQ$87:$AQ$87,'Master Budget Sheet'!$F$87:$F$87,B$24,'Master Budget Sheet'!$E$87:$E$87,$A33-3)</f>
        <v>0</v>
      </c>
      <c r="C33" s="138">
        <f>SUMIFS('Master Budget Sheet'!$AQ$87:$AQ$87,'Master Budget Sheet'!$F$87:$F$87,C$24,'Master Budget Sheet'!$E$87:$E$87,$A33-3)</f>
        <v>0</v>
      </c>
      <c r="D33" s="138">
        <f>SUMIFS('Master Budget Sheet'!$AQ$87:$AQ$87,'Master Budget Sheet'!$F$87:$F$87,D$24,'Master Budget Sheet'!$E$87:$E$87,$A33-3)</f>
        <v>0</v>
      </c>
      <c r="E33" s="138">
        <f>SUMIFS('Master Budget Sheet'!$AQ$87:$AQ$87,'Master Budget Sheet'!$F$87:$F$87,E$24,'Master Budget Sheet'!$E$87:$E$87,$A33-3)</f>
        <v>0</v>
      </c>
      <c r="F33" s="138">
        <f>SUMIFS('Master Budget Sheet'!$AQ$87:$AQ$87,'Master Budget Sheet'!$F$87:$F$87,F$24,'Master Budget Sheet'!$E$87:$E$87,$A33-3)</f>
        <v>0</v>
      </c>
      <c r="G33" s="138">
        <f>SUMIFS('Master Budget Sheet'!$AQ$87:$AQ$87,'Master Budget Sheet'!$F$87:$F$87,G$24,'Master Budget Sheet'!$E$87:$E$87,$A33-3)</f>
        <v>0</v>
      </c>
      <c r="H33" s="138">
        <f>SUMIFS('Master Budget Sheet'!$AQ$87:$AQ$87,'Master Budget Sheet'!$F$87:$F$87,H$24,'Master Budget Sheet'!$E$87:$E$87,$A33-3)</f>
        <v>0</v>
      </c>
    </row>
    <row r="34" spans="1:10" ht="10.95" customHeight="1">
      <c r="A34" s="133">
        <v>9</v>
      </c>
      <c r="B34" s="138">
        <f>SUMIFS('Master Budget Sheet'!$AQ$87:$AQ$87,'Master Budget Sheet'!$F$87:$F$87,B$24,'Master Budget Sheet'!$E$87:$E$87,$A34-3)</f>
        <v>0</v>
      </c>
      <c r="C34" s="138">
        <f>SUMIFS('Master Budget Sheet'!$AQ$87:$AQ$87,'Master Budget Sheet'!$F$87:$F$87,C$24,'Master Budget Sheet'!$E$87:$E$87,$A34-3)</f>
        <v>0</v>
      </c>
      <c r="D34" s="138">
        <f>SUMIFS('Master Budget Sheet'!$AQ$87:$AQ$87,'Master Budget Sheet'!$F$87:$F$87,D$24,'Master Budget Sheet'!$E$87:$E$87,$A34-3)</f>
        <v>0</v>
      </c>
      <c r="E34" s="138">
        <f>SUMIFS('Master Budget Sheet'!$AQ$87:$AQ$87,'Master Budget Sheet'!$F$87:$F$87,E$24,'Master Budget Sheet'!$E$87:$E$87,$A34-3)</f>
        <v>0</v>
      </c>
      <c r="F34" s="138">
        <f>SUMIFS('Master Budget Sheet'!$AQ$87:$AQ$87,'Master Budget Sheet'!$F$87:$F$87,F$24,'Master Budget Sheet'!$E$87:$E$87,$A34-3)</f>
        <v>0</v>
      </c>
      <c r="G34" s="138">
        <f>SUMIFS('Master Budget Sheet'!$AQ$87:$AQ$87,'Master Budget Sheet'!$F$87:$F$87,G$24,'Master Budget Sheet'!$E$87:$E$87,$A34-3)</f>
        <v>0</v>
      </c>
      <c r="H34" s="138">
        <f>SUMIFS('Master Budget Sheet'!$AQ$87:$AQ$87,'Master Budget Sheet'!$F$87:$F$87,H$24,'Master Budget Sheet'!$E$87:$E$87,$A34-3)</f>
        <v>0</v>
      </c>
    </row>
    <row r="35" spans="1:10" ht="10.95" customHeight="1">
      <c r="A35" s="133">
        <v>10</v>
      </c>
      <c r="B35" s="138">
        <f>SUMIFS('Master Budget Sheet'!$AQ$87:$AQ$87,'Master Budget Sheet'!$F$87:$F$87,B$24,'Master Budget Sheet'!$E$87:$E$87,$A35-3)</f>
        <v>0</v>
      </c>
      <c r="C35" s="138">
        <f>SUMIFS('Master Budget Sheet'!$AQ$87:$AQ$87,'Master Budget Sheet'!$F$87:$F$87,C$24,'Master Budget Sheet'!$E$87:$E$87,$A35-3)</f>
        <v>0</v>
      </c>
      <c r="D35" s="138">
        <f>SUMIFS('Master Budget Sheet'!$AQ$87:$AQ$87,'Master Budget Sheet'!$F$87:$F$87,D$24,'Master Budget Sheet'!$E$87:$E$87,$A35-3)</f>
        <v>0</v>
      </c>
      <c r="E35" s="138">
        <f>SUMIFS('Master Budget Sheet'!$AQ$87:$AQ$87,'Master Budget Sheet'!$F$87:$F$87,E$24,'Master Budget Sheet'!$E$87:$E$87,$A35-3)</f>
        <v>0</v>
      </c>
      <c r="F35" s="138">
        <f>SUMIFS('Master Budget Sheet'!$AQ$87:$AQ$87,'Master Budget Sheet'!$F$87:$F$87,F$24,'Master Budget Sheet'!$E$87:$E$87,$A35-3)</f>
        <v>0</v>
      </c>
      <c r="G35" s="138">
        <f>SUMIFS('Master Budget Sheet'!$AQ$87:$AQ$87,'Master Budget Sheet'!$F$87:$F$87,G$24,'Master Budget Sheet'!$E$87:$E$87,$A35-3)</f>
        <v>0</v>
      </c>
      <c r="H35" s="138">
        <f>SUMIFS('Master Budget Sheet'!$AQ$87:$AQ$87,'Master Budget Sheet'!$F$87:$F$87,H$24,'Master Budget Sheet'!$E$87:$E$87,$A35-3)</f>
        <v>0</v>
      </c>
    </row>
    <row r="36" spans="1:10" ht="10.95" customHeight="1">
      <c r="A36" s="133">
        <v>11</v>
      </c>
      <c r="B36" s="138">
        <f>SUMIFS('Master Budget Sheet'!$AQ$87:$AQ$87,'Master Budget Sheet'!$F$87:$F$87,B$24,'Master Budget Sheet'!$E$87:$E$87,$A36-3)</f>
        <v>0</v>
      </c>
      <c r="C36" s="138">
        <f>SUMIFS('Master Budget Sheet'!$AQ$87:$AQ$87,'Master Budget Sheet'!$F$87:$F$87,C$24,'Master Budget Sheet'!$E$87:$E$87,$A36-3)</f>
        <v>0</v>
      </c>
      <c r="D36" s="138">
        <f>SUMIFS('Master Budget Sheet'!$AQ$87:$AQ$87,'Master Budget Sheet'!$F$87:$F$87,D$24,'Master Budget Sheet'!$E$87:$E$87,$A36-3)</f>
        <v>0</v>
      </c>
      <c r="E36" s="138">
        <f>SUMIFS('Master Budget Sheet'!$AQ$87:$AQ$87,'Master Budget Sheet'!$F$87:$F$87,E$24,'Master Budget Sheet'!$E$87:$E$87,$A36-3)</f>
        <v>0</v>
      </c>
      <c r="F36" s="138">
        <f>SUMIFS('Master Budget Sheet'!$AQ$87:$AQ$87,'Master Budget Sheet'!$F$87:$F$87,F$24,'Master Budget Sheet'!$E$87:$E$87,$A36-3)</f>
        <v>0</v>
      </c>
      <c r="G36" s="138">
        <f>SUMIFS('Master Budget Sheet'!$AQ$87:$AQ$87,'Master Budget Sheet'!$F$87:$F$87,G$24,'Master Budget Sheet'!$E$87:$E$87,$A36-3)</f>
        <v>0</v>
      </c>
      <c r="H36" s="138">
        <f>SUMIFS('Master Budget Sheet'!$AQ$87:$AQ$87,'Master Budget Sheet'!$F$87:$F$87,H$24,'Master Budget Sheet'!$E$87:$E$87,$A36-3)</f>
        <v>0</v>
      </c>
    </row>
    <row r="37" spans="1:10" ht="10.95" customHeight="1">
      <c r="A37" s="133">
        <v>12</v>
      </c>
      <c r="B37" s="138">
        <f>SUMIFS('Master Budget Sheet'!$AQ$87:$AQ$87,'Master Budget Sheet'!$F$87:$F$87,B$24,'Master Budget Sheet'!$E$87:$E$87,$A37-3)</f>
        <v>0</v>
      </c>
      <c r="C37" s="138">
        <f>SUMIFS('Master Budget Sheet'!$AQ$87:$AQ$87,'Master Budget Sheet'!$F$87:$F$87,C$24,'Master Budget Sheet'!$E$87:$E$87,$A37-3)</f>
        <v>0</v>
      </c>
      <c r="D37" s="138">
        <f>SUMIFS('Master Budget Sheet'!$AQ$87:$AQ$87,'Master Budget Sheet'!$F$87:$F$87,D$24,'Master Budget Sheet'!$E$87:$E$87,$A37-3)</f>
        <v>0</v>
      </c>
      <c r="E37" s="138">
        <f>SUMIFS('Master Budget Sheet'!$AQ$87:$AQ$87,'Master Budget Sheet'!$F$87:$F$87,E$24,'Master Budget Sheet'!$E$87:$E$87,$A37-3)</f>
        <v>0</v>
      </c>
      <c r="F37" s="138">
        <f>SUMIFS('Master Budget Sheet'!$AQ$87:$AQ$87,'Master Budget Sheet'!$F$87:$F$87,F$24,'Master Budget Sheet'!$E$87:$E$87,$A37-3)</f>
        <v>0</v>
      </c>
      <c r="G37" s="138">
        <f>SUMIFS('Master Budget Sheet'!$AQ$87:$AQ$87,'Master Budget Sheet'!$F$87:$F$87,G$24,'Master Budget Sheet'!$E$87:$E$87,$A37-3)</f>
        <v>0</v>
      </c>
      <c r="H37" s="138">
        <f>SUMIFS('Master Budget Sheet'!$AQ$87:$AQ$87,'Master Budget Sheet'!$F$87:$F$87,H$24,'Master Budget Sheet'!$E$87:$E$87,$A37-3)</f>
        <v>0</v>
      </c>
    </row>
    <row r="38" spans="1:10" ht="10.95" customHeight="1">
      <c r="A38" s="133" t="s">
        <v>227</v>
      </c>
      <c r="B38" s="138">
        <f>SUMIFS('Master Budget Sheet'!$AQ$87:$AQ$87,'Master Budget Sheet'!$F$87:$F$87,B$24,'Master Budget Sheet'!$E$87:$E$87,"&gt;9")</f>
        <v>0</v>
      </c>
      <c r="C38" s="138">
        <f>SUMIFS('Master Budget Sheet'!$AQ$87:$AQ$87,'Master Budget Sheet'!$F$87:$F$87,C$24,'Master Budget Sheet'!$E$87:$E$87,"&gt;9")</f>
        <v>0</v>
      </c>
      <c r="D38" s="138">
        <f>SUMIFS('Master Budget Sheet'!$AQ$87:$AQ$87,'Master Budget Sheet'!$F$87:$F$87,D$24,'Master Budget Sheet'!$E$87:$E$87,"&gt;9")</f>
        <v>0</v>
      </c>
      <c r="E38" s="138">
        <f>SUMIFS('Master Budget Sheet'!$AQ$87:$AQ$87,'Master Budget Sheet'!$F$87:$F$87,E$24,'Master Budget Sheet'!$E$87:$E$87,"&gt;9")</f>
        <v>0</v>
      </c>
      <c r="F38" s="138">
        <f>SUMIFS('Master Budget Sheet'!$AQ$87:$AQ$87,'Master Budget Sheet'!$F$87:$F$87,F$24,'Master Budget Sheet'!$E$87:$E$87,"&gt;9")</f>
        <v>0</v>
      </c>
      <c r="G38" s="138">
        <f>SUMIFS('Master Budget Sheet'!$AQ$87:$AQ$87,'Master Budget Sheet'!$F$87:$F$87,G$24,'Master Budget Sheet'!$E$87:$E$87,"&gt;9")</f>
        <v>0</v>
      </c>
      <c r="H38" s="138">
        <f>SUMIFS('Master Budget Sheet'!$AQ$87:$AQ$87,'Master Budget Sheet'!$F$87:$F$87,H$24,'Master Budget Sheet'!$E$87:$E$87,"&gt;9")</f>
        <v>0</v>
      </c>
    </row>
    <row r="39" spans="1:10" s="143" customFormat="1" ht="10.95" customHeight="1">
      <c r="A39" s="140" t="s">
        <v>229</v>
      </c>
      <c r="B39" s="141">
        <f t="shared" ref="B39:H39" si="0">ROUND(SUM(B25:B38),5)</f>
        <v>0</v>
      </c>
      <c r="C39" s="141">
        <f t="shared" si="0"/>
        <v>0</v>
      </c>
      <c r="D39" s="141">
        <f t="shared" si="0"/>
        <v>0</v>
      </c>
      <c r="E39" s="141">
        <f t="shared" si="0"/>
        <v>0</v>
      </c>
      <c r="F39" s="141">
        <f t="shared" si="0"/>
        <v>0</v>
      </c>
      <c r="G39" s="141">
        <f t="shared" si="0"/>
        <v>0</v>
      </c>
      <c r="H39" s="141">
        <f t="shared" si="0"/>
        <v>1</v>
      </c>
      <c r="I39" s="142"/>
    </row>
    <row r="40" spans="1:10" ht="10.95" customHeight="1">
      <c r="A40" s="136"/>
      <c r="B40" s="129"/>
      <c r="C40" s="129"/>
      <c r="D40" s="129"/>
      <c r="E40" s="129"/>
      <c r="F40" s="144" t="s">
        <v>230</v>
      </c>
      <c r="G40" s="145" t="s">
        <v>231</v>
      </c>
      <c r="H40" s="146">
        <f>ROUND(SUM(B39:H39),5)</f>
        <v>1</v>
      </c>
    </row>
    <row r="41" spans="1:10" ht="10.95" customHeight="1">
      <c r="A41" s="136"/>
      <c r="B41" s="129"/>
      <c r="C41" s="129"/>
      <c r="D41" s="129"/>
      <c r="E41" s="147"/>
      <c r="F41" s="148"/>
      <c r="G41" s="149"/>
      <c r="H41" s="150"/>
      <c r="I41" s="147"/>
    </row>
    <row r="42" spans="1:10" ht="10.95" customHeight="1">
      <c r="A42" s="128" t="s">
        <v>232</v>
      </c>
      <c r="B42" s="128"/>
      <c r="C42" s="128"/>
      <c r="D42" s="128"/>
      <c r="E42" s="128"/>
      <c r="F42" s="128"/>
      <c r="G42" s="128"/>
      <c r="H42" s="128"/>
    </row>
    <row r="43" spans="1:10" ht="10.95" customHeight="1">
      <c r="A43" s="133"/>
      <c r="B43" s="151"/>
      <c r="C43" s="151"/>
      <c r="D43" s="151"/>
      <c r="E43" s="133" t="s">
        <v>215</v>
      </c>
      <c r="F43" s="133" t="s">
        <v>216</v>
      </c>
      <c r="G43" s="133" t="s">
        <v>217</v>
      </c>
      <c r="H43" s="133" t="s">
        <v>218</v>
      </c>
    </row>
    <row r="44" spans="1:10" ht="10.95" customHeight="1">
      <c r="A44" s="133" t="s">
        <v>219</v>
      </c>
      <c r="B44" s="133" t="s">
        <v>220</v>
      </c>
      <c r="C44" s="133" t="s">
        <v>221</v>
      </c>
      <c r="D44" s="133" t="s">
        <v>222</v>
      </c>
      <c r="E44" s="133" t="s">
        <v>223</v>
      </c>
      <c r="F44" s="133" t="s">
        <v>224</v>
      </c>
      <c r="G44" s="133" t="s">
        <v>225</v>
      </c>
      <c r="H44" s="133" t="s">
        <v>226</v>
      </c>
    </row>
    <row r="45" spans="1:10" ht="10.95" customHeight="1">
      <c r="A45" s="133">
        <v>0</v>
      </c>
      <c r="B45" s="141">
        <f t="shared" ref="B45:H58" si="1">ROUND((+B6*B25),5)</f>
        <v>0</v>
      </c>
      <c r="C45" s="141">
        <f t="shared" si="1"/>
        <v>0</v>
      </c>
      <c r="D45" s="141">
        <f t="shared" si="1"/>
        <v>0</v>
      </c>
      <c r="E45" s="141">
        <f t="shared" si="1"/>
        <v>0</v>
      </c>
      <c r="F45" s="141">
        <f t="shared" si="1"/>
        <v>0</v>
      </c>
      <c r="G45" s="141">
        <f t="shared" si="1"/>
        <v>0</v>
      </c>
      <c r="H45" s="141">
        <f t="shared" si="1"/>
        <v>0</v>
      </c>
      <c r="I45" s="142"/>
      <c r="J45" s="136"/>
    </row>
    <row r="46" spans="1:10" ht="10.95" customHeight="1">
      <c r="A46" s="133">
        <v>1</v>
      </c>
      <c r="B46" s="141">
        <f t="shared" si="1"/>
        <v>0</v>
      </c>
      <c r="C46" s="141">
        <f t="shared" si="1"/>
        <v>0</v>
      </c>
      <c r="D46" s="141">
        <f t="shared" si="1"/>
        <v>0</v>
      </c>
      <c r="E46" s="141">
        <f t="shared" si="1"/>
        <v>0</v>
      </c>
      <c r="F46" s="141">
        <f t="shared" si="1"/>
        <v>0</v>
      </c>
      <c r="G46" s="141">
        <f t="shared" si="1"/>
        <v>0</v>
      </c>
      <c r="H46" s="141">
        <f t="shared" si="1"/>
        <v>0</v>
      </c>
      <c r="I46" s="142"/>
      <c r="J46" s="136"/>
    </row>
    <row r="47" spans="1:10" ht="10.95" customHeight="1">
      <c r="A47" s="133">
        <v>2</v>
      </c>
      <c r="B47" s="141">
        <f t="shared" si="1"/>
        <v>0</v>
      </c>
      <c r="C47" s="141">
        <f t="shared" si="1"/>
        <v>0</v>
      </c>
      <c r="D47" s="141">
        <f t="shared" si="1"/>
        <v>0</v>
      </c>
      <c r="E47" s="141">
        <f t="shared" si="1"/>
        <v>0</v>
      </c>
      <c r="F47" s="141">
        <f t="shared" si="1"/>
        <v>0</v>
      </c>
      <c r="G47" s="141">
        <f t="shared" si="1"/>
        <v>0</v>
      </c>
      <c r="H47" s="141">
        <f t="shared" si="1"/>
        <v>0</v>
      </c>
      <c r="I47" s="142"/>
      <c r="J47" s="136"/>
    </row>
    <row r="48" spans="1:10" ht="10.95" customHeight="1">
      <c r="A48" s="133">
        <v>3</v>
      </c>
      <c r="B48" s="141">
        <f t="shared" si="1"/>
        <v>0</v>
      </c>
      <c r="C48" s="141">
        <f t="shared" si="1"/>
        <v>0</v>
      </c>
      <c r="D48" s="141">
        <f t="shared" si="1"/>
        <v>0</v>
      </c>
      <c r="E48" s="141">
        <f t="shared" si="1"/>
        <v>0</v>
      </c>
      <c r="F48" s="141">
        <f t="shared" si="1"/>
        <v>0</v>
      </c>
      <c r="G48" s="141">
        <f t="shared" si="1"/>
        <v>0</v>
      </c>
      <c r="H48" s="141">
        <f t="shared" si="1"/>
        <v>0</v>
      </c>
      <c r="I48" s="142"/>
      <c r="J48" s="136"/>
    </row>
    <row r="49" spans="1:10" ht="10.95" customHeight="1">
      <c r="A49" s="133">
        <v>4</v>
      </c>
      <c r="B49" s="141">
        <f t="shared" si="1"/>
        <v>0</v>
      </c>
      <c r="C49" s="141">
        <f t="shared" si="1"/>
        <v>0</v>
      </c>
      <c r="D49" s="141">
        <f t="shared" si="1"/>
        <v>0</v>
      </c>
      <c r="E49" s="141">
        <f t="shared" si="1"/>
        <v>0</v>
      </c>
      <c r="F49" s="141">
        <f t="shared" si="1"/>
        <v>0</v>
      </c>
      <c r="G49" s="141">
        <f t="shared" si="1"/>
        <v>0</v>
      </c>
      <c r="H49" s="141">
        <f t="shared" si="1"/>
        <v>0</v>
      </c>
      <c r="I49" s="142"/>
      <c r="J49" s="136"/>
    </row>
    <row r="50" spans="1:10" ht="10.95" customHeight="1">
      <c r="A50" s="133">
        <v>5</v>
      </c>
      <c r="B50" s="141">
        <f t="shared" si="1"/>
        <v>0</v>
      </c>
      <c r="C50" s="141">
        <f t="shared" si="1"/>
        <v>0</v>
      </c>
      <c r="D50" s="141">
        <f t="shared" si="1"/>
        <v>0</v>
      </c>
      <c r="E50" s="141">
        <f t="shared" si="1"/>
        <v>0</v>
      </c>
      <c r="F50" s="141">
        <f t="shared" si="1"/>
        <v>0</v>
      </c>
      <c r="G50" s="141">
        <f t="shared" si="1"/>
        <v>0</v>
      </c>
      <c r="H50" s="141">
        <f t="shared" si="1"/>
        <v>1.4993000000000001</v>
      </c>
      <c r="I50" s="142"/>
      <c r="J50" s="136"/>
    </row>
    <row r="51" spans="1:10" ht="10.95" customHeight="1">
      <c r="A51" s="133">
        <v>6</v>
      </c>
      <c r="B51" s="141">
        <f t="shared" si="1"/>
        <v>0</v>
      </c>
      <c r="C51" s="141">
        <f t="shared" si="1"/>
        <v>0</v>
      </c>
      <c r="D51" s="141">
        <f t="shared" si="1"/>
        <v>0</v>
      </c>
      <c r="E51" s="141">
        <f t="shared" si="1"/>
        <v>0</v>
      </c>
      <c r="F51" s="141">
        <f t="shared" si="1"/>
        <v>0</v>
      </c>
      <c r="G51" s="141">
        <f t="shared" si="1"/>
        <v>0</v>
      </c>
      <c r="H51" s="141">
        <f t="shared" si="1"/>
        <v>0</v>
      </c>
      <c r="I51" s="142"/>
      <c r="J51" s="136"/>
    </row>
    <row r="52" spans="1:10" ht="10.95" customHeight="1">
      <c r="A52" s="133">
        <v>7</v>
      </c>
      <c r="B52" s="141">
        <f t="shared" si="1"/>
        <v>0</v>
      </c>
      <c r="C52" s="141">
        <f t="shared" si="1"/>
        <v>0</v>
      </c>
      <c r="D52" s="141">
        <f t="shared" si="1"/>
        <v>0</v>
      </c>
      <c r="E52" s="141">
        <f t="shared" si="1"/>
        <v>0</v>
      </c>
      <c r="F52" s="141">
        <f t="shared" si="1"/>
        <v>0</v>
      </c>
      <c r="G52" s="141">
        <f t="shared" si="1"/>
        <v>0</v>
      </c>
      <c r="H52" s="141">
        <f t="shared" si="1"/>
        <v>0</v>
      </c>
      <c r="I52" s="142"/>
      <c r="J52" s="136"/>
    </row>
    <row r="53" spans="1:10" ht="10.95" customHeight="1">
      <c r="A53" s="133">
        <v>8</v>
      </c>
      <c r="B53" s="141">
        <f t="shared" si="1"/>
        <v>0</v>
      </c>
      <c r="C53" s="141">
        <f t="shared" si="1"/>
        <v>0</v>
      </c>
      <c r="D53" s="141">
        <f t="shared" si="1"/>
        <v>0</v>
      </c>
      <c r="E53" s="141">
        <f t="shared" si="1"/>
        <v>0</v>
      </c>
      <c r="F53" s="141">
        <f t="shared" si="1"/>
        <v>0</v>
      </c>
      <c r="G53" s="141">
        <f t="shared" si="1"/>
        <v>0</v>
      </c>
      <c r="H53" s="141">
        <f t="shared" si="1"/>
        <v>0</v>
      </c>
      <c r="I53" s="142"/>
      <c r="J53" s="136"/>
    </row>
    <row r="54" spans="1:10" ht="10.95" customHeight="1">
      <c r="A54" s="133">
        <v>9</v>
      </c>
      <c r="B54" s="141">
        <f t="shared" si="1"/>
        <v>0</v>
      </c>
      <c r="C54" s="141">
        <f t="shared" si="1"/>
        <v>0</v>
      </c>
      <c r="D54" s="141">
        <f t="shared" si="1"/>
        <v>0</v>
      </c>
      <c r="E54" s="141">
        <f t="shared" si="1"/>
        <v>0</v>
      </c>
      <c r="F54" s="141">
        <f t="shared" si="1"/>
        <v>0</v>
      </c>
      <c r="G54" s="141">
        <f t="shared" si="1"/>
        <v>0</v>
      </c>
      <c r="H54" s="141">
        <f t="shared" si="1"/>
        <v>0</v>
      </c>
      <c r="I54" s="142"/>
      <c r="J54" s="136"/>
    </row>
    <row r="55" spans="1:10" ht="10.95" customHeight="1">
      <c r="A55" s="133">
        <v>10</v>
      </c>
      <c r="B55" s="141">
        <f t="shared" si="1"/>
        <v>0</v>
      </c>
      <c r="C55" s="141">
        <f t="shared" si="1"/>
        <v>0</v>
      </c>
      <c r="D55" s="141">
        <f t="shared" si="1"/>
        <v>0</v>
      </c>
      <c r="E55" s="141">
        <f t="shared" si="1"/>
        <v>0</v>
      </c>
      <c r="F55" s="141">
        <f t="shared" si="1"/>
        <v>0</v>
      </c>
      <c r="G55" s="141">
        <f t="shared" si="1"/>
        <v>0</v>
      </c>
      <c r="H55" s="141">
        <f t="shared" si="1"/>
        <v>0</v>
      </c>
      <c r="I55" s="142"/>
      <c r="J55" s="136"/>
    </row>
    <row r="56" spans="1:10" ht="10.95" customHeight="1">
      <c r="A56" s="133">
        <v>11</v>
      </c>
      <c r="B56" s="141">
        <f t="shared" si="1"/>
        <v>0</v>
      </c>
      <c r="C56" s="141">
        <f t="shared" si="1"/>
        <v>0</v>
      </c>
      <c r="D56" s="141">
        <f t="shared" si="1"/>
        <v>0</v>
      </c>
      <c r="E56" s="141">
        <f t="shared" si="1"/>
        <v>0</v>
      </c>
      <c r="F56" s="141">
        <f t="shared" si="1"/>
        <v>0</v>
      </c>
      <c r="G56" s="141">
        <f t="shared" si="1"/>
        <v>0</v>
      </c>
      <c r="H56" s="141">
        <f t="shared" si="1"/>
        <v>0</v>
      </c>
      <c r="I56" s="142"/>
      <c r="J56" s="136"/>
    </row>
    <row r="57" spans="1:10" ht="10.95" customHeight="1">
      <c r="A57" s="133">
        <v>12</v>
      </c>
      <c r="B57" s="141">
        <f t="shared" si="1"/>
        <v>0</v>
      </c>
      <c r="C57" s="141">
        <f t="shared" si="1"/>
        <v>0</v>
      </c>
      <c r="D57" s="141">
        <f t="shared" si="1"/>
        <v>0</v>
      </c>
      <c r="E57" s="141">
        <f t="shared" si="1"/>
        <v>0</v>
      </c>
      <c r="F57" s="141">
        <f t="shared" si="1"/>
        <v>0</v>
      </c>
      <c r="G57" s="141">
        <f t="shared" si="1"/>
        <v>0</v>
      </c>
      <c r="H57" s="141">
        <f t="shared" si="1"/>
        <v>0</v>
      </c>
      <c r="I57" s="142"/>
      <c r="J57" s="136"/>
    </row>
    <row r="58" spans="1:10" ht="10.95" customHeight="1">
      <c r="A58" s="133" t="s">
        <v>227</v>
      </c>
      <c r="B58" s="141">
        <f t="shared" si="1"/>
        <v>0</v>
      </c>
      <c r="C58" s="141">
        <f t="shared" si="1"/>
        <v>0</v>
      </c>
      <c r="D58" s="141">
        <f t="shared" si="1"/>
        <v>0</v>
      </c>
      <c r="E58" s="141">
        <f t="shared" si="1"/>
        <v>0</v>
      </c>
      <c r="F58" s="141">
        <f t="shared" si="1"/>
        <v>0</v>
      </c>
      <c r="G58" s="141">
        <f t="shared" si="1"/>
        <v>0</v>
      </c>
      <c r="H58" s="141">
        <f t="shared" si="1"/>
        <v>0</v>
      </c>
      <c r="I58" s="142"/>
      <c r="J58" s="136"/>
    </row>
    <row r="59" spans="1:10" s="153" customFormat="1" ht="10.95" customHeight="1">
      <c r="A59" s="133" t="s">
        <v>229</v>
      </c>
      <c r="B59" s="141">
        <f t="shared" ref="B59:H59" si="2">ROUND(SUM(B45:B58),5)</f>
        <v>0</v>
      </c>
      <c r="C59" s="141">
        <f t="shared" si="2"/>
        <v>0</v>
      </c>
      <c r="D59" s="141">
        <f t="shared" si="2"/>
        <v>0</v>
      </c>
      <c r="E59" s="141">
        <f t="shared" si="2"/>
        <v>0</v>
      </c>
      <c r="F59" s="141">
        <f t="shared" si="2"/>
        <v>0</v>
      </c>
      <c r="G59" s="141">
        <f t="shared" si="2"/>
        <v>0</v>
      </c>
      <c r="H59" s="141">
        <f t="shared" si="2"/>
        <v>1.4993000000000001</v>
      </c>
      <c r="I59" s="152"/>
    </row>
    <row r="60" spans="1:10" ht="16.95" customHeight="1">
      <c r="A60" s="136"/>
      <c r="B60" s="154"/>
      <c r="C60" s="154"/>
      <c r="D60" s="154"/>
      <c r="E60" s="154"/>
      <c r="F60" s="155" t="s">
        <v>233</v>
      </c>
      <c r="G60" s="156" t="s">
        <v>234</v>
      </c>
      <c r="H60" s="157">
        <f>ROUND(SUM(B59:H59),5)</f>
        <v>1.4993000000000001</v>
      </c>
    </row>
    <row r="61" spans="1:10" ht="10.95" customHeight="1">
      <c r="A61" s="136"/>
      <c r="B61" s="158"/>
      <c r="C61" s="158"/>
      <c r="D61" s="158"/>
      <c r="E61" s="158"/>
      <c r="F61" s="159" t="s">
        <v>235</v>
      </c>
      <c r="G61" s="160" t="s">
        <v>236</v>
      </c>
      <c r="H61" s="161">
        <f>IF(H40=0,0,ROUND(H60/H40,6))</f>
        <v>1.4993000000000001</v>
      </c>
    </row>
    <row r="62" spans="1:10" ht="10.95" customHeight="1">
      <c r="A62" s="136"/>
      <c r="B62" s="129"/>
      <c r="C62" s="129"/>
      <c r="D62" s="129"/>
      <c r="E62" s="129"/>
      <c r="F62" s="129"/>
      <c r="G62" s="129"/>
      <c r="H62" s="129"/>
    </row>
    <row r="63" spans="1:10" ht="10.95" customHeight="1">
      <c r="A63" s="162"/>
      <c r="B63" s="129"/>
      <c r="C63" s="129"/>
      <c r="D63" s="129"/>
      <c r="E63" s="129"/>
      <c r="F63" s="129"/>
      <c r="G63" s="129"/>
      <c r="H63" s="129"/>
    </row>
    <row r="64" spans="1:10" ht="10.95" customHeight="1">
      <c r="A64" s="162"/>
    </row>
    <row r="65" spans="1:1" ht="10.95" customHeight="1">
      <c r="A65" s="162"/>
    </row>
    <row r="66" spans="1:1" ht="10.95" customHeight="1">
      <c r="A66" s="162"/>
    </row>
    <row r="67" spans="1:1" ht="10.95" customHeight="1">
      <c r="A67" s="162"/>
    </row>
    <row r="68" spans="1:1" ht="10.95" customHeight="1">
      <c r="A68" s="162"/>
    </row>
    <row r="69" spans="1:1" ht="10.95" customHeight="1">
      <c r="A69" s="162"/>
    </row>
    <row r="70" spans="1:1" ht="10.95" customHeight="1">
      <c r="A70" s="162"/>
    </row>
    <row r="71" spans="1:1" ht="10.95" customHeight="1">
      <c r="A71" s="162"/>
    </row>
    <row r="72" spans="1:1" ht="10.95" customHeight="1">
      <c r="A72" s="162"/>
    </row>
    <row r="73" spans="1:1" ht="10.95" customHeight="1">
      <c r="A73" s="162"/>
    </row>
    <row r="74" spans="1:1" ht="10.95" customHeight="1">
      <c r="A74" s="162"/>
    </row>
    <row r="75" spans="1:1" ht="10.95" customHeight="1">
      <c r="A75" s="162"/>
    </row>
    <row r="76" spans="1:1" ht="10.95" customHeight="1">
      <c r="A76" s="162"/>
    </row>
    <row r="77" spans="1:1" ht="10.95" customHeight="1">
      <c r="A77" s="162"/>
    </row>
    <row r="78" spans="1:1" ht="10.95" customHeight="1">
      <c r="A78" s="162"/>
    </row>
    <row r="79" spans="1:1" ht="10.95" customHeight="1">
      <c r="A79" s="162"/>
    </row>
    <row r="80" spans="1:1" ht="10.95" customHeight="1">
      <c r="A80" s="162"/>
    </row>
    <row r="81" spans="1:1" ht="10.95" customHeight="1">
      <c r="A81" s="162"/>
    </row>
    <row r="82" spans="1:1" ht="10.95" customHeight="1">
      <c r="A82" s="162"/>
    </row>
    <row r="83" spans="1:1" ht="10.95" customHeight="1">
      <c r="A83" s="162"/>
    </row>
    <row r="84" spans="1:1" ht="10.95" customHeight="1">
      <c r="A84" s="162"/>
    </row>
    <row r="85" spans="1:1" ht="10.95" customHeight="1">
      <c r="A85" s="162"/>
    </row>
    <row r="86" spans="1:1" ht="10.95" customHeight="1">
      <c r="A86" s="162"/>
    </row>
    <row r="87" spans="1:1" ht="10.95" customHeight="1">
      <c r="A87" s="162"/>
    </row>
    <row r="88" spans="1:1" ht="10.95" customHeight="1">
      <c r="A88" s="162"/>
    </row>
    <row r="89" spans="1:1" ht="10.95" customHeight="1">
      <c r="A89" s="162"/>
    </row>
    <row r="90" spans="1:1" ht="10.95" customHeight="1">
      <c r="A90" s="162"/>
    </row>
    <row r="91" spans="1:1" ht="10.95" customHeight="1">
      <c r="A91" s="162"/>
    </row>
    <row r="92" spans="1:1" ht="10.95" customHeight="1">
      <c r="A92" s="162"/>
    </row>
    <row r="93" spans="1:1" ht="10.95" customHeight="1">
      <c r="A93" s="162"/>
    </row>
    <row r="94" spans="1:1" ht="10.95" customHeight="1">
      <c r="A94" s="162"/>
    </row>
    <row r="95" spans="1:1" ht="10.95" customHeight="1">
      <c r="A95" s="162"/>
    </row>
    <row r="96" spans="1:1" ht="10.95" customHeight="1">
      <c r="A96" s="162"/>
    </row>
    <row r="97" spans="1:1" ht="10.95" customHeight="1">
      <c r="A97" s="162"/>
    </row>
    <row r="98" spans="1:1" ht="10.95" customHeight="1">
      <c r="A98" s="162"/>
    </row>
    <row r="99" spans="1:1" ht="10.95" customHeight="1">
      <c r="A99" s="162"/>
    </row>
    <row r="100" spans="1:1" ht="10.95" customHeight="1">
      <c r="A100" s="162"/>
    </row>
    <row r="101" spans="1:1" ht="10.95" customHeight="1">
      <c r="A101" s="162"/>
    </row>
    <row r="102" spans="1:1" ht="10.95" customHeight="1">
      <c r="A102" s="162"/>
    </row>
    <row r="103" spans="1:1" ht="10.95" customHeight="1">
      <c r="A103" s="162"/>
    </row>
    <row r="104" spans="1:1" ht="10.95" customHeight="1">
      <c r="A104" s="162"/>
    </row>
    <row r="105" spans="1:1" ht="10.95" customHeight="1">
      <c r="A105" s="162"/>
    </row>
    <row r="106" spans="1:1" ht="10.95" customHeight="1">
      <c r="A106" s="162"/>
    </row>
    <row r="107" spans="1:1" ht="10.95" customHeight="1">
      <c r="A107" s="162"/>
    </row>
    <row r="108" spans="1:1" ht="10.95" customHeight="1">
      <c r="A108" s="162"/>
    </row>
    <row r="109" spans="1:1" ht="10.95" customHeight="1">
      <c r="A109" s="162"/>
    </row>
    <row r="110" spans="1:1" ht="10.95" customHeight="1">
      <c r="A110" s="162"/>
    </row>
    <row r="111" spans="1:1" ht="10.95" customHeight="1">
      <c r="A111" s="162"/>
    </row>
    <row r="112" spans="1:1" ht="10.95" customHeight="1">
      <c r="A112" s="162"/>
    </row>
    <row r="113" spans="1:1" ht="10.95" customHeight="1">
      <c r="A113" s="162"/>
    </row>
    <row r="114" spans="1:1" ht="10.95" customHeight="1">
      <c r="A114" s="162"/>
    </row>
    <row r="115" spans="1:1" ht="10.95" customHeight="1">
      <c r="A115" s="162"/>
    </row>
    <row r="116" spans="1:1" ht="10.95" customHeight="1">
      <c r="A116" s="162"/>
    </row>
    <row r="117" spans="1:1" ht="10.95" customHeight="1">
      <c r="A117" s="162"/>
    </row>
    <row r="118" spans="1:1" ht="10.95" customHeight="1">
      <c r="A118" s="162"/>
    </row>
    <row r="119" spans="1:1" ht="10.95" customHeight="1">
      <c r="A119" s="162"/>
    </row>
    <row r="120" spans="1:1" ht="10.95" customHeight="1">
      <c r="A120" s="162"/>
    </row>
    <row r="121" spans="1:1" ht="10.95" customHeight="1">
      <c r="A121" s="162"/>
    </row>
    <row r="122" spans="1:1" ht="10.95" customHeight="1">
      <c r="A122" s="162"/>
    </row>
    <row r="123" spans="1:1" ht="10.95" customHeight="1">
      <c r="A123" s="162"/>
    </row>
    <row r="124" spans="1:1" ht="10.95" customHeight="1">
      <c r="A124" s="162"/>
    </row>
    <row r="125" spans="1:1" ht="10.95" customHeight="1">
      <c r="A125" s="162"/>
    </row>
    <row r="126" spans="1:1" ht="10.95" customHeight="1">
      <c r="A126" s="162"/>
    </row>
    <row r="127" spans="1:1" ht="10.95" customHeight="1">
      <c r="A127" s="162"/>
    </row>
  </sheetData>
  <pageMargins left="0.7" right="0.7" top="0.75" bottom="0.75" header="0.3" footer="0.3"/>
  <pageSetup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98"/>
  <dimension ref="A1:M45"/>
  <sheetViews>
    <sheetView showGridLines="0" workbookViewId="0">
      <selection activeCell="A13" sqref="A13:A25"/>
    </sheetView>
  </sheetViews>
  <sheetFormatPr defaultColWidth="10.44140625" defaultRowHeight="13.2"/>
  <cols>
    <col min="1" max="1" width="11" style="268" customWidth="1"/>
    <col min="2" max="2" width="12.21875" style="268" customWidth="1"/>
    <col min="3" max="3" width="11.77734375" style="268" customWidth="1"/>
    <col min="4" max="4" width="16.77734375" style="268" customWidth="1"/>
    <col min="5" max="5" width="14.44140625" style="268" customWidth="1"/>
    <col min="6" max="6" width="12.77734375" style="268" customWidth="1"/>
    <col min="7" max="7" width="6.77734375" style="268" customWidth="1"/>
    <col min="8" max="9" width="5.77734375" style="268" customWidth="1"/>
    <col min="10" max="10" width="8.77734375" style="268" customWidth="1"/>
    <col min="11" max="11" width="7.21875" style="268" customWidth="1"/>
    <col min="12" max="12" width="10.44140625" style="272"/>
    <col min="13" max="13" width="13.5546875" style="268" customWidth="1"/>
    <col min="14" max="16384" width="10.44140625" style="268"/>
  </cols>
  <sheetData>
    <row r="1" spans="1:13" ht="13.8">
      <c r="A1" s="336"/>
      <c r="E1" s="181"/>
      <c r="F1" s="181"/>
      <c r="G1" s="181"/>
      <c r="H1" s="181"/>
      <c r="I1" s="181"/>
      <c r="J1" s="181"/>
      <c r="K1" s="181"/>
    </row>
    <row r="2" spans="1:13" s="333" customFormat="1" ht="19.2" customHeight="1">
      <c r="A2" s="335" t="s">
        <v>257</v>
      </c>
      <c r="B2" s="335"/>
      <c r="C2" s="268"/>
      <c r="D2" s="268"/>
      <c r="E2" s="181"/>
      <c r="F2" s="181"/>
      <c r="G2" s="181"/>
      <c r="H2" s="181"/>
      <c r="I2" s="181"/>
      <c r="J2" s="181"/>
      <c r="K2" s="181"/>
      <c r="L2" s="334"/>
    </row>
    <row r="3" spans="1:13" s="175" customFormat="1" ht="16.2" customHeight="1">
      <c r="A3" s="329">
        <v>1</v>
      </c>
      <c r="B3" s="332" t="s">
        <v>381</v>
      </c>
      <c r="C3" s="330"/>
      <c r="D3" s="329"/>
      <c r="E3" s="181"/>
      <c r="F3" s="181"/>
      <c r="G3" s="181"/>
      <c r="H3" s="181"/>
      <c r="I3" s="181"/>
      <c r="J3" s="181"/>
      <c r="K3" s="181"/>
      <c r="L3" s="275"/>
    </row>
    <row r="4" spans="1:13" s="175" customFormat="1" ht="16.2" customHeight="1">
      <c r="A4" s="329">
        <v>2</v>
      </c>
      <c r="B4" s="331" t="s">
        <v>380</v>
      </c>
      <c r="C4" s="330"/>
      <c r="D4" s="329"/>
      <c r="E4" s="181"/>
      <c r="F4" s="181"/>
      <c r="G4" s="181"/>
      <c r="H4" s="181"/>
      <c r="I4" s="181"/>
      <c r="J4" s="181"/>
      <c r="K4" s="181"/>
      <c r="L4" s="275"/>
    </row>
    <row r="5" spans="1:13" s="175" customFormat="1" ht="16.2" customHeight="1">
      <c r="A5" s="174">
        <v>3</v>
      </c>
      <c r="B5" s="331" t="s">
        <v>379</v>
      </c>
      <c r="C5" s="330"/>
      <c r="D5" s="329"/>
      <c r="E5" s="181"/>
      <c r="F5" s="181"/>
      <c r="G5" s="181"/>
      <c r="H5" s="181"/>
      <c r="I5" s="181"/>
      <c r="J5" s="181"/>
      <c r="K5" s="181"/>
      <c r="L5" s="275"/>
    </row>
    <row r="6" spans="1:13" s="175" customFormat="1" ht="16.2" customHeight="1">
      <c r="A6" s="174">
        <v>4</v>
      </c>
      <c r="B6" s="328" t="s">
        <v>378</v>
      </c>
      <c r="C6" s="327"/>
      <c r="D6" s="174"/>
      <c r="E6" s="181"/>
      <c r="F6" s="181"/>
      <c r="G6" s="181"/>
      <c r="H6" s="181"/>
      <c r="I6" s="181"/>
      <c r="J6" s="181"/>
      <c r="K6" s="181"/>
      <c r="L6" s="275"/>
    </row>
    <row r="7" spans="1:13" s="175" customFormat="1" ht="16.2" customHeight="1">
      <c r="A7" s="174">
        <v>5</v>
      </c>
      <c r="B7" s="326" t="s">
        <v>258</v>
      </c>
      <c r="C7" s="325"/>
      <c r="D7" s="324"/>
      <c r="E7" s="181"/>
      <c r="F7" s="181"/>
      <c r="G7" s="181"/>
      <c r="H7" s="181"/>
      <c r="I7" s="181"/>
      <c r="J7" s="181"/>
      <c r="K7" s="181"/>
      <c r="L7" s="275"/>
    </row>
    <row r="8" spans="1:13" s="175" customFormat="1" ht="12.6" customHeight="1">
      <c r="E8" s="181"/>
      <c r="F8" s="181"/>
      <c r="G8" s="181"/>
      <c r="H8" s="181"/>
      <c r="I8" s="181"/>
      <c r="L8" s="275"/>
    </row>
    <row r="9" spans="1:13" customFormat="1" ht="14.4"/>
    <row r="10" spans="1:13" customFormat="1" ht="14.4"/>
    <row r="11" spans="1:13" customFormat="1" ht="14.4"/>
    <row r="12" spans="1:13" s="177" customFormat="1" ht="43.95" customHeight="1">
      <c r="A12" s="320" t="s">
        <v>240</v>
      </c>
      <c r="B12" s="321" t="s">
        <v>377</v>
      </c>
      <c r="C12" s="320" t="s">
        <v>117</v>
      </c>
      <c r="D12" s="319" t="s">
        <v>376</v>
      </c>
      <c r="E12" s="181"/>
      <c r="F12" s="181"/>
      <c r="G12" s="181"/>
      <c r="H12" s="181"/>
      <c r="I12" s="181"/>
      <c r="L12" s="306"/>
    </row>
    <row r="13" spans="1:13" s="177" customFormat="1" ht="15" customHeight="1">
      <c r="A13" s="318" t="s">
        <v>241</v>
      </c>
      <c r="B13" s="317">
        <f>+'Master Budget Sheet'!AL146</f>
        <v>0</v>
      </c>
      <c r="C13" s="316">
        <f>+'Master Budget Sheet'!BM168</f>
        <v>50577</v>
      </c>
      <c r="D13" s="315">
        <f t="shared" ref="D13:D25" si="0">B13*C13</f>
        <v>0</v>
      </c>
      <c r="E13" s="181"/>
      <c r="F13" s="181"/>
      <c r="G13" s="181"/>
      <c r="H13" s="181"/>
      <c r="I13" s="181"/>
      <c r="L13" s="306"/>
    </row>
    <row r="14" spans="1:13" s="177" customFormat="1" ht="13.8">
      <c r="A14" s="312" t="s">
        <v>460</v>
      </c>
      <c r="B14" s="317">
        <f>+'Master Budget Sheet'!AL147</f>
        <v>0</v>
      </c>
      <c r="C14" s="303">
        <f>+'Master Budget Sheet'!BM169</f>
        <v>51638</v>
      </c>
      <c r="D14" s="313">
        <f t="shared" si="0"/>
        <v>0</v>
      </c>
      <c r="E14" s="181"/>
      <c r="F14" s="181"/>
      <c r="G14" s="181"/>
      <c r="H14" s="181"/>
      <c r="I14" s="181"/>
      <c r="L14" s="306"/>
    </row>
    <row r="15" spans="1:13" s="181" customFormat="1" ht="13.8">
      <c r="A15" s="314" t="s">
        <v>461</v>
      </c>
      <c r="B15" s="317">
        <f>+'Master Budget Sheet'!AL148</f>
        <v>0</v>
      </c>
      <c r="C15" s="303">
        <f>+'Master Budget Sheet'!BM170</f>
        <v>52699</v>
      </c>
      <c r="D15" s="313">
        <f t="shared" si="0"/>
        <v>0</v>
      </c>
      <c r="J15" s="177"/>
      <c r="K15" s="177"/>
      <c r="L15" s="306"/>
      <c r="M15" s="177"/>
    </row>
    <row r="16" spans="1:13" s="181" customFormat="1" ht="13.8">
      <c r="A16" s="312" t="s">
        <v>246</v>
      </c>
      <c r="B16" s="317">
        <f>+'Master Budget Sheet'!AL149</f>
        <v>1</v>
      </c>
      <c r="C16" s="303">
        <f>+'Master Budget Sheet'!BM171</f>
        <v>53760</v>
      </c>
      <c r="D16" s="313">
        <f t="shared" si="0"/>
        <v>53760</v>
      </c>
      <c r="J16" s="177"/>
      <c r="K16" s="177"/>
      <c r="L16" s="306"/>
      <c r="M16" s="177"/>
    </row>
    <row r="17" spans="1:12" s="177" customFormat="1" ht="13.8">
      <c r="A17" s="312" t="s">
        <v>247</v>
      </c>
      <c r="B17" s="317">
        <f>+'Master Budget Sheet'!AL150</f>
        <v>1.5</v>
      </c>
      <c r="C17" s="303">
        <f>+'Master Budget Sheet'!BM172</f>
        <v>55617</v>
      </c>
      <c r="D17" s="313">
        <f t="shared" si="0"/>
        <v>83425.5</v>
      </c>
      <c r="H17" s="181"/>
      <c r="I17" s="181"/>
      <c r="L17" s="306"/>
    </row>
    <row r="18" spans="1:12" s="177" customFormat="1" ht="13.8">
      <c r="A18" s="312" t="s">
        <v>248</v>
      </c>
      <c r="B18" s="317">
        <f>+'Master Budget Sheet'!AL151</f>
        <v>3</v>
      </c>
      <c r="C18" s="303">
        <f>+'Master Budget Sheet'!BM173</f>
        <v>57473</v>
      </c>
      <c r="D18" s="313">
        <f t="shared" si="0"/>
        <v>172419</v>
      </c>
      <c r="H18" s="181"/>
      <c r="I18" s="181"/>
      <c r="L18" s="306"/>
    </row>
    <row r="19" spans="1:12" s="177" customFormat="1" ht="13.8">
      <c r="A19" s="312" t="s">
        <v>249</v>
      </c>
      <c r="B19" s="317">
        <f>+'Master Budget Sheet'!AL152</f>
        <v>1.2</v>
      </c>
      <c r="C19" s="303">
        <f>+'Master Budget Sheet'!BM174</f>
        <v>59330</v>
      </c>
      <c r="D19" s="313">
        <f t="shared" si="0"/>
        <v>71196</v>
      </c>
      <c r="H19" s="181"/>
      <c r="I19" s="181"/>
      <c r="L19" s="306"/>
    </row>
    <row r="20" spans="1:12" s="177" customFormat="1" ht="13.95" customHeight="1">
      <c r="A20" s="312" t="s">
        <v>250</v>
      </c>
      <c r="B20" s="317">
        <f>+'Master Budget Sheet'!AL153</f>
        <v>1.3</v>
      </c>
      <c r="C20" s="303">
        <f>+'Master Budget Sheet'!BM175</f>
        <v>61186</v>
      </c>
      <c r="D20" s="313">
        <f t="shared" si="0"/>
        <v>79541.8</v>
      </c>
      <c r="E20" s="175"/>
      <c r="F20" s="175"/>
      <c r="G20" s="175"/>
      <c r="H20" s="181"/>
      <c r="I20" s="181"/>
      <c r="L20" s="306"/>
    </row>
    <row r="21" spans="1:12" s="177" customFormat="1" ht="13.8">
      <c r="A21" s="312" t="s">
        <v>440</v>
      </c>
      <c r="B21" s="317">
        <f>+'Master Budget Sheet'!AL154</f>
        <v>1</v>
      </c>
      <c r="C21" s="303">
        <f>+'Master Budget Sheet'!BM176</f>
        <v>64899</v>
      </c>
      <c r="D21" s="313">
        <f t="shared" si="0"/>
        <v>64899</v>
      </c>
      <c r="H21" s="181"/>
      <c r="I21" s="181"/>
      <c r="L21" s="306"/>
    </row>
    <row r="22" spans="1:12" s="177" customFormat="1" ht="13.8">
      <c r="A22" s="312" t="s">
        <v>441</v>
      </c>
      <c r="B22" s="317">
        <f>+'Master Budget Sheet'!AL155</f>
        <v>1</v>
      </c>
      <c r="C22" s="303">
        <f>+'Master Budget Sheet'!BM177</f>
        <v>67021</v>
      </c>
      <c r="D22" s="313">
        <f t="shared" si="0"/>
        <v>67021</v>
      </c>
      <c r="H22" s="181"/>
      <c r="I22" s="181"/>
      <c r="L22" s="306"/>
    </row>
    <row r="23" spans="1:12" s="177" customFormat="1" ht="13.8">
      <c r="A23" s="312" t="s">
        <v>442</v>
      </c>
      <c r="B23" s="317">
        <f>+'Master Budget Sheet'!AL156</f>
        <v>2</v>
      </c>
      <c r="C23" s="303">
        <f>+'Master Budget Sheet'!BM178</f>
        <v>69143</v>
      </c>
      <c r="D23" s="313">
        <f t="shared" si="0"/>
        <v>138286</v>
      </c>
      <c r="H23" s="181"/>
      <c r="I23" s="181"/>
      <c r="L23" s="306"/>
    </row>
    <row r="24" spans="1:12" s="177" customFormat="1" ht="13.8">
      <c r="A24" s="312" t="s">
        <v>443</v>
      </c>
      <c r="B24" s="317">
        <f>+'Master Budget Sheet'!AL157</f>
        <v>1</v>
      </c>
      <c r="C24" s="303">
        <f>+'Master Budget Sheet'!BM179</f>
        <v>71265</v>
      </c>
      <c r="D24" s="313">
        <f t="shared" si="0"/>
        <v>71265</v>
      </c>
      <c r="H24" s="181"/>
      <c r="I24" s="181"/>
      <c r="L24" s="306"/>
    </row>
    <row r="25" spans="1:12" s="177" customFormat="1" ht="13.8">
      <c r="A25" s="312" t="s">
        <v>444</v>
      </c>
      <c r="B25" s="317">
        <f>+'Master Budget Sheet'!AL158</f>
        <v>4</v>
      </c>
      <c r="C25" s="303">
        <f>+'Master Budget Sheet'!BM180</f>
        <v>73386</v>
      </c>
      <c r="D25" s="311">
        <f t="shared" si="0"/>
        <v>293544</v>
      </c>
      <c r="H25" s="181"/>
      <c r="I25" s="181"/>
      <c r="L25" s="306"/>
    </row>
    <row r="26" spans="1:12" s="177" customFormat="1" ht="14.4" thickBot="1">
      <c r="A26" s="271" t="s">
        <v>375</v>
      </c>
      <c r="B26" s="310">
        <f>SUM(B13:B25)</f>
        <v>17</v>
      </c>
      <c r="D26" s="309" t="s">
        <v>374</v>
      </c>
      <c r="E26" s="308">
        <f>SUM(D13:D25)</f>
        <v>1095357.3</v>
      </c>
      <c r="H26" s="181"/>
      <c r="I26" s="181"/>
      <c r="L26" s="306"/>
    </row>
    <row r="27" spans="1:12" s="177" customFormat="1" ht="14.4" thickTop="1">
      <c r="E27" s="307"/>
      <c r="H27" s="181"/>
      <c r="I27" s="181"/>
      <c r="L27" s="306"/>
    </row>
    <row r="28" spans="1:12" s="175" customFormat="1" ht="13.8">
      <c r="A28" s="283" t="s">
        <v>260</v>
      </c>
      <c r="B28" s="283"/>
      <c r="C28" s="275"/>
      <c r="D28" s="275"/>
      <c r="E28" s="300"/>
      <c r="F28" s="275"/>
      <c r="G28" s="275"/>
      <c r="H28" s="275"/>
      <c r="I28" s="275"/>
      <c r="J28" s="182"/>
      <c r="L28" s="275"/>
    </row>
    <row r="29" spans="1:12" s="175" customFormat="1" ht="21" customHeight="1">
      <c r="A29" s="286" t="s">
        <v>373</v>
      </c>
      <c r="B29" s="286"/>
      <c r="C29" s="286"/>
      <c r="D29" s="286"/>
      <c r="E29" s="300"/>
      <c r="F29" s="275"/>
      <c r="G29" s="275"/>
      <c r="H29" s="275"/>
      <c r="I29" s="275"/>
      <c r="L29" s="275"/>
    </row>
    <row r="30" spans="1:12" s="175" customFormat="1" ht="13.8">
      <c r="A30" s="286" t="s">
        <v>261</v>
      </c>
      <c r="B30" s="285" t="s">
        <v>168</v>
      </c>
      <c r="C30" s="283" t="s">
        <v>372</v>
      </c>
      <c r="D30" s="305" t="s">
        <v>259</v>
      </c>
      <c r="E30" s="290"/>
      <c r="F30" s="283"/>
      <c r="G30" s="283"/>
      <c r="H30" s="283"/>
      <c r="I30" s="283"/>
      <c r="L30" s="275"/>
    </row>
    <row r="31" spans="1:12" s="179" customFormat="1" ht="13.8">
      <c r="A31" s="304" t="s">
        <v>262</v>
      </c>
      <c r="B31" s="317">
        <f>+'Master Budget Sheet'!AL160</f>
        <v>3</v>
      </c>
      <c r="C31" s="303">
        <f>+'Master Budget Sheet'!BM182</f>
        <v>2000</v>
      </c>
      <c r="D31" s="302">
        <f>B31*C31</f>
        <v>6000</v>
      </c>
      <c r="E31" s="300"/>
      <c r="F31" s="275"/>
      <c r="G31" s="275"/>
      <c r="H31" s="275"/>
      <c r="I31" s="275"/>
      <c r="L31" s="275"/>
    </row>
    <row r="32" spans="1:12" s="175" customFormat="1" ht="13.8">
      <c r="A32" s="304" t="s">
        <v>263</v>
      </c>
      <c r="B32" s="317">
        <f>+'Master Budget Sheet'!AL161</f>
        <v>5</v>
      </c>
      <c r="C32" s="303">
        <f>+'Master Budget Sheet'!BM183</f>
        <v>3500</v>
      </c>
      <c r="D32" s="302">
        <f>B32*C32</f>
        <v>17500</v>
      </c>
      <c r="E32" s="300"/>
      <c r="F32" s="275"/>
      <c r="G32" s="275"/>
      <c r="H32" s="275"/>
      <c r="I32" s="275"/>
      <c r="L32" s="275"/>
    </row>
    <row r="33" spans="1:12" s="175" customFormat="1" ht="13.8">
      <c r="A33" s="275"/>
      <c r="C33" s="275"/>
      <c r="D33" s="279" t="s">
        <v>264</v>
      </c>
      <c r="E33" s="277">
        <f>SUM(D31:D32)</f>
        <v>23500</v>
      </c>
      <c r="F33" s="275"/>
      <c r="G33" s="275"/>
      <c r="H33" s="275"/>
      <c r="I33" s="275"/>
      <c r="L33" s="275"/>
    </row>
    <row r="34" spans="1:12" s="175" customFormat="1" ht="23.55" customHeight="1">
      <c r="A34" s="301" t="s">
        <v>362</v>
      </c>
      <c r="C34" s="275"/>
      <c r="D34" s="275"/>
      <c r="E34" s="300"/>
      <c r="F34" s="275"/>
      <c r="G34" s="275"/>
      <c r="H34" s="275"/>
      <c r="I34" s="275"/>
      <c r="L34" s="275"/>
    </row>
    <row r="35" spans="1:12" s="175" customFormat="1" ht="13.8">
      <c r="A35" s="299" t="s">
        <v>371</v>
      </c>
      <c r="B35" s="299"/>
      <c r="C35" s="298"/>
      <c r="D35" s="298"/>
      <c r="E35" s="297"/>
      <c r="F35" s="275"/>
      <c r="G35" s="275"/>
      <c r="H35" s="275"/>
      <c r="I35" s="275"/>
      <c r="J35" s="182"/>
      <c r="L35" s="275"/>
    </row>
    <row r="36" spans="1:12" s="175" customFormat="1" ht="25.2" customHeight="1">
      <c r="A36" s="1237" t="s">
        <v>370</v>
      </c>
      <c r="B36" s="1238"/>
      <c r="C36" s="1238"/>
      <c r="D36" s="1238"/>
      <c r="E36" s="1238"/>
      <c r="F36" s="275"/>
      <c r="G36" s="275"/>
      <c r="H36" s="275"/>
      <c r="I36" s="275"/>
      <c r="L36" s="275"/>
    </row>
    <row r="37" spans="1:12" s="175" customFormat="1" ht="13.8">
      <c r="A37" s="296" t="s">
        <v>235</v>
      </c>
      <c r="B37" s="294" t="s">
        <v>168</v>
      </c>
      <c r="C37" s="295" t="s">
        <v>369</v>
      </c>
      <c r="D37" s="294" t="s">
        <v>259</v>
      </c>
      <c r="E37" s="290"/>
      <c r="F37" s="283"/>
      <c r="G37" s="283"/>
      <c r="H37" s="283"/>
      <c r="I37" s="283"/>
      <c r="L37" s="275"/>
    </row>
    <row r="38" spans="1:12" s="175" customFormat="1" ht="13.8">
      <c r="A38" s="293" t="s">
        <v>368</v>
      </c>
      <c r="B38" s="317">
        <f>+'Master Budget Sheet'!AL162</f>
        <v>1</v>
      </c>
      <c r="C38" s="292">
        <v>3000</v>
      </c>
      <c r="D38" s="291">
        <f>B38*C38</f>
        <v>3000</v>
      </c>
      <c r="E38" s="290"/>
      <c r="F38" s="283"/>
      <c r="G38" s="283"/>
      <c r="H38" s="283"/>
      <c r="I38" s="283"/>
      <c r="L38" s="275"/>
    </row>
    <row r="39" spans="1:12" s="175" customFormat="1" ht="13.8">
      <c r="A39" s="286"/>
      <c r="B39" s="285"/>
      <c r="C39" s="289"/>
      <c r="D39" s="288" t="s">
        <v>367</v>
      </c>
      <c r="E39" s="287">
        <f>D38</f>
        <v>3000</v>
      </c>
      <c r="F39" s="283"/>
      <c r="G39" s="283"/>
      <c r="H39" s="283"/>
      <c r="I39" s="283"/>
      <c r="L39" s="275"/>
    </row>
    <row r="40" spans="1:12" s="175" customFormat="1" ht="13.8">
      <c r="A40" s="286"/>
      <c r="B40" s="285"/>
      <c r="C40" s="284"/>
      <c r="D40" s="279"/>
      <c r="E40" s="277"/>
      <c r="F40" s="283"/>
      <c r="G40" s="283"/>
      <c r="H40" s="283"/>
      <c r="I40" s="283"/>
      <c r="L40" s="275"/>
    </row>
    <row r="41" spans="1:12" ht="13.8">
      <c r="A41" s="175"/>
      <c r="B41" s="175"/>
      <c r="C41" s="282" t="s">
        <v>366</v>
      </c>
      <c r="D41" s="281"/>
      <c r="E41" s="280">
        <v>0</v>
      </c>
      <c r="F41" s="270" t="s">
        <v>365</v>
      </c>
      <c r="G41" s="270"/>
      <c r="H41" s="270"/>
      <c r="I41" s="175"/>
      <c r="J41" s="175"/>
      <c r="K41" s="175"/>
      <c r="L41" s="275"/>
    </row>
    <row r="42" spans="1:12" s="175" customFormat="1" ht="13.8">
      <c r="A42" s="275"/>
      <c r="B42" s="275"/>
      <c r="C42" s="279" t="s">
        <v>364</v>
      </c>
      <c r="D42" s="278"/>
      <c r="E42" s="277">
        <f>SUM(E26:E41)</f>
        <v>1121857.3</v>
      </c>
      <c r="F42" s="275"/>
      <c r="G42" s="275"/>
      <c r="H42" s="275"/>
      <c r="I42" s="275"/>
      <c r="L42" s="275"/>
    </row>
    <row r="43" spans="1:12" s="175" customFormat="1" ht="14.4" thickBot="1">
      <c r="A43" s="272"/>
      <c r="B43" s="272"/>
      <c r="D43" s="275" t="s">
        <v>363</v>
      </c>
      <c r="E43" s="276">
        <f>E42/B26</f>
        <v>65991.605882352946</v>
      </c>
      <c r="F43" s="275"/>
      <c r="G43" s="275"/>
      <c r="H43" s="275"/>
      <c r="I43" s="275"/>
      <c r="L43" s="275"/>
    </row>
    <row r="44" spans="1:12" s="175" customFormat="1" ht="15" customHeight="1" thickTop="1">
      <c r="A44" s="268"/>
      <c r="B44" s="268"/>
      <c r="L44" s="275"/>
    </row>
    <row r="45" spans="1:12" s="273" customFormat="1" ht="67.95" customHeight="1">
      <c r="A45"/>
      <c r="B45"/>
      <c r="C45"/>
      <c r="D45"/>
      <c r="E45"/>
      <c r="F45"/>
      <c r="L45" s="274"/>
    </row>
  </sheetData>
  <mergeCells count="1">
    <mergeCell ref="A36:E36"/>
  </mergeCells>
  <pageMargins left="0.75" right="0.25" top="0" bottom="0" header="0.3" footer="0.3"/>
  <pageSetup orientation="portrait" horizontalDpi="1800" verticalDpi="1800"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100">
    <tabColor rgb="FF002060"/>
    <pageSetUpPr fitToPage="1"/>
  </sheetPr>
  <dimension ref="A1:O56"/>
  <sheetViews>
    <sheetView workbookViewId="0">
      <selection activeCell="K29" sqref="K29:K43"/>
    </sheetView>
  </sheetViews>
  <sheetFormatPr defaultColWidth="10.44140625" defaultRowHeight="10.199999999999999"/>
  <cols>
    <col min="1" max="1" width="6.21875" style="185" customWidth="1"/>
    <col min="2" max="2" width="6.77734375" style="185" customWidth="1"/>
    <col min="3" max="3" width="7.44140625" style="185" customWidth="1"/>
    <col min="4" max="4" width="9.21875" style="185" customWidth="1"/>
    <col min="5" max="5" width="7.44140625" style="185" customWidth="1"/>
    <col min="6" max="6" width="8.5546875" style="185" customWidth="1"/>
    <col min="7" max="7" width="8.21875" style="185" customWidth="1"/>
    <col min="8" max="8" width="8.5546875" style="185" customWidth="1"/>
    <col min="9" max="9" width="1.44140625" style="185" customWidth="1"/>
    <col min="10" max="10" width="13.77734375" style="185" customWidth="1"/>
    <col min="11" max="11" width="11" style="185" customWidth="1"/>
    <col min="12" max="12" width="13.5546875" style="185" customWidth="1"/>
    <col min="13" max="14" width="12.77734375" style="185" customWidth="1"/>
    <col min="15" max="15" width="10.44140625" style="185"/>
    <col min="16" max="16" width="3.77734375" style="185" customWidth="1"/>
    <col min="17" max="16384" width="10.44140625" style="185"/>
  </cols>
  <sheetData>
    <row r="1" spans="1:13" s="455" customFormat="1" ht="18">
      <c r="E1" s="455" t="s">
        <v>400</v>
      </c>
      <c r="L1" s="456" t="s">
        <v>362</v>
      </c>
    </row>
    <row r="2" spans="1:13" s="172" customFormat="1" ht="18" customHeight="1">
      <c r="A2" s="172" t="s">
        <v>399</v>
      </c>
      <c r="C2" s="171"/>
    </row>
    <row r="3" spans="1:13" s="454" customFormat="1" ht="15" customHeight="1">
      <c r="A3" s="453" t="s">
        <v>398</v>
      </c>
      <c r="B3" s="1242" t="s">
        <v>397</v>
      </c>
      <c r="C3" s="1243"/>
      <c r="D3" s="1243"/>
      <c r="E3" s="1243"/>
      <c r="F3" s="1243"/>
      <c r="G3" s="173"/>
    </row>
    <row r="4" spans="1:13" s="454" customFormat="1" ht="31.95" customHeight="1">
      <c r="A4" s="453" t="s">
        <v>396</v>
      </c>
      <c r="B4" s="1242" t="s">
        <v>395</v>
      </c>
      <c r="C4" s="1243"/>
      <c r="D4" s="1243"/>
      <c r="E4" s="1243"/>
      <c r="F4" s="1243"/>
      <c r="G4" s="173"/>
    </row>
    <row r="5" spans="1:13" s="454" customFormat="1" ht="15" customHeight="1">
      <c r="A5" s="453" t="s">
        <v>394</v>
      </c>
      <c r="B5" s="1242" t="s">
        <v>237</v>
      </c>
      <c r="C5" s="1244"/>
      <c r="D5" s="1244"/>
      <c r="E5" s="1244"/>
      <c r="F5" s="1244"/>
      <c r="G5" s="173"/>
    </row>
    <row r="6" spans="1:13" ht="19.95" customHeight="1">
      <c r="A6" s="453" t="s">
        <v>393</v>
      </c>
      <c r="B6" s="452" t="s">
        <v>392</v>
      </c>
      <c r="C6" s="451"/>
      <c r="D6" s="451"/>
      <c r="E6" s="451"/>
      <c r="F6" s="451"/>
      <c r="G6" s="450"/>
    </row>
    <row r="9" spans="1:13" s="184" customFormat="1" ht="12">
      <c r="A9" s="371"/>
      <c r="B9" s="371"/>
      <c r="C9" s="371"/>
      <c r="D9" s="371"/>
      <c r="E9" s="371" t="s">
        <v>391</v>
      </c>
      <c r="F9" s="371"/>
      <c r="G9" s="371"/>
      <c r="H9" s="371"/>
      <c r="I9" s="371"/>
      <c r="J9" s="371"/>
      <c r="K9" s="371"/>
      <c r="L9" s="371"/>
      <c r="M9" s="371"/>
    </row>
    <row r="10" spans="1:13" s="421" customFormat="1" ht="12" customHeight="1">
      <c r="A10" s="449" t="s">
        <v>390</v>
      </c>
      <c r="B10" s="170"/>
      <c r="C10" s="170"/>
      <c r="D10" s="448"/>
      <c r="E10" s="374" t="s">
        <v>215</v>
      </c>
      <c r="F10" s="374" t="s">
        <v>216</v>
      </c>
      <c r="G10" s="374" t="s">
        <v>217</v>
      </c>
      <c r="H10" s="374" t="s">
        <v>218</v>
      </c>
      <c r="I10" s="444"/>
      <c r="J10" s="445" t="s">
        <v>304</v>
      </c>
      <c r="K10" s="445" t="s">
        <v>238</v>
      </c>
      <c r="L10" s="447" t="s">
        <v>386</v>
      </c>
      <c r="M10" s="446"/>
    </row>
    <row r="11" spans="1:13" s="421" customFormat="1" ht="24.6" customHeight="1">
      <c r="A11" s="166" t="s">
        <v>239</v>
      </c>
      <c r="B11" s="374" t="s">
        <v>220</v>
      </c>
      <c r="C11" s="374" t="s">
        <v>221</v>
      </c>
      <c r="D11" s="374" t="s">
        <v>222</v>
      </c>
      <c r="E11" s="374" t="s">
        <v>223</v>
      </c>
      <c r="F11" s="374" t="s">
        <v>224</v>
      </c>
      <c r="G11" s="374" t="s">
        <v>225</v>
      </c>
      <c r="H11" s="374" t="s">
        <v>226</v>
      </c>
      <c r="I11" s="444"/>
      <c r="J11" s="167" t="s">
        <v>240</v>
      </c>
      <c r="K11" s="167" t="s">
        <v>169</v>
      </c>
      <c r="L11" s="445" t="s">
        <v>389</v>
      </c>
      <c r="M11" s="419"/>
    </row>
    <row r="12" spans="1:13" s="421" customFormat="1" ht="12">
      <c r="A12" s="164"/>
      <c r="B12" s="164"/>
      <c r="C12" s="164"/>
      <c r="D12" s="164"/>
      <c r="E12" s="164"/>
      <c r="F12" s="164"/>
      <c r="G12" s="164"/>
      <c r="H12" s="164"/>
      <c r="I12" s="444"/>
      <c r="J12" s="443" t="s">
        <v>241</v>
      </c>
      <c r="K12" s="443" t="s">
        <v>242</v>
      </c>
      <c r="L12" s="442">
        <v>33400</v>
      </c>
      <c r="M12" s="419"/>
    </row>
    <row r="13" spans="1:13" s="421" customFormat="1" ht="12">
      <c r="A13" s="166">
        <v>0</v>
      </c>
      <c r="B13" s="430" t="s">
        <v>243</v>
      </c>
      <c r="C13" s="430" t="s">
        <v>243</v>
      </c>
      <c r="D13" s="430" t="s">
        <v>243</v>
      </c>
      <c r="E13" s="430" t="s">
        <v>243</v>
      </c>
      <c r="F13" s="430" t="s">
        <v>243</v>
      </c>
      <c r="G13" s="430" t="s">
        <v>243</v>
      </c>
      <c r="H13" s="430" t="s">
        <v>243</v>
      </c>
      <c r="I13" s="165"/>
      <c r="J13" s="441"/>
      <c r="K13" s="440">
        <v>1</v>
      </c>
      <c r="L13" s="439"/>
      <c r="M13" s="419"/>
    </row>
    <row r="14" spans="1:13" s="421" customFormat="1" ht="12">
      <c r="A14" s="166">
        <v>1</v>
      </c>
      <c r="B14" s="430" t="s">
        <v>243</v>
      </c>
      <c r="C14" s="430" t="s">
        <v>243</v>
      </c>
      <c r="D14" s="430" t="s">
        <v>243</v>
      </c>
      <c r="E14" s="430" t="s">
        <v>243</v>
      </c>
      <c r="F14" s="430" t="s">
        <v>243</v>
      </c>
      <c r="G14" s="430" t="s">
        <v>243</v>
      </c>
      <c r="H14" s="430" t="s">
        <v>243</v>
      </c>
      <c r="I14" s="165"/>
      <c r="J14" s="438" t="s">
        <v>243</v>
      </c>
      <c r="K14" s="437" t="s">
        <v>244</v>
      </c>
      <c r="L14" s="436">
        <v>34250</v>
      </c>
      <c r="M14" s="419"/>
    </row>
    <row r="15" spans="1:13" s="421" customFormat="1" ht="12">
      <c r="A15" s="166">
        <v>2</v>
      </c>
      <c r="B15" s="430" t="s">
        <v>243</v>
      </c>
      <c r="C15" s="430" t="s">
        <v>243</v>
      </c>
      <c r="D15" s="430" t="s">
        <v>243</v>
      </c>
      <c r="E15" s="430" t="s">
        <v>243</v>
      </c>
      <c r="F15" s="430" t="s">
        <v>243</v>
      </c>
      <c r="G15" s="430" t="s">
        <v>243</v>
      </c>
      <c r="H15" s="430" t="s">
        <v>243</v>
      </c>
      <c r="I15" s="165"/>
      <c r="J15" s="168" t="s">
        <v>235</v>
      </c>
      <c r="K15" s="435">
        <v>1.3426</v>
      </c>
      <c r="L15" s="168"/>
      <c r="M15" s="419"/>
    </row>
    <row r="16" spans="1:13" s="421" customFormat="1" ht="12">
      <c r="A16" s="166">
        <v>3</v>
      </c>
      <c r="B16" s="430" t="s">
        <v>243</v>
      </c>
      <c r="C16" s="430" t="s">
        <v>243</v>
      </c>
      <c r="D16" s="430" t="s">
        <v>243</v>
      </c>
      <c r="E16" s="430" t="s">
        <v>243</v>
      </c>
      <c r="F16" s="430" t="s">
        <v>243</v>
      </c>
      <c r="G16" s="430" t="s">
        <v>245</v>
      </c>
      <c r="H16" s="423" t="s">
        <v>245</v>
      </c>
      <c r="I16" s="165"/>
      <c r="J16" s="398" t="s">
        <v>245</v>
      </c>
      <c r="K16" s="434">
        <v>1.3929</v>
      </c>
      <c r="L16" s="398">
        <v>35117</v>
      </c>
      <c r="M16" s="419"/>
    </row>
    <row r="17" spans="1:13" s="421" customFormat="1" ht="12">
      <c r="A17" s="166">
        <v>4</v>
      </c>
      <c r="B17" s="430" t="s">
        <v>243</v>
      </c>
      <c r="C17" s="430" t="s">
        <v>243</v>
      </c>
      <c r="D17" s="430" t="s">
        <v>243</v>
      </c>
      <c r="E17" s="430" t="s">
        <v>243</v>
      </c>
      <c r="F17" s="430" t="s">
        <v>243</v>
      </c>
      <c r="G17" s="423" t="s">
        <v>245</v>
      </c>
      <c r="H17" s="391" t="s">
        <v>246</v>
      </c>
      <c r="I17" s="165"/>
      <c r="J17" s="391" t="s">
        <v>246</v>
      </c>
      <c r="K17" s="429">
        <v>1.4451000000000001</v>
      </c>
      <c r="L17" s="391">
        <v>37249</v>
      </c>
      <c r="M17" s="419"/>
    </row>
    <row r="18" spans="1:13" s="421" customFormat="1" ht="12">
      <c r="A18" s="166">
        <v>5</v>
      </c>
      <c r="B18" s="430" t="s">
        <v>243</v>
      </c>
      <c r="C18" s="430" t="s">
        <v>243</v>
      </c>
      <c r="D18" s="430" t="s">
        <v>243</v>
      </c>
      <c r="E18" s="430" t="s">
        <v>243</v>
      </c>
      <c r="F18" s="423" t="s">
        <v>245</v>
      </c>
      <c r="G18" s="391" t="s">
        <v>246</v>
      </c>
      <c r="H18" s="396" t="s">
        <v>247</v>
      </c>
      <c r="I18" s="165"/>
      <c r="J18" s="396" t="s">
        <v>247</v>
      </c>
      <c r="K18" s="433">
        <v>1.4993000000000001</v>
      </c>
      <c r="L18" s="396">
        <v>38758</v>
      </c>
      <c r="M18" s="419"/>
    </row>
    <row r="19" spans="1:13" s="421" customFormat="1" ht="12">
      <c r="A19" s="166">
        <v>6</v>
      </c>
      <c r="B19" s="430" t="s">
        <v>243</v>
      </c>
      <c r="C19" s="430" t="s">
        <v>243</v>
      </c>
      <c r="D19" s="430" t="s">
        <v>243</v>
      </c>
      <c r="E19" s="423" t="s">
        <v>245</v>
      </c>
      <c r="F19" s="391" t="s">
        <v>246</v>
      </c>
      <c r="G19" s="396" t="s">
        <v>247</v>
      </c>
      <c r="H19" s="395" t="s">
        <v>248</v>
      </c>
      <c r="I19" s="165"/>
      <c r="J19" s="395" t="s">
        <v>248</v>
      </c>
      <c r="K19" s="432">
        <v>1.5555000000000001</v>
      </c>
      <c r="L19" s="395">
        <v>39546</v>
      </c>
      <c r="M19" s="419"/>
    </row>
    <row r="20" spans="1:13" s="421" customFormat="1" ht="12">
      <c r="A20" s="166">
        <v>7</v>
      </c>
      <c r="B20" s="430" t="s">
        <v>243</v>
      </c>
      <c r="C20" s="430" t="s">
        <v>243</v>
      </c>
      <c r="D20" s="423" t="s">
        <v>245</v>
      </c>
      <c r="E20" s="391" t="s">
        <v>246</v>
      </c>
      <c r="F20" s="396" t="s">
        <v>247</v>
      </c>
      <c r="G20" s="395" t="s">
        <v>248</v>
      </c>
      <c r="H20" s="394" t="s">
        <v>249</v>
      </c>
      <c r="I20" s="165"/>
      <c r="J20" s="394" t="s">
        <v>249</v>
      </c>
      <c r="K20" s="431">
        <v>1.6137999999999999</v>
      </c>
      <c r="L20" s="394">
        <v>41113</v>
      </c>
      <c r="M20" s="419"/>
    </row>
    <row r="21" spans="1:13" s="421" customFormat="1" ht="12">
      <c r="A21" s="166">
        <v>8</v>
      </c>
      <c r="B21" s="430" t="s">
        <v>243</v>
      </c>
      <c r="C21" s="423" t="s">
        <v>245</v>
      </c>
      <c r="D21" s="391" t="s">
        <v>246</v>
      </c>
      <c r="E21" s="396" t="s">
        <v>247</v>
      </c>
      <c r="F21" s="395" t="s">
        <v>248</v>
      </c>
      <c r="G21" s="394" t="s">
        <v>249</v>
      </c>
      <c r="H21" s="427" t="s">
        <v>250</v>
      </c>
      <c r="I21" s="165"/>
      <c r="J21" s="391" t="s">
        <v>250</v>
      </c>
      <c r="K21" s="429">
        <v>1.6742999999999999</v>
      </c>
      <c r="L21" s="391">
        <v>41961</v>
      </c>
      <c r="M21" s="419"/>
    </row>
    <row r="22" spans="1:13" s="421" customFormat="1" ht="12">
      <c r="A22" s="166">
        <v>9</v>
      </c>
      <c r="B22" s="423" t="s">
        <v>245</v>
      </c>
      <c r="C22" s="391" t="s">
        <v>246</v>
      </c>
      <c r="D22" s="396" t="s">
        <v>247</v>
      </c>
      <c r="E22" s="395" t="s">
        <v>248</v>
      </c>
      <c r="F22" s="394" t="s">
        <v>249</v>
      </c>
      <c r="G22" s="427" t="s">
        <v>250</v>
      </c>
      <c r="H22" s="390" t="s">
        <v>251</v>
      </c>
      <c r="I22" s="165"/>
      <c r="J22" s="390" t="s">
        <v>251</v>
      </c>
      <c r="K22" s="428">
        <v>1.7371000000000001</v>
      </c>
      <c r="L22" s="390">
        <v>43591</v>
      </c>
      <c r="M22" s="419"/>
    </row>
    <row r="23" spans="1:13" s="421" customFormat="1" ht="12">
      <c r="A23" s="166">
        <v>10</v>
      </c>
      <c r="B23" s="423" t="s">
        <v>245</v>
      </c>
      <c r="C23" s="396" t="s">
        <v>247</v>
      </c>
      <c r="D23" s="395" t="s">
        <v>248</v>
      </c>
      <c r="E23" s="394" t="s">
        <v>249</v>
      </c>
      <c r="F23" s="427" t="s">
        <v>250</v>
      </c>
      <c r="G23" s="390" t="s">
        <v>251</v>
      </c>
      <c r="H23" s="391" t="s">
        <v>252</v>
      </c>
      <c r="I23" s="165"/>
      <c r="J23" s="388" t="s">
        <v>252</v>
      </c>
      <c r="K23" s="426">
        <v>1.8022</v>
      </c>
      <c r="L23" s="388">
        <v>44503</v>
      </c>
      <c r="M23" s="419"/>
    </row>
    <row r="24" spans="1:13" s="421" customFormat="1" ht="12">
      <c r="A24" s="166">
        <v>11</v>
      </c>
      <c r="B24" s="423" t="s">
        <v>245</v>
      </c>
      <c r="C24" s="396" t="s">
        <v>247</v>
      </c>
      <c r="D24" s="395" t="s">
        <v>248</v>
      </c>
      <c r="E24" s="394" t="s">
        <v>249</v>
      </c>
      <c r="F24" s="390" t="s">
        <v>251</v>
      </c>
      <c r="G24" s="391" t="s">
        <v>252</v>
      </c>
      <c r="H24" s="386" t="s">
        <v>253</v>
      </c>
      <c r="I24" s="165"/>
      <c r="J24" s="386" t="s">
        <v>253</v>
      </c>
      <c r="K24" s="425">
        <v>1.8697999999999999</v>
      </c>
      <c r="L24" s="386">
        <v>46201</v>
      </c>
      <c r="M24" s="419"/>
    </row>
    <row r="25" spans="1:13" s="421" customFormat="1" ht="12">
      <c r="A25" s="166">
        <v>12</v>
      </c>
      <c r="B25" s="423" t="s">
        <v>245</v>
      </c>
      <c r="C25" s="396" t="s">
        <v>247</v>
      </c>
      <c r="D25" s="395" t="s">
        <v>248</v>
      </c>
      <c r="E25" s="394" t="s">
        <v>249</v>
      </c>
      <c r="F25" s="390" t="s">
        <v>251</v>
      </c>
      <c r="G25" s="386" t="s">
        <v>253</v>
      </c>
      <c r="H25" s="384" t="s">
        <v>254</v>
      </c>
      <c r="I25" s="165"/>
      <c r="J25" s="384" t="s">
        <v>254</v>
      </c>
      <c r="K25" s="424">
        <v>1.9399</v>
      </c>
      <c r="L25" s="384">
        <v>47183</v>
      </c>
      <c r="M25" s="419"/>
    </row>
    <row r="26" spans="1:13" s="421" customFormat="1" ht="12">
      <c r="A26" s="166" t="s">
        <v>255</v>
      </c>
      <c r="B26" s="423" t="s">
        <v>245</v>
      </c>
      <c r="C26" s="396" t="s">
        <v>247</v>
      </c>
      <c r="D26" s="395" t="s">
        <v>248</v>
      </c>
      <c r="E26" s="394" t="s">
        <v>249</v>
      </c>
      <c r="F26" s="390" t="s">
        <v>251</v>
      </c>
      <c r="G26" s="386" t="s">
        <v>253</v>
      </c>
      <c r="H26" s="376" t="s">
        <v>256</v>
      </c>
      <c r="I26" s="165"/>
      <c r="J26" s="376" t="s">
        <v>256</v>
      </c>
      <c r="K26" s="422">
        <v>2.0125999999999999</v>
      </c>
      <c r="L26" s="376">
        <v>48202</v>
      </c>
      <c r="M26" s="419"/>
    </row>
    <row r="27" spans="1:13" ht="6" customHeight="1">
      <c r="A27" s="420"/>
      <c r="B27" s="163"/>
      <c r="C27" s="163"/>
      <c r="D27" s="163"/>
      <c r="E27" s="163"/>
      <c r="F27" s="163"/>
      <c r="G27" s="163"/>
      <c r="H27" s="163"/>
      <c r="I27" s="163"/>
      <c r="J27" s="163"/>
      <c r="K27" s="163"/>
      <c r="L27" s="419"/>
      <c r="M27" s="419"/>
    </row>
    <row r="28" spans="1:13" ht="34.950000000000003" customHeight="1" thickBot="1">
      <c r="A28" s="169" t="s">
        <v>388</v>
      </c>
      <c r="B28" s="170"/>
      <c r="C28" s="418"/>
      <c r="D28" s="417"/>
      <c r="E28" s="374" t="s">
        <v>215</v>
      </c>
      <c r="F28" s="374" t="s">
        <v>216</v>
      </c>
      <c r="G28" s="374" t="s">
        <v>217</v>
      </c>
      <c r="H28" s="374" t="s">
        <v>218</v>
      </c>
      <c r="I28" s="163"/>
      <c r="J28" s="416" t="s">
        <v>387</v>
      </c>
      <c r="K28" s="414" t="s">
        <v>407</v>
      </c>
      <c r="L28" s="415" t="s">
        <v>408</v>
      </c>
      <c r="M28" s="414" t="s">
        <v>407</v>
      </c>
    </row>
    <row r="29" spans="1:13" ht="12.6" customHeight="1" thickBot="1">
      <c r="A29" s="166" t="s">
        <v>239</v>
      </c>
      <c r="B29" s="374" t="s">
        <v>220</v>
      </c>
      <c r="C29" s="374" t="s">
        <v>221</v>
      </c>
      <c r="D29" s="374" t="s">
        <v>222</v>
      </c>
      <c r="E29" s="374" t="s">
        <v>223</v>
      </c>
      <c r="F29" s="374" t="s">
        <v>224</v>
      </c>
      <c r="G29" s="374" t="s">
        <v>225</v>
      </c>
      <c r="H29" s="374" t="s">
        <v>226</v>
      </c>
      <c r="I29" s="163"/>
      <c r="J29" s="413" t="s">
        <v>265</v>
      </c>
      <c r="K29" s="316">
        <f>+'Master Budget Sheet'!BM168</f>
        <v>50577</v>
      </c>
      <c r="L29" s="411">
        <f>+'Master Budget Sheet'!AL174</f>
        <v>0</v>
      </c>
      <c r="M29" s="410">
        <f>K29*L29</f>
        <v>0</v>
      </c>
    </row>
    <row r="30" spans="1:13" s="405" customFormat="1" ht="15.6" customHeight="1" thickBot="1">
      <c r="A30" s="393">
        <v>0</v>
      </c>
      <c r="B30" s="392"/>
      <c r="C30" s="392"/>
      <c r="D30" s="392"/>
      <c r="E30" s="392"/>
      <c r="F30" s="392"/>
      <c r="G30" s="392"/>
      <c r="H30" s="392"/>
      <c r="I30" s="163"/>
      <c r="J30" s="409"/>
      <c r="K30" s="408"/>
      <c r="L30" s="407"/>
      <c r="M30" s="406"/>
    </row>
    <row r="31" spans="1:13" ht="12.6" thickBot="1">
      <c r="A31" s="393">
        <v>1</v>
      </c>
      <c r="B31" s="392"/>
      <c r="C31" s="392"/>
      <c r="D31" s="392"/>
      <c r="E31" s="392"/>
      <c r="F31" s="392"/>
      <c r="G31" s="392"/>
      <c r="H31" s="392"/>
      <c r="I31" s="163"/>
      <c r="J31" s="404" t="s">
        <v>243</v>
      </c>
      <c r="K31" s="403">
        <f>+'Master Budget Sheet'!BM169</f>
        <v>51638</v>
      </c>
      <c r="L31" s="411">
        <f>+'Master Budget Sheet'!AL175</f>
        <v>0</v>
      </c>
      <c r="M31" s="402">
        <f>K31*L31</f>
        <v>0</v>
      </c>
    </row>
    <row r="32" spans="1:13" ht="12.6" thickBot="1">
      <c r="A32" s="393">
        <v>2</v>
      </c>
      <c r="B32" s="392"/>
      <c r="C32" s="392"/>
      <c r="D32" s="392"/>
      <c r="E32" s="392"/>
      <c r="F32" s="392"/>
      <c r="G32" s="392"/>
      <c r="H32" s="392"/>
      <c r="I32" s="163"/>
      <c r="J32" s="400"/>
      <c r="K32" s="401"/>
      <c r="L32" s="400"/>
      <c r="M32" s="399"/>
    </row>
    <row r="33" spans="1:14" ht="12.6" thickBot="1">
      <c r="A33" s="393">
        <v>3</v>
      </c>
      <c r="B33" s="392"/>
      <c r="C33" s="392"/>
      <c r="D33" s="392"/>
      <c r="E33" s="392"/>
      <c r="F33" s="392"/>
      <c r="G33" s="392"/>
      <c r="H33" s="383"/>
      <c r="I33" s="163"/>
      <c r="J33" s="398" t="s">
        <v>245</v>
      </c>
      <c r="K33" s="398">
        <f>+'Master Budget Sheet'!BM170</f>
        <v>52699</v>
      </c>
      <c r="L33" s="411">
        <f>+'Master Budget Sheet'!AL176</f>
        <v>0</v>
      </c>
      <c r="M33" s="397">
        <f t="shared" ref="M33:M43" si="0">K33*L33</f>
        <v>0</v>
      </c>
    </row>
    <row r="34" spans="1:14" ht="12.6" thickBot="1">
      <c r="A34" s="393">
        <v>4</v>
      </c>
      <c r="B34" s="392"/>
      <c r="C34" s="392"/>
      <c r="D34" s="392"/>
      <c r="E34" s="392"/>
      <c r="F34" s="392"/>
      <c r="G34" s="383"/>
      <c r="H34" s="387"/>
      <c r="I34" s="163"/>
      <c r="J34" s="391" t="s">
        <v>246</v>
      </c>
      <c r="K34" s="391">
        <f>+'Master Budget Sheet'!BM171</f>
        <v>53760</v>
      </c>
      <c r="L34" s="411">
        <f>+'Master Budget Sheet'!AL177</f>
        <v>0</v>
      </c>
      <c r="M34" s="375">
        <f t="shared" si="0"/>
        <v>0</v>
      </c>
    </row>
    <row r="35" spans="1:14" ht="12.6" thickBot="1">
      <c r="A35" s="393">
        <v>5</v>
      </c>
      <c r="B35" s="392"/>
      <c r="C35" s="392"/>
      <c r="D35" s="392"/>
      <c r="E35" s="392"/>
      <c r="F35" s="383"/>
      <c r="G35" s="387"/>
      <c r="H35" s="382"/>
      <c r="I35" s="163"/>
      <c r="J35" s="396" t="s">
        <v>247</v>
      </c>
      <c r="K35" s="396">
        <f>+'Master Budget Sheet'!BM172</f>
        <v>55617</v>
      </c>
      <c r="L35" s="411">
        <f>+'Master Budget Sheet'!AL178</f>
        <v>0</v>
      </c>
      <c r="M35" s="375">
        <f t="shared" si="0"/>
        <v>0</v>
      </c>
    </row>
    <row r="36" spans="1:14" ht="12.6" thickBot="1">
      <c r="A36" s="393">
        <v>6</v>
      </c>
      <c r="B36" s="392"/>
      <c r="C36" s="392"/>
      <c r="D36" s="392"/>
      <c r="E36" s="383"/>
      <c r="F36" s="387"/>
      <c r="G36" s="382"/>
      <c r="H36" s="381"/>
      <c r="I36" s="163"/>
      <c r="J36" s="395" t="s">
        <v>248</v>
      </c>
      <c r="K36" s="395">
        <f>+'Master Budget Sheet'!BM173</f>
        <v>57473</v>
      </c>
      <c r="L36" s="411">
        <f>+'Master Budget Sheet'!AL179</f>
        <v>0</v>
      </c>
      <c r="M36" s="375">
        <f t="shared" si="0"/>
        <v>0</v>
      </c>
    </row>
    <row r="37" spans="1:14" ht="12.6" thickBot="1">
      <c r="A37" s="393">
        <v>7</v>
      </c>
      <c r="B37" s="392"/>
      <c r="C37" s="392"/>
      <c r="D37" s="383"/>
      <c r="E37" s="387"/>
      <c r="F37" s="382"/>
      <c r="G37" s="381"/>
      <c r="H37" s="380"/>
      <c r="I37" s="163"/>
      <c r="J37" s="394" t="s">
        <v>249</v>
      </c>
      <c r="K37" s="394">
        <f>+'Master Budget Sheet'!BM174</f>
        <v>59330</v>
      </c>
      <c r="L37" s="411">
        <f>+'Master Budget Sheet'!AL180</f>
        <v>0</v>
      </c>
      <c r="M37" s="375">
        <f t="shared" si="0"/>
        <v>0</v>
      </c>
    </row>
    <row r="38" spans="1:14" ht="12.6" thickBot="1">
      <c r="A38" s="393">
        <v>8</v>
      </c>
      <c r="B38" s="392"/>
      <c r="C38" s="383"/>
      <c r="D38" s="387"/>
      <c r="E38" s="382"/>
      <c r="F38" s="381"/>
      <c r="G38" s="380">
        <v>0</v>
      </c>
      <c r="H38" s="389"/>
      <c r="I38" s="163"/>
      <c r="J38" s="391" t="s">
        <v>250</v>
      </c>
      <c r="K38" s="391">
        <f>+'Master Budget Sheet'!BM175</f>
        <v>61186</v>
      </c>
      <c r="L38" s="411">
        <f>+'Master Budget Sheet'!AL181</f>
        <v>0</v>
      </c>
      <c r="M38" s="375">
        <f t="shared" si="0"/>
        <v>0</v>
      </c>
    </row>
    <row r="39" spans="1:14" ht="12.6" thickBot="1">
      <c r="A39" s="166">
        <v>9</v>
      </c>
      <c r="B39" s="383"/>
      <c r="C39" s="387"/>
      <c r="D39" s="382"/>
      <c r="E39" s="381"/>
      <c r="F39" s="380"/>
      <c r="G39" s="389"/>
      <c r="H39" s="379"/>
      <c r="I39" s="163"/>
      <c r="J39" s="390" t="s">
        <v>251</v>
      </c>
      <c r="K39" s="390">
        <f>+'Master Budget Sheet'!BM176</f>
        <v>64899</v>
      </c>
      <c r="L39" s="411">
        <f>+'Master Budget Sheet'!AL182</f>
        <v>1</v>
      </c>
      <c r="M39" s="375">
        <f t="shared" si="0"/>
        <v>64899</v>
      </c>
    </row>
    <row r="40" spans="1:14" ht="12.6" thickBot="1">
      <c r="A40" s="166">
        <v>10</v>
      </c>
      <c r="B40" s="383"/>
      <c r="C40" s="382"/>
      <c r="D40" s="381"/>
      <c r="E40" s="380"/>
      <c r="F40" s="389"/>
      <c r="G40" s="379"/>
      <c r="H40" s="387"/>
      <c r="I40" s="163"/>
      <c r="J40" s="388" t="s">
        <v>252</v>
      </c>
      <c r="K40" s="388">
        <f>+'Master Budget Sheet'!BM177</f>
        <v>67021</v>
      </c>
      <c r="L40" s="411">
        <f>+'Master Budget Sheet'!AL183</f>
        <v>0</v>
      </c>
      <c r="M40" s="375">
        <f t="shared" si="0"/>
        <v>0</v>
      </c>
    </row>
    <row r="41" spans="1:14" ht="12.6" thickBot="1">
      <c r="A41" s="166">
        <v>11</v>
      </c>
      <c r="B41" s="383"/>
      <c r="C41" s="382"/>
      <c r="D41" s="381"/>
      <c r="E41" s="380"/>
      <c r="F41" s="379"/>
      <c r="G41" s="387"/>
      <c r="H41" s="378"/>
      <c r="I41" s="163"/>
      <c r="J41" s="386" t="s">
        <v>253</v>
      </c>
      <c r="K41" s="386">
        <f>+'Master Budget Sheet'!BM178</f>
        <v>69143</v>
      </c>
      <c r="L41" s="411">
        <f>+'Master Budget Sheet'!AL184</f>
        <v>0</v>
      </c>
      <c r="M41" s="375">
        <f t="shared" si="0"/>
        <v>0</v>
      </c>
    </row>
    <row r="42" spans="1:14" ht="12.6" thickBot="1">
      <c r="A42" s="166">
        <v>12</v>
      </c>
      <c r="B42" s="383"/>
      <c r="C42" s="382"/>
      <c r="D42" s="381"/>
      <c r="E42" s="380"/>
      <c r="F42" s="379"/>
      <c r="G42" s="378"/>
      <c r="H42" s="385"/>
      <c r="I42" s="163"/>
      <c r="J42" s="384" t="s">
        <v>254</v>
      </c>
      <c r="K42" s="384">
        <f>+'Master Budget Sheet'!BM179</f>
        <v>71265</v>
      </c>
      <c r="L42" s="411">
        <f>+'Master Budget Sheet'!AL185</f>
        <v>0</v>
      </c>
      <c r="M42" s="375">
        <f t="shared" si="0"/>
        <v>0</v>
      </c>
    </row>
    <row r="43" spans="1:14" ht="12.6" thickBot="1">
      <c r="A43" s="166" t="s">
        <v>255</v>
      </c>
      <c r="B43" s="383"/>
      <c r="C43" s="382"/>
      <c r="D43" s="381"/>
      <c r="E43" s="380"/>
      <c r="F43" s="379"/>
      <c r="G43" s="378">
        <v>0</v>
      </c>
      <c r="H43" s="377"/>
      <c r="I43" s="163"/>
      <c r="J43" s="376" t="s">
        <v>256</v>
      </c>
      <c r="K43" s="376">
        <f>+'Master Budget Sheet'!BM180</f>
        <v>73386</v>
      </c>
      <c r="L43" s="411">
        <f>+'Master Budget Sheet'!AL186</f>
        <v>0</v>
      </c>
      <c r="M43" s="375">
        <f t="shared" si="0"/>
        <v>0</v>
      </c>
    </row>
    <row r="44" spans="1:14" s="184" customFormat="1" ht="12.6" thickBot="1">
      <c r="B44" s="163"/>
      <c r="C44" s="163"/>
      <c r="D44" s="163"/>
      <c r="E44" s="163"/>
      <c r="F44" s="163"/>
      <c r="G44" s="374" t="s">
        <v>53</v>
      </c>
      <c r="H44" s="373">
        <f>SUM(B30:H43)</f>
        <v>0</v>
      </c>
      <c r="I44" s="372"/>
      <c r="J44" s="371"/>
      <c r="K44" s="163"/>
      <c r="L44" s="370">
        <f>SUM(L29:L43)</f>
        <v>1</v>
      </c>
      <c r="M44" s="369">
        <f>SUM(M29:M43)</f>
        <v>64899</v>
      </c>
    </row>
    <row r="45" spans="1:14" ht="4.95" customHeight="1" thickTop="1" thickBot="1">
      <c r="A45" s="163"/>
      <c r="B45" s="163"/>
      <c r="C45" s="163"/>
      <c r="D45" s="163"/>
      <c r="E45" s="163"/>
      <c r="F45" s="163"/>
      <c r="G45" s="350"/>
      <c r="H45" s="163"/>
      <c r="I45" s="163"/>
      <c r="J45" s="163"/>
      <c r="K45" s="163"/>
      <c r="L45" s="163"/>
      <c r="M45" s="163"/>
    </row>
    <row r="46" spans="1:14" s="344" customFormat="1" ht="9.6" customHeight="1">
      <c r="A46" s="163"/>
      <c r="B46" s="163"/>
      <c r="C46" s="163"/>
      <c r="D46" s="163"/>
      <c r="E46" s="163"/>
      <c r="F46" s="163"/>
      <c r="G46" s="368"/>
      <c r="H46" s="163"/>
      <c r="J46" s="367" t="s">
        <v>260</v>
      </c>
      <c r="K46" s="366"/>
      <c r="L46" s="365"/>
      <c r="M46" s="364"/>
      <c r="N46" s="338"/>
    </row>
    <row r="47" spans="1:14" s="344" customFormat="1" ht="12">
      <c r="A47" s="163"/>
      <c r="B47" s="362"/>
      <c r="C47" s="362"/>
      <c r="D47" s="362"/>
      <c r="E47" s="362"/>
      <c r="F47" s="362"/>
      <c r="G47" s="350"/>
      <c r="H47" s="362"/>
      <c r="J47" s="348" t="s">
        <v>385</v>
      </c>
      <c r="K47" s="343"/>
      <c r="L47" s="343"/>
      <c r="M47" s="363"/>
      <c r="N47" s="338"/>
    </row>
    <row r="48" spans="1:14" s="356" customFormat="1" ht="12">
      <c r="A48" s="362"/>
      <c r="B48" s="163"/>
      <c r="C48" s="163"/>
      <c r="D48" s="163"/>
      <c r="E48" s="163"/>
      <c r="F48" s="163"/>
      <c r="G48" s="350"/>
      <c r="H48" s="163"/>
      <c r="J48" s="361" t="s">
        <v>261</v>
      </c>
      <c r="K48" s="360" t="s">
        <v>168</v>
      </c>
      <c r="L48" s="359" t="s">
        <v>372</v>
      </c>
      <c r="M48" s="358" t="s">
        <v>259</v>
      </c>
      <c r="N48" s="357"/>
    </row>
    <row r="49" spans="1:15" s="344" customFormat="1" ht="12">
      <c r="A49" s="163"/>
      <c r="B49" s="163"/>
      <c r="C49" s="163"/>
      <c r="D49" s="163"/>
      <c r="E49" s="163"/>
      <c r="F49" s="163"/>
      <c r="G49" s="350"/>
      <c r="H49" s="163"/>
      <c r="J49" s="355" t="s">
        <v>262</v>
      </c>
      <c r="K49" s="354">
        <f>+'Master Budget Sheet'!AL188</f>
        <v>1</v>
      </c>
      <c r="L49" s="353">
        <v>2000</v>
      </c>
      <c r="M49" s="352">
        <f>K49*L49</f>
        <v>2000</v>
      </c>
      <c r="N49" s="338"/>
    </row>
    <row r="50" spans="1:15" s="344" customFormat="1" ht="12">
      <c r="A50" s="163"/>
      <c r="B50" s="163"/>
      <c r="C50" s="163"/>
      <c r="D50" s="163"/>
      <c r="E50" s="163"/>
      <c r="F50" s="163"/>
      <c r="G50" s="350"/>
      <c r="H50" s="163"/>
      <c r="J50" s="355" t="s">
        <v>263</v>
      </c>
      <c r="K50" s="354">
        <f>+'Master Budget Sheet'!AL189</f>
        <v>1</v>
      </c>
      <c r="L50" s="353">
        <v>3500</v>
      </c>
      <c r="M50" s="352">
        <f>K50*L50</f>
        <v>3500</v>
      </c>
      <c r="N50" s="338"/>
    </row>
    <row r="51" spans="1:15" s="344" customFormat="1" ht="12">
      <c r="A51" s="163"/>
      <c r="B51" s="163"/>
      <c r="C51" s="163"/>
      <c r="D51" s="163"/>
      <c r="E51" s="163"/>
      <c r="F51" s="163"/>
      <c r="G51" s="350"/>
      <c r="H51" s="163"/>
      <c r="I51" s="343"/>
      <c r="J51" s="349"/>
      <c r="K51" s="351"/>
      <c r="L51" s="346" t="s">
        <v>264</v>
      </c>
      <c r="M51" s="345">
        <f>SUM(M49:M50)</f>
        <v>5500</v>
      </c>
      <c r="N51" s="338"/>
    </row>
    <row r="52" spans="1:15" s="344" customFormat="1" ht="13.8">
      <c r="A52" s="163"/>
      <c r="B52" s="163"/>
      <c r="C52" s="163"/>
      <c r="D52" s="163"/>
      <c r="E52" s="163"/>
      <c r="F52" s="163"/>
      <c r="G52" s="350"/>
      <c r="H52" s="163"/>
      <c r="I52" s="343"/>
      <c r="J52" s="349"/>
      <c r="K52" s="282" t="s">
        <v>366</v>
      </c>
      <c r="L52" s="346"/>
      <c r="M52" s="345"/>
      <c r="N52" s="270" t="s">
        <v>384</v>
      </c>
    </row>
    <row r="53" spans="1:15" s="344" customFormat="1" ht="12">
      <c r="A53" s="163"/>
      <c r="B53" s="163"/>
      <c r="C53" s="163"/>
      <c r="D53" s="163"/>
      <c r="E53" s="163"/>
      <c r="F53" s="163"/>
      <c r="G53" s="163"/>
      <c r="H53" s="163"/>
      <c r="I53" s="343"/>
      <c r="J53" s="348"/>
      <c r="K53" s="347"/>
      <c r="L53" s="346" t="s">
        <v>383</v>
      </c>
      <c r="M53" s="345">
        <f>M44+M51</f>
        <v>70399</v>
      </c>
      <c r="N53" s="338"/>
    </row>
    <row r="54" spans="1:15" ht="12.6" thickBot="1">
      <c r="A54" s="163"/>
      <c r="B54" s="163"/>
      <c r="C54" s="163"/>
      <c r="D54" s="163"/>
      <c r="E54" s="163"/>
      <c r="F54" s="163"/>
      <c r="G54" s="163"/>
      <c r="H54" s="163"/>
      <c r="I54" s="343"/>
      <c r="J54" s="342"/>
      <c r="K54" s="341"/>
      <c r="L54" s="340" t="s">
        <v>363</v>
      </c>
      <c r="M54" s="339">
        <f>IF(L44&gt;0, M53/L44,0)</f>
        <v>70399</v>
      </c>
      <c r="N54" s="338"/>
    </row>
    <row r="55" spans="1:15" ht="10.199999999999999" customHeight="1" thickBot="1">
      <c r="A55" s="163"/>
      <c r="I55" s="163"/>
      <c r="J55" s="163"/>
      <c r="K55" s="163"/>
      <c r="L55" s="163"/>
      <c r="M55" s="163"/>
    </row>
    <row r="56" spans="1:15" s="337" customFormat="1" ht="47.55" customHeight="1" thickBot="1">
      <c r="A56" s="1239" t="s">
        <v>382</v>
      </c>
      <c r="B56" s="1240"/>
      <c r="C56" s="1240"/>
      <c r="D56" s="1240"/>
      <c r="E56" s="1240"/>
      <c r="F56" s="1240"/>
      <c r="G56" s="1240"/>
      <c r="H56" s="1240"/>
      <c r="I56" s="1240"/>
      <c r="J56" s="1240"/>
      <c r="K56" s="1240"/>
      <c r="L56" s="1240"/>
      <c r="M56" s="1240"/>
      <c r="N56" s="1240"/>
      <c r="O56" s="1241"/>
    </row>
  </sheetData>
  <mergeCells count="4">
    <mergeCell ref="B3:F3"/>
    <mergeCell ref="B4:F4"/>
    <mergeCell ref="B5:F5"/>
    <mergeCell ref="A56:O56"/>
  </mergeCells>
  <pageMargins left="0.75" right="0.25" top="0" bottom="0" header="0.3" footer="0.3"/>
  <pageSetup scale="76" orientation="landscape"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102">
    <tabColor rgb="FFFFFF00"/>
    <pageSetUpPr fitToPage="1"/>
  </sheetPr>
  <dimension ref="C1:M27"/>
  <sheetViews>
    <sheetView showGridLines="0" zoomScale="85" workbookViewId="0">
      <selection activeCell="D22" sqref="D22"/>
    </sheetView>
  </sheetViews>
  <sheetFormatPr defaultColWidth="10.44140625" defaultRowHeight="13.2"/>
  <cols>
    <col min="1" max="2" width="5.44140625" style="260" customWidth="1"/>
    <col min="3" max="3" width="33.44140625" style="63" customWidth="1"/>
    <col min="4" max="4" width="24.5546875" style="64" customWidth="1"/>
    <col min="5" max="5" width="10.44140625" style="63"/>
    <col min="6" max="10" width="10.44140625" style="260"/>
    <col min="11" max="11" width="11.5546875" style="260" customWidth="1"/>
    <col min="12" max="12" width="12.44140625" style="260" customWidth="1"/>
    <col min="13" max="16384" width="10.44140625" style="260"/>
  </cols>
  <sheetData>
    <row r="1" spans="3:13" ht="13.8" thickBot="1"/>
    <row r="2" spans="3:13">
      <c r="C2" s="65"/>
      <c r="D2" s="66"/>
      <c r="E2" s="67"/>
      <c r="F2" s="267"/>
      <c r="G2" s="267"/>
      <c r="H2" s="267"/>
      <c r="I2" s="267"/>
      <c r="J2" s="267"/>
      <c r="K2" s="267"/>
      <c r="L2" s="267"/>
      <c r="M2" s="266"/>
    </row>
    <row r="3" spans="3:13">
      <c r="C3" s="68" t="s">
        <v>119</v>
      </c>
      <c r="D3" s="69"/>
      <c r="E3" s="70"/>
      <c r="F3" s="264"/>
      <c r="G3" s="264"/>
      <c r="H3" s="264"/>
      <c r="I3" s="264"/>
      <c r="J3" s="264"/>
      <c r="K3" s="264"/>
      <c r="M3" s="263"/>
    </row>
    <row r="4" spans="3:13">
      <c r="C4" s="68" t="s">
        <v>120</v>
      </c>
      <c r="D4" s="69"/>
      <c r="E4" s="70"/>
      <c r="F4" s="264"/>
      <c r="G4" s="264"/>
      <c r="H4" s="264"/>
      <c r="I4" s="264"/>
      <c r="J4" s="264"/>
      <c r="K4" s="264"/>
      <c r="M4" s="263"/>
    </row>
    <row r="5" spans="3:13">
      <c r="C5" s="68" t="s">
        <v>355</v>
      </c>
      <c r="D5" s="71"/>
      <c r="E5" s="72"/>
      <c r="F5" s="265"/>
      <c r="G5" s="265"/>
      <c r="H5" s="265"/>
      <c r="I5" s="264"/>
      <c r="J5" s="264"/>
      <c r="K5" s="264"/>
      <c r="M5" s="263"/>
    </row>
    <row r="6" spans="3:13">
      <c r="C6" s="68"/>
      <c r="D6" s="69"/>
      <c r="E6" s="70"/>
      <c r="F6" s="264"/>
      <c r="G6" s="264"/>
      <c r="H6" s="264"/>
      <c r="I6" s="264"/>
      <c r="J6" s="264"/>
      <c r="K6" s="264"/>
      <c r="M6" s="263"/>
    </row>
    <row r="7" spans="3:13" ht="25.05" customHeight="1">
      <c r="C7" s="73" t="s">
        <v>121</v>
      </c>
      <c r="D7" s="74"/>
      <c r="E7" s="64" t="s">
        <v>122</v>
      </c>
      <c r="M7" s="263"/>
    </row>
    <row r="8" spans="3:13" ht="25.05" customHeight="1">
      <c r="C8" s="73" t="s">
        <v>123</v>
      </c>
      <c r="D8" s="74"/>
      <c r="E8" s="64" t="s">
        <v>122</v>
      </c>
      <c r="M8" s="263"/>
    </row>
    <row r="9" spans="3:13" ht="25.05" customHeight="1">
      <c r="C9" s="73" t="s">
        <v>124</v>
      </c>
      <c r="D9" s="75">
        <f>+'Master Budget Sheet'!AR19</f>
        <v>17.940000000000001</v>
      </c>
      <c r="E9" s="64" t="s">
        <v>125</v>
      </c>
      <c r="M9" s="263"/>
    </row>
    <row r="10" spans="3:13" ht="25.05" customHeight="1">
      <c r="C10" s="76" t="s">
        <v>126</v>
      </c>
      <c r="D10" s="77" t="s">
        <v>127</v>
      </c>
      <c r="E10" s="78" t="s">
        <v>128</v>
      </c>
      <c r="M10" s="263"/>
    </row>
    <row r="11" spans="3:13" ht="25.05" customHeight="1">
      <c r="C11" s="73" t="s">
        <v>129</v>
      </c>
      <c r="D11" s="79">
        <f>'AdminIndex (6)'!H61</f>
        <v>1.5555000000000001</v>
      </c>
      <c r="E11" s="80" t="s">
        <v>130</v>
      </c>
      <c r="M11" s="263"/>
    </row>
    <row r="12" spans="3:13" ht="25.05" customHeight="1">
      <c r="C12" s="73" t="s">
        <v>131</v>
      </c>
      <c r="D12" s="81">
        <f>'Instructional fte (6)'!E43</f>
        <v>69485.158823529404</v>
      </c>
      <c r="E12" s="80" t="s">
        <v>353</v>
      </c>
      <c r="M12" s="263"/>
    </row>
    <row r="13" spans="3:13" ht="25.05" customHeight="1">
      <c r="C13" s="73" t="s">
        <v>354</v>
      </c>
      <c r="D13" s="269">
        <f>'Pupil Services fte (6)'!M54</f>
        <v>74532</v>
      </c>
      <c r="E13" s="80" t="s">
        <v>352</v>
      </c>
      <c r="M13" s="263"/>
    </row>
    <row r="14" spans="3:13" ht="25.05" customHeight="1">
      <c r="C14" s="73" t="s">
        <v>132</v>
      </c>
      <c r="D14" s="79">
        <f>'AdminIndex (6)'!H40</f>
        <v>1</v>
      </c>
      <c r="E14" s="80" t="s">
        <v>130</v>
      </c>
      <c r="M14" s="263"/>
    </row>
    <row r="15" spans="3:13" ht="22.2" customHeight="1">
      <c r="C15" s="73" t="s">
        <v>133</v>
      </c>
      <c r="D15" s="82">
        <f>'Instructional fte (6)'!B26</f>
        <v>17</v>
      </c>
      <c r="E15" s="80" t="s">
        <v>353</v>
      </c>
      <c r="M15" s="263"/>
    </row>
    <row r="16" spans="3:13" ht="25.05" customHeight="1">
      <c r="C16" s="73" t="s">
        <v>134</v>
      </c>
      <c r="D16" s="79">
        <f>'Pupil Services fte (6)'!L44</f>
        <v>1</v>
      </c>
      <c r="E16" s="80" t="s">
        <v>352</v>
      </c>
      <c r="M16" s="263"/>
    </row>
    <row r="17" spans="3:13" ht="25.05" customHeight="1">
      <c r="C17" s="73" t="s">
        <v>135</v>
      </c>
      <c r="D17" s="83">
        <f>+'Master Budget Sheet'!AQ193</f>
        <v>12.1</v>
      </c>
      <c r="E17" s="64" t="s">
        <v>122</v>
      </c>
      <c r="M17" s="263"/>
    </row>
    <row r="18" spans="3:13" ht="25.05" customHeight="1">
      <c r="C18" s="73" t="s">
        <v>136</v>
      </c>
      <c r="D18" s="84">
        <f>+'Master Budget Sheet'!AR90</f>
        <v>202155</v>
      </c>
      <c r="E18" s="64" t="s">
        <v>122</v>
      </c>
      <c r="M18" s="263"/>
    </row>
    <row r="19" spans="3:13" ht="25.05" customHeight="1">
      <c r="C19" s="73" t="s">
        <v>137</v>
      </c>
      <c r="D19" s="84">
        <f>+'Master Budget Sheet'!AR163</f>
        <v>1139641.835</v>
      </c>
      <c r="E19" s="64" t="s">
        <v>122</v>
      </c>
      <c r="M19" s="263"/>
    </row>
    <row r="20" spans="3:13" ht="25.05" customHeight="1">
      <c r="C20" s="73" t="s">
        <v>138</v>
      </c>
      <c r="D20" s="84">
        <f>+'Master Budget Sheet'!AR191</f>
        <v>77975.91</v>
      </c>
      <c r="E20" s="64" t="s">
        <v>122</v>
      </c>
      <c r="M20" s="263"/>
    </row>
    <row r="21" spans="3:13" ht="25.05" customHeight="1">
      <c r="C21" s="73" t="s">
        <v>139</v>
      </c>
      <c r="D21" s="84">
        <f>+'Master Budget Sheet'!AR193</f>
        <v>303328</v>
      </c>
      <c r="E21" s="64" t="s">
        <v>122</v>
      </c>
      <c r="M21" s="263"/>
    </row>
    <row r="22" spans="3:13" ht="20.100000000000001" customHeight="1">
      <c r="C22" s="73" t="s">
        <v>140</v>
      </c>
      <c r="D22" s="85"/>
      <c r="M22" s="263"/>
    </row>
    <row r="23" spans="3:13" ht="20.100000000000001" customHeight="1">
      <c r="C23" s="86" t="s">
        <v>141</v>
      </c>
      <c r="M23" s="263"/>
    </row>
    <row r="24" spans="3:13" ht="20.100000000000001" customHeight="1">
      <c r="C24" s="87" t="s">
        <v>142</v>
      </c>
      <c r="M24" s="263"/>
    </row>
    <row r="25" spans="3:13" ht="20.100000000000001" customHeight="1">
      <c r="C25" s="87"/>
      <c r="M25" s="263"/>
    </row>
    <row r="26" spans="3:13" ht="20.100000000000001" customHeight="1">
      <c r="C26" s="73" t="s">
        <v>143</v>
      </c>
      <c r="M26" s="263"/>
    </row>
    <row r="27" spans="3:13" ht="13.8" thickBot="1">
      <c r="C27" s="88" t="s">
        <v>144</v>
      </c>
      <c r="D27" s="89"/>
      <c r="E27" s="90"/>
      <c r="F27" s="262"/>
      <c r="G27" s="262"/>
      <c r="H27" s="262"/>
      <c r="I27" s="262"/>
      <c r="J27" s="262"/>
      <c r="K27" s="262"/>
      <c r="L27" s="262"/>
      <c r="M27" s="261"/>
    </row>
  </sheetData>
  <printOptions horizontalCentered="1" verticalCentered="1"/>
  <pageMargins left="0.47" right="0.2" top="0.52" bottom="0.25" header="0.5" footer="0.22"/>
  <pageSetup scale="81" orientation="landscape"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103">
    <pageSetUpPr fitToPage="1"/>
  </sheetPr>
  <dimension ref="A1:AA53"/>
  <sheetViews>
    <sheetView zoomScaleNormal="100" workbookViewId="0">
      <selection activeCell="I12" sqref="I12"/>
    </sheetView>
  </sheetViews>
  <sheetFormatPr defaultColWidth="10.44140625" defaultRowHeight="13.8"/>
  <cols>
    <col min="1" max="1" width="8.21875" style="91" customWidth="1"/>
    <col min="2" max="2" width="4.44140625" style="91" customWidth="1"/>
    <col min="3" max="3" width="13.77734375" style="91" customWidth="1"/>
    <col min="4" max="4" width="2" style="91" customWidth="1"/>
    <col min="5" max="5" width="13.77734375" style="91" customWidth="1"/>
    <col min="6" max="6" width="2" style="91" customWidth="1"/>
    <col min="7" max="7" width="13.77734375" style="91" customWidth="1"/>
    <col min="8" max="8" width="1.21875" style="91" customWidth="1"/>
    <col min="9" max="9" width="13.77734375" style="91" customWidth="1"/>
    <col min="10" max="10" width="2.21875" style="91" customWidth="1"/>
    <col min="11" max="11" width="13.77734375" style="91" customWidth="1"/>
    <col min="12" max="12" width="1.21875" style="91" customWidth="1"/>
    <col min="13" max="13" width="14.77734375" style="91" customWidth="1"/>
    <col min="14" max="14" width="1.21875" style="91" customWidth="1"/>
    <col min="15" max="15" width="13.77734375" style="91" customWidth="1"/>
    <col min="16" max="16" width="1.21875" style="91" customWidth="1"/>
    <col min="17" max="17" width="13.77734375" style="91" customWidth="1"/>
    <col min="18" max="18" width="1.21875" style="91" customWidth="1"/>
    <col min="19" max="19" width="13.77734375" style="91" customWidth="1"/>
    <col min="20" max="20" width="1.21875" style="91" customWidth="1"/>
    <col min="21" max="21" width="13.77734375" style="91" customWidth="1"/>
    <col min="22" max="22" width="1.21875" style="91" customWidth="1"/>
    <col min="23" max="23" width="13.77734375" style="91" customWidth="1"/>
    <col min="24" max="24" width="1.21875" style="91" customWidth="1"/>
    <col min="25" max="25" width="13.77734375" style="91" customWidth="1"/>
    <col min="26" max="26" width="1.21875" style="91" customWidth="1"/>
    <col min="27" max="16384" width="10.44140625" style="91"/>
  </cols>
  <sheetData>
    <row r="1" spans="1:25">
      <c r="A1" s="1233"/>
      <c r="B1" s="1233"/>
      <c r="C1" s="1233"/>
      <c r="D1" s="1233"/>
      <c r="E1" s="1233"/>
      <c r="F1" s="1233"/>
      <c r="G1" s="1233"/>
      <c r="H1" s="1233"/>
      <c r="I1" s="1233"/>
      <c r="J1" s="1233"/>
      <c r="K1" s="1233"/>
      <c r="L1" s="1233"/>
      <c r="M1" s="1233"/>
      <c r="N1" s="1233"/>
      <c r="O1" s="1233"/>
      <c r="P1" s="1233"/>
      <c r="Q1" s="1233"/>
      <c r="R1" s="1233"/>
      <c r="S1" s="1233"/>
      <c r="T1" s="1233"/>
      <c r="U1" s="1233"/>
      <c r="V1" s="1233"/>
      <c r="W1" s="1233"/>
      <c r="X1" s="1233"/>
      <c r="Y1" s="1233"/>
    </row>
    <row r="2" spans="1:25">
      <c r="A2" s="1233" t="s">
        <v>145</v>
      </c>
      <c r="B2" s="1233"/>
      <c r="C2" s="1233"/>
      <c r="D2" s="1233"/>
      <c r="E2" s="1233"/>
      <c r="F2" s="1233"/>
      <c r="G2" s="1233"/>
      <c r="H2" s="1233"/>
      <c r="I2" s="1233"/>
      <c r="J2" s="1233"/>
      <c r="K2" s="1233"/>
      <c r="L2" s="1233"/>
      <c r="M2" s="1233"/>
      <c r="N2" s="1233"/>
      <c r="O2" s="1233"/>
      <c r="P2" s="1233"/>
      <c r="Q2" s="1233"/>
      <c r="R2" s="1233"/>
      <c r="S2" s="1233"/>
      <c r="T2" s="1233"/>
      <c r="U2" s="1233"/>
      <c r="V2" s="1233"/>
      <c r="W2" s="1233"/>
      <c r="X2" s="1233"/>
      <c r="Y2" s="1233"/>
    </row>
    <row r="3" spans="1:25">
      <c r="A3" s="1233" t="s">
        <v>146</v>
      </c>
      <c r="B3" s="1233"/>
      <c r="C3" s="1233"/>
      <c r="D3" s="1233"/>
      <c r="E3" s="1233"/>
      <c r="F3" s="1233"/>
      <c r="G3" s="1233"/>
      <c r="H3" s="1233"/>
      <c r="I3" s="1233"/>
      <c r="J3" s="1233"/>
      <c r="K3" s="1233"/>
      <c r="L3" s="1233"/>
      <c r="M3" s="1233"/>
      <c r="N3" s="1233"/>
      <c r="O3" s="1233"/>
      <c r="P3" s="1233"/>
      <c r="Q3" s="1233"/>
      <c r="R3" s="1233"/>
      <c r="S3" s="1233"/>
      <c r="T3" s="1233"/>
      <c r="U3" s="1233"/>
      <c r="V3" s="1233"/>
      <c r="W3" s="1233"/>
      <c r="X3" s="1233"/>
      <c r="Y3" s="1233"/>
    </row>
    <row r="4" spans="1:25">
      <c r="A4" s="1233" t="s">
        <v>147</v>
      </c>
      <c r="B4" s="1233"/>
      <c r="C4" s="1233"/>
      <c r="D4" s="1233"/>
      <c r="E4" s="1233"/>
      <c r="F4" s="1233"/>
      <c r="G4" s="1233"/>
      <c r="H4" s="1233"/>
      <c r="I4" s="1233"/>
      <c r="J4" s="1233"/>
      <c r="K4" s="1233"/>
      <c r="L4" s="1233"/>
      <c r="M4" s="1233"/>
      <c r="N4" s="1233"/>
      <c r="O4" s="1233"/>
      <c r="P4" s="1233"/>
      <c r="Q4" s="1233"/>
      <c r="R4" s="1233"/>
      <c r="S4" s="1233"/>
      <c r="T4" s="1233"/>
      <c r="U4" s="1233"/>
      <c r="V4" s="1233"/>
      <c r="W4" s="1233"/>
      <c r="X4" s="1233"/>
      <c r="Y4" s="1233"/>
    </row>
    <row r="7" spans="1:25">
      <c r="A7" s="91" t="s">
        <v>148</v>
      </c>
      <c r="B7" s="92">
        <f>'Enter Data Elements (6)'!D7</f>
        <v>0</v>
      </c>
      <c r="C7" s="93">
        <f>'Enter Data Elements (6)'!D8</f>
        <v>0</v>
      </c>
      <c r="D7" s="94"/>
      <c r="E7" s="94"/>
    </row>
    <row r="9" spans="1:25">
      <c r="A9" s="91" t="s">
        <v>149</v>
      </c>
      <c r="P9" s="91" t="s">
        <v>150</v>
      </c>
      <c r="W9" s="94"/>
    </row>
    <row r="10" spans="1:25">
      <c r="A10" s="91" t="s">
        <v>151</v>
      </c>
      <c r="I10" s="95">
        <v>1.84399</v>
      </c>
      <c r="J10" s="95"/>
      <c r="P10" s="91" t="s">
        <v>151</v>
      </c>
      <c r="W10" s="96">
        <f>'Enter Data Elements (6)'!D11</f>
        <v>1.5555000000000001</v>
      </c>
    </row>
    <row r="11" spans="1:25">
      <c r="A11" s="91" t="s">
        <v>152</v>
      </c>
      <c r="I11" s="97">
        <v>1.86643</v>
      </c>
      <c r="J11" s="95"/>
      <c r="K11" s="98">
        <f>IF(I10&gt;I11,ROUND(I11/I10,4),1)</f>
        <v>1</v>
      </c>
      <c r="P11" s="91" t="s">
        <v>153</v>
      </c>
      <c r="W11" s="99">
        <f>W10*K11</f>
        <v>1.5555000000000001</v>
      </c>
    </row>
    <row r="12" spans="1:25">
      <c r="A12" s="91" t="s">
        <v>154</v>
      </c>
      <c r="I12" s="100">
        <f>0.0765+0.1738</f>
        <v>0.25030000000000002</v>
      </c>
      <c r="P12" s="91" t="s">
        <v>155</v>
      </c>
      <c r="W12" s="101">
        <f>'Enter Data Elements (6)'!D9</f>
        <v>17.940000000000001</v>
      </c>
    </row>
    <row r="13" spans="1:25">
      <c r="I13" s="97"/>
      <c r="J13" s="95"/>
      <c r="K13" s="98"/>
    </row>
    <row r="14" spans="1:25">
      <c r="J14" s="102"/>
      <c r="W14" s="103"/>
    </row>
    <row r="16" spans="1:25" ht="16.2" customHeight="1">
      <c r="C16" s="112" t="s">
        <v>156</v>
      </c>
      <c r="D16" s="112"/>
      <c r="E16" s="112" t="s">
        <v>156</v>
      </c>
      <c r="F16" s="112"/>
      <c r="G16" s="1234" t="s">
        <v>157</v>
      </c>
      <c r="H16" s="1235"/>
      <c r="I16" s="1236"/>
      <c r="J16" s="104"/>
      <c r="K16" s="112" t="s">
        <v>158</v>
      </c>
      <c r="L16" s="112"/>
      <c r="M16" s="112" t="s">
        <v>159</v>
      </c>
      <c r="N16" s="112"/>
      <c r="O16" s="112" t="s">
        <v>160</v>
      </c>
      <c r="P16" s="112"/>
      <c r="Q16" s="112" t="s">
        <v>156</v>
      </c>
      <c r="R16" s="112"/>
      <c r="S16" s="112" t="s">
        <v>156</v>
      </c>
      <c r="T16" s="112"/>
      <c r="U16" s="112" t="s">
        <v>161</v>
      </c>
      <c r="V16" s="112"/>
      <c r="W16" s="112" t="s">
        <v>162</v>
      </c>
      <c r="Y16" s="112" t="s">
        <v>163</v>
      </c>
    </row>
    <row r="17" spans="1:25">
      <c r="C17" s="112" t="s">
        <v>164</v>
      </c>
      <c r="D17" s="112"/>
      <c r="E17" s="112" t="s">
        <v>164</v>
      </c>
      <c r="F17" s="112"/>
      <c r="G17" s="104" t="s">
        <v>165</v>
      </c>
      <c r="H17" s="104"/>
      <c r="I17" s="104" t="s">
        <v>166</v>
      </c>
      <c r="J17" s="112"/>
      <c r="K17" s="112" t="s">
        <v>167</v>
      </c>
      <c r="L17" s="112"/>
      <c r="M17" s="112" t="s">
        <v>156</v>
      </c>
      <c r="N17" s="112"/>
      <c r="O17" s="112" t="s">
        <v>168</v>
      </c>
      <c r="P17" s="112"/>
      <c r="Q17" s="112" t="s">
        <v>164</v>
      </c>
      <c r="S17" s="112" t="s">
        <v>169</v>
      </c>
      <c r="U17" s="112" t="s">
        <v>170</v>
      </c>
      <c r="V17" s="112"/>
      <c r="W17" s="112" t="s">
        <v>170</v>
      </c>
      <c r="Y17" s="112" t="s">
        <v>171</v>
      </c>
    </row>
    <row r="18" spans="1:25">
      <c r="C18" s="112" t="s">
        <v>172</v>
      </c>
      <c r="E18" s="112" t="s">
        <v>168</v>
      </c>
      <c r="G18" s="112" t="s">
        <v>173</v>
      </c>
      <c r="H18" s="112"/>
      <c r="I18" s="112" t="s">
        <v>173</v>
      </c>
      <c r="K18" s="112" t="s">
        <v>164</v>
      </c>
      <c r="L18" s="112"/>
      <c r="M18" s="112" t="s">
        <v>164</v>
      </c>
      <c r="Q18" s="112" t="s">
        <v>168</v>
      </c>
      <c r="Y18" s="112" t="s">
        <v>174</v>
      </c>
    </row>
    <row r="19" spans="1:25">
      <c r="G19" s="112"/>
      <c r="I19" s="112"/>
      <c r="K19" s="112" t="s">
        <v>168</v>
      </c>
      <c r="L19" s="112"/>
      <c r="M19" s="112" t="s">
        <v>168</v>
      </c>
      <c r="Y19" s="112" t="s">
        <v>175</v>
      </c>
    </row>
    <row r="20" spans="1:25">
      <c r="E20" s="112" t="s">
        <v>176</v>
      </c>
      <c r="F20" s="112"/>
      <c r="L20" s="112"/>
      <c r="M20" s="112" t="s">
        <v>177</v>
      </c>
      <c r="Q20" s="105" t="s">
        <v>178</v>
      </c>
      <c r="W20" s="112" t="s">
        <v>179</v>
      </c>
      <c r="Y20" s="112" t="s">
        <v>180</v>
      </c>
    </row>
    <row r="21" spans="1:25">
      <c r="C21" s="112" t="s">
        <v>181</v>
      </c>
      <c r="D21" s="112"/>
      <c r="E21" s="112" t="s">
        <v>182</v>
      </c>
      <c r="F21" s="112"/>
      <c r="G21" s="112" t="s">
        <v>183</v>
      </c>
      <c r="H21" s="112"/>
      <c r="I21" s="112" t="s">
        <v>184</v>
      </c>
      <c r="J21" s="112"/>
      <c r="K21" s="112" t="s">
        <v>185</v>
      </c>
      <c r="L21" s="112"/>
      <c r="M21" s="112" t="s">
        <v>186</v>
      </c>
      <c r="N21" s="112"/>
      <c r="O21" s="112" t="s">
        <v>187</v>
      </c>
      <c r="P21" s="112"/>
      <c r="Q21" s="112" t="s">
        <v>188</v>
      </c>
      <c r="R21" s="112"/>
      <c r="S21" s="104" t="str">
        <f>LOWER("I")</f>
        <v>i</v>
      </c>
      <c r="T21" s="112"/>
      <c r="U21" s="112" t="s">
        <v>189</v>
      </c>
      <c r="V21" s="112"/>
      <c r="W21" s="112" t="s">
        <v>190</v>
      </c>
      <c r="X21" s="112"/>
      <c r="Y21" s="112" t="s">
        <v>191</v>
      </c>
    </row>
    <row r="22" spans="1:25">
      <c r="O22" s="94"/>
    </row>
    <row r="23" spans="1:25">
      <c r="A23" s="91" t="s">
        <v>192</v>
      </c>
      <c r="C23" s="106">
        <v>7.4999999999999997E-2</v>
      </c>
      <c r="D23" s="107"/>
      <c r="E23" s="108">
        <f>$W$12*C23</f>
        <v>1.3455000000000001</v>
      </c>
      <c r="G23" s="109"/>
      <c r="I23" s="109"/>
      <c r="K23" s="109"/>
      <c r="M23" s="108">
        <f>E23+G23</f>
        <v>1.3455000000000001</v>
      </c>
      <c r="O23" s="96">
        <f>'Enter Data Elements (6)'!D14</f>
        <v>1</v>
      </c>
      <c r="Q23" s="108">
        <f>M23</f>
        <v>1.3455000000000001</v>
      </c>
      <c r="S23" s="108">
        <f>W11</f>
        <v>1.5555000000000001</v>
      </c>
      <c r="U23" s="110">
        <f>+'Master Budget Sheet'!AR13</f>
        <v>48567</v>
      </c>
      <c r="W23" s="111">
        <f>S23*U23</f>
        <v>75545.968500000003</v>
      </c>
      <c r="Y23" s="111">
        <f>Q23*W23</f>
        <v>101647.10061675002</v>
      </c>
    </row>
    <row r="24" spans="1:25">
      <c r="O24" s="94"/>
      <c r="Q24" s="105"/>
    </row>
    <row r="25" spans="1:25">
      <c r="A25" s="91" t="s">
        <v>193</v>
      </c>
      <c r="C25" s="106">
        <v>1.0209999999999999</v>
      </c>
      <c r="D25" s="107"/>
      <c r="E25" s="108">
        <f>$W$12*C25</f>
        <v>18.316739999999999</v>
      </c>
      <c r="G25" s="109"/>
      <c r="I25" s="109"/>
      <c r="K25" s="109"/>
      <c r="M25" s="108">
        <f>E25+G25+I25+K25</f>
        <v>18.316739999999999</v>
      </c>
      <c r="O25" s="96">
        <f>'Enter Data Elements (6)'!D15</f>
        <v>17</v>
      </c>
      <c r="Q25" s="108">
        <f>M25</f>
        <v>18.316739999999999</v>
      </c>
      <c r="S25" s="109"/>
      <c r="U25" s="109"/>
      <c r="W25" s="101">
        <f>'Enter Data Elements (6)'!D12</f>
        <v>69485.158823529404</v>
      </c>
      <c r="Y25" s="111">
        <f>Q25*W25</f>
        <v>1272741.588029294</v>
      </c>
    </row>
    <row r="26" spans="1:25" ht="12.75" customHeight="1">
      <c r="O26" s="94"/>
      <c r="Q26" s="105"/>
      <c r="S26" s="112"/>
    </row>
    <row r="27" spans="1:25">
      <c r="A27" s="91" t="s">
        <v>194</v>
      </c>
      <c r="C27" s="106">
        <v>7.9000000000000001E-2</v>
      </c>
      <c r="D27" s="107"/>
      <c r="E27" s="108">
        <f>$W$12*C27</f>
        <v>1.4172600000000002</v>
      </c>
      <c r="G27" s="109"/>
      <c r="I27" s="109"/>
      <c r="K27" s="109"/>
      <c r="M27" s="108">
        <f>E27+G27+I27+K27</f>
        <v>1.4172600000000002</v>
      </c>
      <c r="O27" s="96">
        <f>'Enter Data Elements (6)'!D16</f>
        <v>1</v>
      </c>
      <c r="Q27" s="108">
        <f>M27</f>
        <v>1.4172600000000002</v>
      </c>
      <c r="S27" s="109"/>
      <c r="U27" s="109"/>
      <c r="W27" s="101">
        <f>IF('Enter Data Elements (6)'!D13&gt;0,'Enter Data Elements (6)'!D13, W25)</f>
        <v>74532</v>
      </c>
      <c r="Y27" s="111">
        <f>Q27*W27</f>
        <v>105631.22232000002</v>
      </c>
    </row>
    <row r="28" spans="1:25" ht="12.75" customHeight="1">
      <c r="O28" s="94"/>
      <c r="Q28" s="105"/>
      <c r="S28" s="112"/>
    </row>
    <row r="29" spans="1:25">
      <c r="A29" s="91" t="s">
        <v>195</v>
      </c>
      <c r="C29" s="106">
        <v>0.375</v>
      </c>
      <c r="D29" s="107"/>
      <c r="E29" s="108">
        <f>$W$12*C29</f>
        <v>6.7275000000000009</v>
      </c>
      <c r="G29" s="109"/>
      <c r="I29" s="109"/>
      <c r="K29" s="109"/>
      <c r="M29" s="113">
        <f>E29</f>
        <v>6.7275000000000009</v>
      </c>
      <c r="O29" s="96">
        <f>'Enter Data Elements (6)'!D17</f>
        <v>12.1</v>
      </c>
      <c r="Q29" s="108">
        <f>M29</f>
        <v>6.7275000000000009</v>
      </c>
      <c r="S29" s="109"/>
      <c r="U29" s="110">
        <f>+'Master Budget Sheet'!AR15</f>
        <v>43672</v>
      </c>
      <c r="W29" s="109"/>
      <c r="Y29" s="109"/>
    </row>
    <row r="30" spans="1:25">
      <c r="O30" s="94"/>
    </row>
    <row r="31" spans="1:25">
      <c r="A31" s="91" t="s">
        <v>196</v>
      </c>
      <c r="M31" s="108">
        <f>M23+M25+M27+M29</f>
        <v>27.807000000000002</v>
      </c>
      <c r="O31" s="108">
        <f>O23+O25+O27+O29</f>
        <v>31.1</v>
      </c>
      <c r="Q31" s="108">
        <f>Q23+Q25+Q27+Q29</f>
        <v>27.807000000000002</v>
      </c>
    </row>
    <row r="36" spans="1:27">
      <c r="C36" s="112" t="s">
        <v>195</v>
      </c>
      <c r="G36" s="112" t="s">
        <v>171</v>
      </c>
      <c r="I36" s="112" t="s">
        <v>160</v>
      </c>
      <c r="K36" s="112" t="s">
        <v>174</v>
      </c>
      <c r="M36" s="114" t="s">
        <v>197</v>
      </c>
      <c r="O36" s="112" t="s">
        <v>198</v>
      </c>
      <c r="Q36" s="112" t="s">
        <v>199</v>
      </c>
      <c r="S36" s="112" t="s">
        <v>174</v>
      </c>
      <c r="U36" s="112" t="s">
        <v>200</v>
      </c>
      <c r="W36" s="114" t="s">
        <v>174</v>
      </c>
    </row>
    <row r="37" spans="1:27">
      <c r="C37" s="112" t="s">
        <v>171</v>
      </c>
      <c r="G37" s="112" t="s">
        <v>174</v>
      </c>
      <c r="I37" s="112" t="s">
        <v>170</v>
      </c>
      <c r="K37" s="112" t="s">
        <v>175</v>
      </c>
      <c r="M37" s="115" t="s">
        <v>175</v>
      </c>
      <c r="O37" s="112" t="s">
        <v>164</v>
      </c>
      <c r="Q37" s="112" t="s">
        <v>164</v>
      </c>
      <c r="S37" s="112" t="s">
        <v>175</v>
      </c>
      <c r="U37" s="112" t="s">
        <v>170</v>
      </c>
      <c r="W37" s="115" t="s">
        <v>175</v>
      </c>
    </row>
    <row r="38" spans="1:27">
      <c r="C38" s="112" t="s">
        <v>174</v>
      </c>
      <c r="G38" s="112" t="s">
        <v>175</v>
      </c>
      <c r="K38" s="112" t="s">
        <v>201</v>
      </c>
      <c r="M38" s="116"/>
      <c r="S38" s="112" t="s">
        <v>202</v>
      </c>
      <c r="U38" s="112" t="s">
        <v>175</v>
      </c>
      <c r="W38" s="117"/>
    </row>
    <row r="39" spans="1:27">
      <c r="C39" s="112" t="s">
        <v>175</v>
      </c>
      <c r="G39" s="112"/>
      <c r="K39" s="112" t="s">
        <v>203</v>
      </c>
      <c r="M39" s="116"/>
      <c r="S39" s="118"/>
      <c r="U39" s="105"/>
      <c r="W39" s="117"/>
    </row>
    <row r="40" spans="1:27">
      <c r="C40" s="112" t="s">
        <v>204</v>
      </c>
      <c r="G40" s="112" t="s">
        <v>359</v>
      </c>
      <c r="K40" s="91" t="s">
        <v>358</v>
      </c>
      <c r="M40" s="115" t="str">
        <f>"p x "&amp;I12</f>
        <v>p x 0.2503</v>
      </c>
      <c r="O40" s="112" t="s">
        <v>205</v>
      </c>
      <c r="S40" s="112"/>
      <c r="U40" s="112"/>
      <c r="W40" s="117" t="s">
        <v>357</v>
      </c>
    </row>
    <row r="41" spans="1:27">
      <c r="C41" s="112" t="s">
        <v>206</v>
      </c>
      <c r="G41" s="112" t="s">
        <v>207</v>
      </c>
      <c r="I41" s="112" t="s">
        <v>208</v>
      </c>
      <c r="K41" s="112" t="s">
        <v>356</v>
      </c>
      <c r="M41" s="115" t="s">
        <v>209</v>
      </c>
      <c r="O41" s="112" t="s">
        <v>210</v>
      </c>
      <c r="Q41" s="112" t="s">
        <v>211</v>
      </c>
      <c r="S41" s="112" t="s">
        <v>212</v>
      </c>
      <c r="U41" s="112" t="s">
        <v>213</v>
      </c>
      <c r="W41" s="115" t="s">
        <v>214</v>
      </c>
      <c r="AA41" s="112"/>
    </row>
    <row r="42" spans="1:27">
      <c r="F42" s="94"/>
      <c r="G42" s="94"/>
      <c r="H42" s="94"/>
      <c r="I42" s="94"/>
      <c r="M42" s="116"/>
      <c r="U42" s="112"/>
      <c r="W42" s="115"/>
    </row>
    <row r="43" spans="1:27">
      <c r="A43" s="91" t="s">
        <v>192</v>
      </c>
      <c r="C43" s="109"/>
      <c r="F43" s="94"/>
      <c r="G43" s="119">
        <f>Y23</f>
        <v>101647.10061675002</v>
      </c>
      <c r="H43" s="94"/>
      <c r="I43" s="101">
        <f>'Enter Data Elements (6)'!D18</f>
        <v>202155</v>
      </c>
      <c r="K43" s="120"/>
      <c r="M43" s="121">
        <f>IF($G$51&gt;$I$51,ROUND(G43/$G$51*$M$51,2),ROUND(I43/$I$51*$M$51,2))</f>
        <v>24714.75</v>
      </c>
      <c r="O43" s="122"/>
      <c r="Q43" s="122"/>
      <c r="S43" s="122"/>
      <c r="U43" s="122"/>
      <c r="V43" s="123"/>
      <c r="W43" s="124">
        <f>G43</f>
        <v>101647.10061675002</v>
      </c>
      <c r="AA43" s="111"/>
    </row>
    <row r="44" spans="1:27">
      <c r="F44" s="94"/>
      <c r="G44" s="94"/>
      <c r="H44" s="94"/>
      <c r="I44" s="125"/>
      <c r="M44" s="116"/>
      <c r="S44" s="112"/>
      <c r="U44" s="105"/>
      <c r="W44" s="117"/>
    </row>
    <row r="45" spans="1:27">
      <c r="A45" s="91" t="s">
        <v>193</v>
      </c>
      <c r="C45" s="109"/>
      <c r="F45" s="118"/>
      <c r="G45" s="119">
        <f>Y25</f>
        <v>1272741.588029294</v>
      </c>
      <c r="H45" s="94"/>
      <c r="I45" s="101">
        <f>'Enter Data Elements (6)'!D19</f>
        <v>1139641.835</v>
      </c>
      <c r="K45" s="120"/>
      <c r="M45" s="121">
        <f>IF($G$51&gt;$I$51,ROUND(G45/$G$51*$M$51,2),ROUND(I45/$I$51*$M$51,2))</f>
        <v>309457.78000000003</v>
      </c>
      <c r="O45" s="122"/>
      <c r="Q45" s="122"/>
      <c r="S45" s="122"/>
      <c r="U45" s="122"/>
      <c r="W45" s="124">
        <f>G45</f>
        <v>1272741.588029294</v>
      </c>
      <c r="AA45" s="111"/>
    </row>
    <row r="46" spans="1:27">
      <c r="F46" s="118"/>
      <c r="G46" s="119" t="s">
        <v>235</v>
      </c>
      <c r="H46" s="94"/>
      <c r="I46" s="125"/>
      <c r="M46" s="116"/>
      <c r="S46" s="112"/>
      <c r="U46" s="105"/>
      <c r="W46" s="117"/>
    </row>
    <row r="47" spans="1:27">
      <c r="A47" s="91" t="s">
        <v>194</v>
      </c>
      <c r="C47" s="109"/>
      <c r="F47" s="94"/>
      <c r="G47" s="119">
        <f>Y27</f>
        <v>105631.22232000002</v>
      </c>
      <c r="H47" s="94"/>
      <c r="I47" s="101">
        <f>'Enter Data Elements (6)'!D20</f>
        <v>77975.91</v>
      </c>
      <c r="K47" s="120"/>
      <c r="M47" s="121">
        <f>IF($G$51&gt;$I$51,ROUND(G47/$G$51*$M$51,2),ROUND(I47/$I$51*$M$51,2))</f>
        <v>25683.46</v>
      </c>
      <c r="O47" s="122"/>
      <c r="Q47" s="122"/>
      <c r="S47" s="122"/>
      <c r="U47" s="122"/>
      <c r="W47" s="124">
        <f>G47</f>
        <v>105631.22232000002</v>
      </c>
    </row>
    <row r="48" spans="1:27">
      <c r="F48" s="94"/>
      <c r="G48" s="94"/>
      <c r="H48" s="94"/>
      <c r="I48" s="125"/>
      <c r="M48" s="116"/>
      <c r="S48" s="112"/>
      <c r="U48" s="105"/>
      <c r="W48" s="117"/>
    </row>
    <row r="49" spans="1:27">
      <c r="A49" s="91" t="s">
        <v>195</v>
      </c>
      <c r="C49" s="111">
        <f>Q29*U29</f>
        <v>293803.38000000006</v>
      </c>
      <c r="F49" s="118"/>
      <c r="G49" s="119">
        <f>C49</f>
        <v>293803.38000000006</v>
      </c>
      <c r="H49" s="94"/>
      <c r="I49" s="101">
        <f>'Enter Data Elements (6)'!D21</f>
        <v>303328</v>
      </c>
      <c r="K49" s="120"/>
      <c r="M49" s="121">
        <f>IF($G$51&gt;$I$51,ROUND(G49/$G$51*$M$51,2),ROUND(I49/$I$51*$M$51,2))</f>
        <v>71436.14</v>
      </c>
      <c r="O49" s="122"/>
      <c r="Q49" s="122"/>
      <c r="S49" s="122"/>
      <c r="U49" s="122"/>
      <c r="W49" s="124">
        <f>G49</f>
        <v>293803.38000000006</v>
      </c>
      <c r="AA49" s="111"/>
    </row>
    <row r="50" spans="1:27">
      <c r="I50" s="105"/>
      <c r="K50" s="126">
        <f>SUM(K43:K49)</f>
        <v>0</v>
      </c>
      <c r="M50" s="116"/>
      <c r="S50" s="112"/>
      <c r="U50" s="105"/>
      <c r="W50" s="117"/>
    </row>
    <row r="51" spans="1:27">
      <c r="A51" s="91" t="s">
        <v>196</v>
      </c>
      <c r="G51" s="111">
        <f>G43+G45+G47+G49</f>
        <v>1773823.2909660442</v>
      </c>
      <c r="I51" s="111">
        <f>I43+I45+I47+I49</f>
        <v>1723100.7449999999</v>
      </c>
      <c r="K51" s="111">
        <f>MIN(G51,I51)</f>
        <v>1723100.7449999999</v>
      </c>
      <c r="M51" s="127">
        <f>ROUND(K51*$I$12,2)</f>
        <v>431292.12</v>
      </c>
      <c r="O51" s="111"/>
      <c r="Q51" s="111"/>
      <c r="W51" s="127">
        <f>W43+W45+W47+W49</f>
        <v>1773823.2909660442</v>
      </c>
    </row>
    <row r="53" spans="1:27">
      <c r="I53" s="111"/>
    </row>
  </sheetData>
  <mergeCells count="5">
    <mergeCell ref="A1:Y1"/>
    <mergeCell ref="A2:Y2"/>
    <mergeCell ref="A3:Y3"/>
    <mergeCell ref="A4:Y4"/>
    <mergeCell ref="G16:I16"/>
  </mergeCells>
  <pageMargins left="0.25" right="0.25" top="0.75" bottom="0.75" header="0.3" footer="0.3"/>
  <pageSetup scale="68" orientation="landscape" horizontalDpi="1800" verticalDpi="1800"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104"/>
  <dimension ref="A1:J127"/>
  <sheetViews>
    <sheetView topLeftCell="A4" workbookViewId="0">
      <selection activeCell="D38" sqref="D38"/>
    </sheetView>
  </sheetViews>
  <sheetFormatPr defaultColWidth="10.44140625" defaultRowHeight="10.95" customHeight="1"/>
  <cols>
    <col min="1" max="1" width="10.44140625" style="139" customWidth="1"/>
    <col min="2" max="5" width="9.21875" style="139" customWidth="1"/>
    <col min="6" max="6" width="10.5546875" style="139" customWidth="1"/>
    <col min="7" max="8" width="9.21875" style="139" customWidth="1"/>
    <col min="9" max="9" width="8.77734375" style="129" customWidth="1"/>
    <col min="10" max="16384" width="10.44140625" style="139"/>
  </cols>
  <sheetData>
    <row r="1" spans="1:8" ht="10.95" customHeight="1">
      <c r="A1" s="128"/>
      <c r="B1" s="128"/>
      <c r="C1" s="128"/>
      <c r="D1" s="128"/>
      <c r="E1" s="128"/>
      <c r="F1" s="128"/>
      <c r="G1" s="128"/>
      <c r="H1" s="128"/>
    </row>
    <row r="2" spans="1:8" ht="10.95" customHeight="1">
      <c r="A2" s="130" t="s">
        <v>361</v>
      </c>
      <c r="B2" s="128"/>
      <c r="C2" s="128"/>
      <c r="D2" s="128"/>
      <c r="E2" s="128"/>
      <c r="F2" s="128"/>
      <c r="G2" s="128"/>
      <c r="H2" s="128"/>
    </row>
    <row r="3" spans="1:8" ht="10.95" customHeight="1">
      <c r="A3" s="130"/>
      <c r="B3" s="128"/>
      <c r="C3" s="128"/>
      <c r="D3" s="128"/>
      <c r="E3" s="128"/>
      <c r="F3" s="128"/>
      <c r="G3" s="128"/>
      <c r="H3" s="128"/>
    </row>
    <row r="4" spans="1:8" ht="10.95" customHeight="1">
      <c r="A4" s="131"/>
      <c r="B4" s="132"/>
      <c r="C4" s="132"/>
      <c r="D4" s="132"/>
      <c r="E4" s="133" t="s">
        <v>215</v>
      </c>
      <c r="F4" s="133" t="s">
        <v>216</v>
      </c>
      <c r="G4" s="133" t="s">
        <v>217</v>
      </c>
      <c r="H4" s="133" t="s">
        <v>218</v>
      </c>
    </row>
    <row r="5" spans="1:8" ht="10.95" customHeight="1">
      <c r="A5" s="134" t="s">
        <v>219</v>
      </c>
      <c r="B5" s="134" t="s">
        <v>220</v>
      </c>
      <c r="C5" s="134" t="s">
        <v>221</v>
      </c>
      <c r="D5" s="134" t="s">
        <v>222</v>
      </c>
      <c r="E5" s="133" t="s">
        <v>223</v>
      </c>
      <c r="F5" s="133" t="s">
        <v>224</v>
      </c>
      <c r="G5" s="133" t="s">
        <v>225</v>
      </c>
      <c r="H5" s="133" t="s">
        <v>226</v>
      </c>
    </row>
    <row r="6" spans="1:8" ht="10.95" customHeight="1">
      <c r="A6" s="133">
        <v>0</v>
      </c>
      <c r="B6" s="135">
        <v>1</v>
      </c>
      <c r="C6" s="135">
        <v>1.0375000000000001</v>
      </c>
      <c r="D6" s="135">
        <v>1.0764</v>
      </c>
      <c r="E6" s="135">
        <v>1.1168</v>
      </c>
      <c r="F6" s="135">
        <v>1.1587000000000001</v>
      </c>
      <c r="G6" s="135">
        <v>1.2021999999999999</v>
      </c>
      <c r="H6" s="135">
        <v>1.2473000000000001</v>
      </c>
    </row>
    <row r="7" spans="1:8" ht="10.95" customHeight="1">
      <c r="A7" s="133">
        <v>1</v>
      </c>
      <c r="B7" s="135">
        <v>1.0375000000000001</v>
      </c>
      <c r="C7" s="135">
        <v>1.0764</v>
      </c>
      <c r="D7" s="135">
        <v>1.1168</v>
      </c>
      <c r="E7" s="135">
        <v>1.1587000000000001</v>
      </c>
      <c r="F7" s="135">
        <v>1.2021999999999999</v>
      </c>
      <c r="G7" s="135">
        <v>1.2473000000000001</v>
      </c>
      <c r="H7" s="135">
        <v>1.2941</v>
      </c>
    </row>
    <row r="8" spans="1:8" ht="10.95" customHeight="1">
      <c r="A8" s="133">
        <v>2</v>
      </c>
      <c r="B8" s="135">
        <v>1.0764</v>
      </c>
      <c r="C8" s="135">
        <v>1.1168</v>
      </c>
      <c r="D8" s="135">
        <v>1.1587000000000001</v>
      </c>
      <c r="E8" s="135">
        <v>1.2021999999999999</v>
      </c>
      <c r="F8" s="135">
        <v>1.2473000000000001</v>
      </c>
      <c r="G8" s="135">
        <v>1.2941</v>
      </c>
      <c r="H8" s="135">
        <v>1.3426</v>
      </c>
    </row>
    <row r="9" spans="1:8" ht="10.95" customHeight="1">
      <c r="A9" s="133">
        <v>3</v>
      </c>
      <c r="B9" s="135">
        <v>1.1168</v>
      </c>
      <c r="C9" s="135">
        <v>1.1587000000000001</v>
      </c>
      <c r="D9" s="135">
        <v>1.2021999999999999</v>
      </c>
      <c r="E9" s="135">
        <v>1.2473000000000001</v>
      </c>
      <c r="F9" s="135">
        <v>1.2941</v>
      </c>
      <c r="G9" s="135">
        <v>1.3426</v>
      </c>
      <c r="H9" s="135">
        <v>1.3929</v>
      </c>
    </row>
    <row r="10" spans="1:8" ht="10.95" customHeight="1">
      <c r="A10" s="133">
        <v>4</v>
      </c>
      <c r="B10" s="135">
        <v>1.1587000000000001</v>
      </c>
      <c r="C10" s="135">
        <v>1.2021999999999999</v>
      </c>
      <c r="D10" s="135">
        <v>1.2473000000000001</v>
      </c>
      <c r="E10" s="135">
        <v>1.2941</v>
      </c>
      <c r="F10" s="135">
        <v>1.3426</v>
      </c>
      <c r="G10" s="135">
        <v>1.3929</v>
      </c>
      <c r="H10" s="135">
        <v>1.4451000000000001</v>
      </c>
    </row>
    <row r="11" spans="1:8" ht="10.95" customHeight="1">
      <c r="A11" s="133">
        <v>5</v>
      </c>
      <c r="B11" s="135">
        <v>1.2021999999999999</v>
      </c>
      <c r="C11" s="135">
        <v>1.2473000000000001</v>
      </c>
      <c r="D11" s="135">
        <v>1.2941</v>
      </c>
      <c r="E11" s="135">
        <v>1.3426</v>
      </c>
      <c r="F11" s="135">
        <v>1.3929</v>
      </c>
      <c r="G11" s="135">
        <v>1.4451000000000001</v>
      </c>
      <c r="H11" s="135">
        <v>1.4993000000000001</v>
      </c>
    </row>
    <row r="12" spans="1:8" ht="10.95" customHeight="1">
      <c r="A12" s="133">
        <v>6</v>
      </c>
      <c r="B12" s="135">
        <v>1.2473000000000001</v>
      </c>
      <c r="C12" s="135">
        <v>1.2941</v>
      </c>
      <c r="D12" s="135">
        <v>1.3426</v>
      </c>
      <c r="E12" s="135">
        <v>1.3929</v>
      </c>
      <c r="F12" s="135">
        <v>1.4451000000000001</v>
      </c>
      <c r="G12" s="135">
        <v>1.4993000000000001</v>
      </c>
      <c r="H12" s="135">
        <v>1.5555000000000001</v>
      </c>
    </row>
    <row r="13" spans="1:8" ht="10.95" customHeight="1">
      <c r="A13" s="133">
        <v>7</v>
      </c>
      <c r="B13" s="135">
        <v>1.2941</v>
      </c>
      <c r="C13" s="135">
        <v>1.3426</v>
      </c>
      <c r="D13" s="135">
        <v>1.3929</v>
      </c>
      <c r="E13" s="135">
        <v>1.4451000000000001</v>
      </c>
      <c r="F13" s="135">
        <v>1.4993000000000001</v>
      </c>
      <c r="G13" s="135">
        <v>1.5555000000000001</v>
      </c>
      <c r="H13" s="135">
        <v>1.6137999999999999</v>
      </c>
    </row>
    <row r="14" spans="1:8" ht="10.95" customHeight="1">
      <c r="A14" s="133">
        <v>8</v>
      </c>
      <c r="B14" s="135">
        <v>1.3426</v>
      </c>
      <c r="C14" s="135">
        <v>1.3929</v>
      </c>
      <c r="D14" s="135">
        <v>1.4451000000000001</v>
      </c>
      <c r="E14" s="135">
        <v>1.4993000000000001</v>
      </c>
      <c r="F14" s="135">
        <v>1.5555000000000001</v>
      </c>
      <c r="G14" s="135">
        <v>1.6137999999999999</v>
      </c>
      <c r="H14" s="135">
        <v>1.6742999999999999</v>
      </c>
    </row>
    <row r="15" spans="1:8" ht="10.95" customHeight="1">
      <c r="A15" s="133">
        <v>9</v>
      </c>
      <c r="B15" s="135">
        <v>1.3929</v>
      </c>
      <c r="C15" s="135">
        <v>1.4451000000000001</v>
      </c>
      <c r="D15" s="135">
        <v>1.4993000000000001</v>
      </c>
      <c r="E15" s="135">
        <v>1.5555000000000001</v>
      </c>
      <c r="F15" s="135">
        <v>1.6137999999999999</v>
      </c>
      <c r="G15" s="135">
        <v>1.6742999999999999</v>
      </c>
      <c r="H15" s="135">
        <v>1.7371000000000001</v>
      </c>
    </row>
    <row r="16" spans="1:8" ht="10.95" customHeight="1">
      <c r="A16" s="133">
        <v>10</v>
      </c>
      <c r="B16" s="135">
        <v>1.3929</v>
      </c>
      <c r="C16" s="135">
        <v>1.4993000000000001</v>
      </c>
      <c r="D16" s="135">
        <v>1.5555000000000001</v>
      </c>
      <c r="E16" s="135">
        <v>1.6137999999999999</v>
      </c>
      <c r="F16" s="135">
        <v>1.6742999999999999</v>
      </c>
      <c r="G16" s="135">
        <v>1.7371000000000001</v>
      </c>
      <c r="H16" s="135">
        <v>1.8022</v>
      </c>
    </row>
    <row r="17" spans="1:8" ht="10.95" customHeight="1">
      <c r="A17" s="133">
        <v>11</v>
      </c>
      <c r="B17" s="135">
        <v>1.3929</v>
      </c>
      <c r="C17" s="135">
        <v>1.4993000000000001</v>
      </c>
      <c r="D17" s="135">
        <v>1.5555000000000001</v>
      </c>
      <c r="E17" s="135">
        <v>1.6137999999999999</v>
      </c>
      <c r="F17" s="135">
        <v>1.7371000000000001</v>
      </c>
      <c r="G17" s="135">
        <v>1.8022</v>
      </c>
      <c r="H17" s="135">
        <v>1.8697999999999999</v>
      </c>
    </row>
    <row r="18" spans="1:8" ht="10.95" customHeight="1">
      <c r="A18" s="133">
        <v>12</v>
      </c>
      <c r="B18" s="135">
        <v>1.3929</v>
      </c>
      <c r="C18" s="135">
        <v>1.4993000000000001</v>
      </c>
      <c r="D18" s="135">
        <v>1.5555000000000001</v>
      </c>
      <c r="E18" s="135">
        <v>1.6137999999999999</v>
      </c>
      <c r="F18" s="135">
        <v>1.7371000000000001</v>
      </c>
      <c r="G18" s="135">
        <v>1.8697999999999999</v>
      </c>
      <c r="H18" s="135">
        <v>1.9399</v>
      </c>
    </row>
    <row r="19" spans="1:8" ht="10.95" customHeight="1">
      <c r="A19" s="133" t="s">
        <v>227</v>
      </c>
      <c r="B19" s="135">
        <v>1.3929</v>
      </c>
      <c r="C19" s="135">
        <v>1.4993000000000001</v>
      </c>
      <c r="D19" s="135">
        <v>1.5555000000000001</v>
      </c>
      <c r="E19" s="135">
        <v>1.6137999999999999</v>
      </c>
      <c r="F19" s="135">
        <v>1.7371000000000001</v>
      </c>
      <c r="G19" s="135">
        <v>1.8697999999999999</v>
      </c>
      <c r="H19" s="135">
        <v>2.0125999999999999</v>
      </c>
    </row>
    <row r="20" spans="1:8" ht="10.95" customHeight="1">
      <c r="A20" s="136"/>
      <c r="B20" s="137"/>
      <c r="C20" s="137"/>
      <c r="D20" s="137"/>
      <c r="E20" s="137"/>
      <c r="F20" s="137"/>
      <c r="G20" s="137"/>
      <c r="H20" s="137"/>
    </row>
    <row r="21" spans="1:8" ht="10.95" customHeight="1">
      <c r="A21" s="136"/>
      <c r="B21" s="129"/>
      <c r="C21" s="129"/>
      <c r="D21" s="129"/>
      <c r="E21" s="129"/>
      <c r="F21" s="129"/>
      <c r="G21" s="129"/>
      <c r="H21" s="129"/>
    </row>
    <row r="22" spans="1:8" ht="10.95" customHeight="1">
      <c r="A22" s="128" t="s">
        <v>228</v>
      </c>
      <c r="B22" s="128"/>
      <c r="C22" s="128"/>
      <c r="D22" s="128"/>
      <c r="E22" s="128"/>
      <c r="F22" s="128"/>
      <c r="G22" s="128"/>
      <c r="H22" s="128"/>
    </row>
    <row r="23" spans="1:8" ht="10.95" customHeight="1">
      <c r="A23" s="131"/>
      <c r="B23" s="132"/>
      <c r="C23" s="132"/>
      <c r="D23" s="132"/>
      <c r="E23" s="133" t="s">
        <v>215</v>
      </c>
      <c r="F23" s="133" t="s">
        <v>216</v>
      </c>
      <c r="G23" s="133" t="s">
        <v>217</v>
      </c>
      <c r="H23" s="133" t="s">
        <v>218</v>
      </c>
    </row>
    <row r="24" spans="1:8" ht="10.95" customHeight="1">
      <c r="A24" s="134" t="s">
        <v>219</v>
      </c>
      <c r="B24" s="134" t="s">
        <v>220</v>
      </c>
      <c r="C24" s="134" t="s">
        <v>221</v>
      </c>
      <c r="D24" s="134" t="s">
        <v>222</v>
      </c>
      <c r="E24" s="133" t="s">
        <v>336</v>
      </c>
      <c r="F24" s="133" t="s">
        <v>337</v>
      </c>
      <c r="G24" s="133" t="s">
        <v>339</v>
      </c>
      <c r="H24" s="133" t="s">
        <v>338</v>
      </c>
    </row>
    <row r="25" spans="1:8" ht="10.95" customHeight="1">
      <c r="A25" s="133">
        <v>0</v>
      </c>
      <c r="B25" s="138">
        <f>SUMIFS('Master Budget Sheet'!$AV$87:$AV$87,'Master Budget Sheet'!$F$87:$F$87,B$24,'Master Budget Sheet'!$E$87:$E$87,$A25-4)</f>
        <v>0</v>
      </c>
      <c r="C25" s="138">
        <f>SUMIFS('Master Budget Sheet'!$AV$87:$AV$87,'Master Budget Sheet'!$F$87:$F$87,C$24,'Master Budget Sheet'!$E$87:$E$87,$A25-4)</f>
        <v>0</v>
      </c>
      <c r="D25" s="138">
        <f>SUMIFS('Master Budget Sheet'!$AV$87:$AV$87,'Master Budget Sheet'!$F$87:$F$87,D$24,'Master Budget Sheet'!$E$87:$E$87,$A25-4)</f>
        <v>0</v>
      </c>
      <c r="E25" s="138">
        <f>SUMIFS('Master Budget Sheet'!$AV$87:$AV$87,'Master Budget Sheet'!$F$87:$F$87,E$24,'Master Budget Sheet'!$E$87:$E$87,$A25-4)</f>
        <v>0</v>
      </c>
      <c r="F25" s="138">
        <f>SUMIFS('Master Budget Sheet'!$AV$87:$AV$87,'Master Budget Sheet'!$F$87:$F$87,F$24,'Master Budget Sheet'!$E$87:$E$87,$A25-4)</f>
        <v>0</v>
      </c>
      <c r="G25" s="138">
        <f>SUMIFS('Master Budget Sheet'!$AV$87:$AV$87,'Master Budget Sheet'!$F$87:$F$87,G$24,'Master Budget Sheet'!$E$87:$E$87,$A25-4)</f>
        <v>0</v>
      </c>
      <c r="H25" s="138">
        <f>SUMIFS('Master Budget Sheet'!$AV$87:$AV$87,'Master Budget Sheet'!$F$87:$F$87,H$24,'Master Budget Sheet'!$E$87:$E$87,$A25-4)</f>
        <v>0</v>
      </c>
    </row>
    <row r="26" spans="1:8" ht="10.95" customHeight="1">
      <c r="A26" s="133">
        <v>1</v>
      </c>
      <c r="B26" s="138">
        <f>SUMIFS('Master Budget Sheet'!$AV$87:$AV$87,'Master Budget Sheet'!$F$87:$F$87,B$24,'Master Budget Sheet'!$E$87:$E$87,$A26-4)</f>
        <v>0</v>
      </c>
      <c r="C26" s="138">
        <f>SUMIFS('Master Budget Sheet'!$AV$87:$AV$87,'Master Budget Sheet'!$F$87:$F$87,C$24,'Master Budget Sheet'!$E$87:$E$87,$A26-4)</f>
        <v>0</v>
      </c>
      <c r="D26" s="138">
        <f>SUMIFS('Master Budget Sheet'!$AV$87:$AV$87,'Master Budget Sheet'!$F$87:$F$87,D$24,'Master Budget Sheet'!$E$87:$E$87,$A26-4)</f>
        <v>0</v>
      </c>
      <c r="E26" s="138">
        <f>SUMIFS('Master Budget Sheet'!$AV$87:$AV$87,'Master Budget Sheet'!$F$87:$F$87,E$24,'Master Budget Sheet'!$E$87:$E$87,$A26-4)</f>
        <v>0</v>
      </c>
      <c r="F26" s="138">
        <f>SUMIFS('Master Budget Sheet'!$AV$87:$AV$87,'Master Budget Sheet'!$F$87:$F$87,F$24,'Master Budget Sheet'!$E$87:$E$87,$A26-4)</f>
        <v>0</v>
      </c>
      <c r="G26" s="138">
        <f>SUMIFS('Master Budget Sheet'!$AV$87:$AV$87,'Master Budget Sheet'!$F$87:$F$87,G$24,'Master Budget Sheet'!$E$87:$E$87,$A26-4)</f>
        <v>0</v>
      </c>
      <c r="H26" s="138">
        <f>SUMIFS('Master Budget Sheet'!$AV$87:$AV$87,'Master Budget Sheet'!$F$87:$F$87,H$24,'Master Budget Sheet'!$E$87:$E$87,$A26-4)</f>
        <v>0</v>
      </c>
    </row>
    <row r="27" spans="1:8" ht="10.95" customHeight="1">
      <c r="A27" s="133">
        <v>2</v>
      </c>
      <c r="B27" s="138">
        <f>SUMIFS('Master Budget Sheet'!$AV$87:$AV$87,'Master Budget Sheet'!$F$87:$F$87,B$24,'Master Budget Sheet'!$E$87:$E$87,$A27-4)</f>
        <v>0</v>
      </c>
      <c r="C27" s="138">
        <f>SUMIFS('Master Budget Sheet'!$AV$87:$AV$87,'Master Budget Sheet'!$F$87:$F$87,C$24,'Master Budget Sheet'!$E$87:$E$87,$A27-4)</f>
        <v>0</v>
      </c>
      <c r="D27" s="138">
        <f>SUMIFS('Master Budget Sheet'!$AV$87:$AV$87,'Master Budget Sheet'!$F$87:$F$87,D$24,'Master Budget Sheet'!$E$87:$E$87,$A27-4)</f>
        <v>0</v>
      </c>
      <c r="E27" s="138">
        <f>SUMIFS('Master Budget Sheet'!$AV$87:$AV$87,'Master Budget Sheet'!$F$87:$F$87,E$24,'Master Budget Sheet'!$E$87:$E$87,$A27-4)</f>
        <v>0</v>
      </c>
      <c r="F27" s="138">
        <f>SUMIFS('Master Budget Sheet'!$AV$87:$AV$87,'Master Budget Sheet'!$F$87:$F$87,F$24,'Master Budget Sheet'!$E$87:$E$87,$A27-4)</f>
        <v>0</v>
      </c>
      <c r="G27" s="138">
        <f>SUMIFS('Master Budget Sheet'!$AV$87:$AV$87,'Master Budget Sheet'!$F$87:$F$87,G$24,'Master Budget Sheet'!$E$87:$E$87,$A27-4)</f>
        <v>0</v>
      </c>
      <c r="H27" s="138">
        <f>SUMIFS('Master Budget Sheet'!$AV$87:$AV$87,'Master Budget Sheet'!$F$87:$F$87,H$24,'Master Budget Sheet'!$E$87:$E$87,$A27-4)</f>
        <v>0</v>
      </c>
    </row>
    <row r="28" spans="1:8" ht="10.95" customHeight="1">
      <c r="A28" s="133">
        <v>3</v>
      </c>
      <c r="B28" s="138">
        <f>SUMIFS('Master Budget Sheet'!$AV$87:$AV$87,'Master Budget Sheet'!$F$87:$F$87,B$24,'Master Budget Sheet'!$E$87:$E$87,$A28-4)</f>
        <v>0</v>
      </c>
      <c r="C28" s="138">
        <f>SUMIFS('Master Budget Sheet'!$AV$87:$AV$87,'Master Budget Sheet'!$F$87:$F$87,C$24,'Master Budget Sheet'!$E$87:$E$87,$A28-4)</f>
        <v>0</v>
      </c>
      <c r="D28" s="138">
        <f>SUMIFS('Master Budget Sheet'!$AV$87:$AV$87,'Master Budget Sheet'!$F$87:$F$87,D$24,'Master Budget Sheet'!$E$87:$E$87,$A28-4)</f>
        <v>0</v>
      </c>
      <c r="E28" s="138">
        <f>SUMIFS('Master Budget Sheet'!$AV$87:$AV$87,'Master Budget Sheet'!$F$87:$F$87,E$24,'Master Budget Sheet'!$E$87:$E$87,$A28-4)</f>
        <v>0</v>
      </c>
      <c r="F28" s="138">
        <f>SUMIFS('Master Budget Sheet'!$AV$87:$AV$87,'Master Budget Sheet'!$F$87:$F$87,F$24,'Master Budget Sheet'!$E$87:$E$87,$A28-4)</f>
        <v>0</v>
      </c>
      <c r="G28" s="138">
        <f>SUMIFS('Master Budget Sheet'!$AV$87:$AV$87,'Master Budget Sheet'!$F$87:$F$87,G$24,'Master Budget Sheet'!$E$87:$E$87,$A28-4)</f>
        <v>0</v>
      </c>
      <c r="H28" s="138">
        <f>SUMIFS('Master Budget Sheet'!$AV$87:$AV$87,'Master Budget Sheet'!$F$87:$F$87,H$24,'Master Budget Sheet'!$E$87:$E$87,$A28-4)</f>
        <v>0</v>
      </c>
    </row>
    <row r="29" spans="1:8" ht="10.95" customHeight="1">
      <c r="A29" s="133">
        <v>4</v>
      </c>
      <c r="B29" s="138">
        <f>SUMIFS('Master Budget Sheet'!$AV$87:$AV$87,'Master Budget Sheet'!$F$87:$F$87,B$24,'Master Budget Sheet'!$E$87:$E$87,$A29-4)</f>
        <v>0</v>
      </c>
      <c r="C29" s="138">
        <f>SUMIFS('Master Budget Sheet'!$AV$87:$AV$87,'Master Budget Sheet'!$F$87:$F$87,C$24,'Master Budget Sheet'!$E$87:$E$87,$A29-4)</f>
        <v>0</v>
      </c>
      <c r="D29" s="138">
        <f>SUMIFS('Master Budget Sheet'!$AV$87:$AV$87,'Master Budget Sheet'!$F$87:$F$87,D$24,'Master Budget Sheet'!$E$87:$E$87,$A29-4)</f>
        <v>0</v>
      </c>
      <c r="E29" s="138">
        <f>SUMIFS('Master Budget Sheet'!$AV$87:$AV$87,'Master Budget Sheet'!$F$87:$F$87,E$24,'Master Budget Sheet'!$E$87:$E$87,$A29-4)</f>
        <v>0</v>
      </c>
      <c r="F29" s="138">
        <f>SUMIFS('Master Budget Sheet'!$AV$87:$AV$87,'Master Budget Sheet'!$F$87:$F$87,F$24,'Master Budget Sheet'!$E$87:$E$87,$A29-4)</f>
        <v>0</v>
      </c>
      <c r="G29" s="138">
        <f>SUMIFS('Master Budget Sheet'!$AV$87:$AV$87,'Master Budget Sheet'!$F$87:$F$87,G$24,'Master Budget Sheet'!$E$87:$E$87,$A29-4)</f>
        <v>0</v>
      </c>
      <c r="H29" s="138">
        <f>SUMIFS('Master Budget Sheet'!$AV$87:$AV$87,'Master Budget Sheet'!$F$87:$F$87,H$24,'Master Budget Sheet'!$E$87:$E$87,$A29-4)</f>
        <v>0</v>
      </c>
    </row>
    <row r="30" spans="1:8" ht="10.95" customHeight="1">
      <c r="A30" s="133">
        <v>5</v>
      </c>
      <c r="B30" s="138">
        <f>SUMIFS('Master Budget Sheet'!$AV$87:$AV$87,'Master Budget Sheet'!$F$87:$F$87,B$24,'Master Budget Sheet'!$E$87:$E$87,$A30-4)</f>
        <v>0</v>
      </c>
      <c r="C30" s="138">
        <f>SUMIFS('Master Budget Sheet'!$AV$87:$AV$87,'Master Budget Sheet'!$F$87:$F$87,C$24,'Master Budget Sheet'!$E$87:$E$87,$A30-4)</f>
        <v>0</v>
      </c>
      <c r="D30" s="138">
        <f>SUMIFS('Master Budget Sheet'!$AV$87:$AV$87,'Master Budget Sheet'!$F$87:$F$87,D$24,'Master Budget Sheet'!$E$87:$E$87,$A30-4)</f>
        <v>0</v>
      </c>
      <c r="E30" s="138">
        <f>SUMIFS('Master Budget Sheet'!$AV$87:$AV$87,'Master Budget Sheet'!$F$87:$F$87,E$24,'Master Budget Sheet'!$E$87:$E$87,$A30-4)</f>
        <v>0</v>
      </c>
      <c r="F30" s="138">
        <f>SUMIFS('Master Budget Sheet'!$AV$87:$AV$87,'Master Budget Sheet'!$F$87:$F$87,F$24,'Master Budget Sheet'!$E$87:$E$87,$A30-4)</f>
        <v>0</v>
      </c>
      <c r="G30" s="138">
        <f>SUMIFS('Master Budget Sheet'!$AV$87:$AV$87,'Master Budget Sheet'!$F$87:$F$87,G$24,'Master Budget Sheet'!$E$87:$E$87,$A30-4)</f>
        <v>0</v>
      </c>
      <c r="H30" s="138">
        <f>SUMIFS('Master Budget Sheet'!$AV$87:$AV$87,'Master Budget Sheet'!$F$87:$F$87,H$24,'Master Budget Sheet'!$E$87:$E$87,$A30-4)</f>
        <v>0</v>
      </c>
    </row>
    <row r="31" spans="1:8" ht="10.95" customHeight="1">
      <c r="A31" s="133">
        <v>6</v>
      </c>
      <c r="B31" s="138">
        <f>SUMIFS('Master Budget Sheet'!$AV$87:$AV$87,'Master Budget Sheet'!$F$87:$F$87,B$24,'Master Budget Sheet'!$E$87:$E$87,$A31-4)</f>
        <v>0</v>
      </c>
      <c r="C31" s="138">
        <f>SUMIFS('Master Budget Sheet'!$AV$87:$AV$87,'Master Budget Sheet'!$F$87:$F$87,C$24,'Master Budget Sheet'!$E$87:$E$87,$A31-4)</f>
        <v>0</v>
      </c>
      <c r="D31" s="138">
        <f>SUMIFS('Master Budget Sheet'!$AV$87:$AV$87,'Master Budget Sheet'!$F$87:$F$87,D$24,'Master Budget Sheet'!$E$87:$E$87,$A31-4)</f>
        <v>0</v>
      </c>
      <c r="E31" s="138">
        <f>SUMIFS('Master Budget Sheet'!$AV$87:$AV$87,'Master Budget Sheet'!$F$87:$F$87,E$24,'Master Budget Sheet'!$E$87:$E$87,$A31-4)</f>
        <v>0</v>
      </c>
      <c r="F31" s="138">
        <f>SUMIFS('Master Budget Sheet'!$AV$87:$AV$87,'Master Budget Sheet'!$F$87:$F$87,F$24,'Master Budget Sheet'!$E$87:$E$87,$A31-4)</f>
        <v>0</v>
      </c>
      <c r="G31" s="138">
        <f>SUMIFS('Master Budget Sheet'!$AV$87:$AV$87,'Master Budget Sheet'!$F$87:$F$87,G$24,'Master Budget Sheet'!$E$87:$E$87,$A31-4)</f>
        <v>0</v>
      </c>
      <c r="H31" s="138">
        <f>SUMIFS('Master Budget Sheet'!$AV$87:$AV$87,'Master Budget Sheet'!$F$87:$F$87,H$24,'Master Budget Sheet'!$E$87:$E$87,$A31-4)</f>
        <v>1</v>
      </c>
    </row>
    <row r="32" spans="1:8" ht="10.95" customHeight="1">
      <c r="A32" s="133">
        <v>7</v>
      </c>
      <c r="B32" s="138">
        <f>SUMIFS('Master Budget Sheet'!$AV$87:$AV$87,'Master Budget Sheet'!$F$87:$F$87,B$24,'Master Budget Sheet'!$E$87:$E$87,$A32-4)</f>
        <v>0</v>
      </c>
      <c r="C32" s="138">
        <f>SUMIFS('Master Budget Sheet'!$AV$87:$AV$87,'Master Budget Sheet'!$F$87:$F$87,C$24,'Master Budget Sheet'!$E$87:$E$87,$A32-4)</f>
        <v>0</v>
      </c>
      <c r="D32" s="138">
        <f>SUMIFS('Master Budget Sheet'!$AV$87:$AV$87,'Master Budget Sheet'!$F$87:$F$87,D$24,'Master Budget Sheet'!$E$87:$E$87,$A32-4)</f>
        <v>0</v>
      </c>
      <c r="E32" s="138">
        <f>SUMIFS('Master Budget Sheet'!$AV$87:$AV$87,'Master Budget Sheet'!$F$87:$F$87,E$24,'Master Budget Sheet'!$E$87:$E$87,$A32-4)</f>
        <v>0</v>
      </c>
      <c r="F32" s="138">
        <f>SUMIFS('Master Budget Sheet'!$AV$87:$AV$87,'Master Budget Sheet'!$F$87:$F$87,F$24,'Master Budget Sheet'!$E$87:$E$87,$A32-4)</f>
        <v>0</v>
      </c>
      <c r="G32" s="138">
        <f>SUMIFS('Master Budget Sheet'!$AV$87:$AV$87,'Master Budget Sheet'!$F$87:$F$87,G$24,'Master Budget Sheet'!$E$87:$E$87,$A32-4)</f>
        <v>0</v>
      </c>
      <c r="H32" s="138">
        <f>SUMIFS('Master Budget Sheet'!$AV$87:$AV$87,'Master Budget Sheet'!$F$87:$F$87,H$24,'Master Budget Sheet'!$E$87:$E$87,$A32-4)</f>
        <v>0</v>
      </c>
    </row>
    <row r="33" spans="1:10" ht="10.95" customHeight="1">
      <c r="A33" s="133">
        <v>8</v>
      </c>
      <c r="B33" s="138">
        <f>SUMIFS('Master Budget Sheet'!$AV$87:$AV$87,'Master Budget Sheet'!$F$87:$F$87,B$24,'Master Budget Sheet'!$E$87:$E$87,$A33-4)</f>
        <v>0</v>
      </c>
      <c r="C33" s="138">
        <f>SUMIFS('Master Budget Sheet'!$AV$87:$AV$87,'Master Budget Sheet'!$F$87:$F$87,C$24,'Master Budget Sheet'!$E$87:$E$87,$A33-4)</f>
        <v>0</v>
      </c>
      <c r="D33" s="138">
        <f>SUMIFS('Master Budget Sheet'!$AV$87:$AV$87,'Master Budget Sheet'!$F$87:$F$87,D$24,'Master Budget Sheet'!$E$87:$E$87,$A33-4)</f>
        <v>0</v>
      </c>
      <c r="E33" s="138">
        <f>SUMIFS('Master Budget Sheet'!$AV$87:$AV$87,'Master Budget Sheet'!$F$87:$F$87,E$24,'Master Budget Sheet'!$E$87:$E$87,$A33-4)</f>
        <v>0</v>
      </c>
      <c r="F33" s="138">
        <f>SUMIFS('Master Budget Sheet'!$AV$87:$AV$87,'Master Budget Sheet'!$F$87:$F$87,F$24,'Master Budget Sheet'!$E$87:$E$87,$A33-4)</f>
        <v>0</v>
      </c>
      <c r="G33" s="138">
        <f>SUMIFS('Master Budget Sheet'!$AV$87:$AV$87,'Master Budget Sheet'!$F$87:$F$87,G$24,'Master Budget Sheet'!$E$87:$E$87,$A33-4)</f>
        <v>0</v>
      </c>
      <c r="H33" s="138">
        <f>SUMIFS('Master Budget Sheet'!$AV$87:$AV$87,'Master Budget Sheet'!$F$87:$F$87,H$24,'Master Budget Sheet'!$E$87:$E$87,$A33-4)</f>
        <v>0</v>
      </c>
    </row>
    <row r="34" spans="1:10" ht="10.95" customHeight="1">
      <c r="A34" s="133">
        <v>9</v>
      </c>
      <c r="B34" s="138">
        <f>SUMIFS('Master Budget Sheet'!$AV$87:$AV$87,'Master Budget Sheet'!$F$87:$F$87,B$24,'Master Budget Sheet'!$E$87:$E$87,$A34-4)</f>
        <v>0</v>
      </c>
      <c r="C34" s="138">
        <f>SUMIFS('Master Budget Sheet'!$AV$87:$AV$87,'Master Budget Sheet'!$F$87:$F$87,C$24,'Master Budget Sheet'!$E$87:$E$87,$A34-4)</f>
        <v>0</v>
      </c>
      <c r="D34" s="138">
        <f>SUMIFS('Master Budget Sheet'!$AV$87:$AV$87,'Master Budget Sheet'!$F$87:$F$87,D$24,'Master Budget Sheet'!$E$87:$E$87,$A34-4)</f>
        <v>0</v>
      </c>
      <c r="E34" s="138">
        <f>SUMIFS('Master Budget Sheet'!$AV$87:$AV$87,'Master Budget Sheet'!$F$87:$F$87,E$24,'Master Budget Sheet'!$E$87:$E$87,$A34-4)</f>
        <v>0</v>
      </c>
      <c r="F34" s="138">
        <f>SUMIFS('Master Budget Sheet'!$AV$87:$AV$87,'Master Budget Sheet'!$F$87:$F$87,F$24,'Master Budget Sheet'!$E$87:$E$87,$A34-4)</f>
        <v>0</v>
      </c>
      <c r="G34" s="138">
        <f>SUMIFS('Master Budget Sheet'!$AV$87:$AV$87,'Master Budget Sheet'!$F$87:$F$87,G$24,'Master Budget Sheet'!$E$87:$E$87,$A34-4)</f>
        <v>0</v>
      </c>
      <c r="H34" s="138">
        <f>SUMIFS('Master Budget Sheet'!$AV$87:$AV$87,'Master Budget Sheet'!$F$87:$F$87,H$24,'Master Budget Sheet'!$E$87:$E$87,$A34-4)</f>
        <v>0</v>
      </c>
    </row>
    <row r="35" spans="1:10" ht="10.95" customHeight="1">
      <c r="A35" s="133">
        <v>10</v>
      </c>
      <c r="B35" s="138">
        <f>SUMIFS('Master Budget Sheet'!$AV$87:$AV$87,'Master Budget Sheet'!$F$87:$F$87,B$24,'Master Budget Sheet'!$E$87:$E$87,$A35-4)</f>
        <v>0</v>
      </c>
      <c r="C35" s="138">
        <f>SUMIFS('Master Budget Sheet'!$AV$87:$AV$87,'Master Budget Sheet'!$F$87:$F$87,C$24,'Master Budget Sheet'!$E$87:$E$87,$A35-4)</f>
        <v>0</v>
      </c>
      <c r="D35" s="138">
        <f>SUMIFS('Master Budget Sheet'!$AV$87:$AV$87,'Master Budget Sheet'!$F$87:$F$87,D$24,'Master Budget Sheet'!$E$87:$E$87,$A35-4)</f>
        <v>0</v>
      </c>
      <c r="E35" s="138">
        <f>SUMIFS('Master Budget Sheet'!$AV$87:$AV$87,'Master Budget Sheet'!$F$87:$F$87,E$24,'Master Budget Sheet'!$E$87:$E$87,$A35-4)</f>
        <v>0</v>
      </c>
      <c r="F35" s="138">
        <f>SUMIFS('Master Budget Sheet'!$AV$87:$AV$87,'Master Budget Sheet'!$F$87:$F$87,F$24,'Master Budget Sheet'!$E$87:$E$87,$A35-4)</f>
        <v>0</v>
      </c>
      <c r="G35" s="138">
        <f>SUMIFS('Master Budget Sheet'!$AV$87:$AV$87,'Master Budget Sheet'!$F$87:$F$87,G$24,'Master Budget Sheet'!$E$87:$E$87,$A35-4)</f>
        <v>0</v>
      </c>
      <c r="H35" s="138">
        <f>SUMIFS('Master Budget Sheet'!$AV$87:$AV$87,'Master Budget Sheet'!$F$87:$F$87,H$24,'Master Budget Sheet'!$E$87:$E$87,$A35-4)</f>
        <v>0</v>
      </c>
    </row>
    <row r="36" spans="1:10" ht="10.95" customHeight="1">
      <c r="A36" s="133">
        <v>11</v>
      </c>
      <c r="B36" s="138">
        <f>SUMIFS('Master Budget Sheet'!$AV$87:$AV$87,'Master Budget Sheet'!$F$87:$F$87,B$24,'Master Budget Sheet'!$E$87:$E$87,$A36-4)</f>
        <v>0</v>
      </c>
      <c r="C36" s="138">
        <f>SUMIFS('Master Budget Sheet'!$AV$87:$AV$87,'Master Budget Sheet'!$F$87:$F$87,C$24,'Master Budget Sheet'!$E$87:$E$87,$A36-4)</f>
        <v>0</v>
      </c>
      <c r="D36" s="138">
        <f>SUMIFS('Master Budget Sheet'!$AV$87:$AV$87,'Master Budget Sheet'!$F$87:$F$87,D$24,'Master Budget Sheet'!$E$87:$E$87,$A36-4)</f>
        <v>0</v>
      </c>
      <c r="E36" s="138">
        <f>SUMIFS('Master Budget Sheet'!$AV$87:$AV$87,'Master Budget Sheet'!$F$87:$F$87,E$24,'Master Budget Sheet'!$E$87:$E$87,$A36-4)</f>
        <v>0</v>
      </c>
      <c r="F36" s="138">
        <f>SUMIFS('Master Budget Sheet'!$AV$87:$AV$87,'Master Budget Sheet'!$F$87:$F$87,F$24,'Master Budget Sheet'!$E$87:$E$87,$A36-4)</f>
        <v>0</v>
      </c>
      <c r="G36" s="138">
        <f>SUMIFS('Master Budget Sheet'!$AV$87:$AV$87,'Master Budget Sheet'!$F$87:$F$87,G$24,'Master Budget Sheet'!$E$87:$E$87,$A36-4)</f>
        <v>0</v>
      </c>
      <c r="H36" s="138">
        <f>SUMIFS('Master Budget Sheet'!$AV$87:$AV$87,'Master Budget Sheet'!$F$87:$F$87,H$24,'Master Budget Sheet'!$E$87:$E$87,$A36-4)</f>
        <v>0</v>
      </c>
    </row>
    <row r="37" spans="1:10" ht="10.95" customHeight="1">
      <c r="A37" s="133">
        <v>12</v>
      </c>
      <c r="B37" s="138">
        <f>SUMIFS('Master Budget Sheet'!$AV$87:$AV$87,'Master Budget Sheet'!$F$87:$F$87,B$24,'Master Budget Sheet'!$E$87:$E$87,$A37-4)</f>
        <v>0</v>
      </c>
      <c r="C37" s="138">
        <f>SUMIFS('Master Budget Sheet'!$AV$87:$AV$87,'Master Budget Sheet'!$F$87:$F$87,C$24,'Master Budget Sheet'!$E$87:$E$87,$A37-4)</f>
        <v>0</v>
      </c>
      <c r="D37" s="138">
        <f>SUMIFS('Master Budget Sheet'!$AV$87:$AV$87,'Master Budget Sheet'!$F$87:$F$87,D$24,'Master Budget Sheet'!$E$87:$E$87,$A37-4)</f>
        <v>0</v>
      </c>
      <c r="E37" s="138">
        <f>SUMIFS('Master Budget Sheet'!$AV$87:$AV$87,'Master Budget Sheet'!$F$87:$F$87,E$24,'Master Budget Sheet'!$E$87:$E$87,$A37-4)</f>
        <v>0</v>
      </c>
      <c r="F37" s="138">
        <f>SUMIFS('Master Budget Sheet'!$AV$87:$AV$87,'Master Budget Sheet'!$F$87:$F$87,F$24,'Master Budget Sheet'!$E$87:$E$87,$A37-4)</f>
        <v>0</v>
      </c>
      <c r="G37" s="138">
        <f>SUMIFS('Master Budget Sheet'!$AV$87:$AV$87,'Master Budget Sheet'!$F$87:$F$87,G$24,'Master Budget Sheet'!$E$87:$E$87,$A37-4)</f>
        <v>0</v>
      </c>
      <c r="H37" s="138">
        <f>SUMIFS('Master Budget Sheet'!$AV$87:$AV$87,'Master Budget Sheet'!$F$87:$F$87,H$24,'Master Budget Sheet'!$E$87:$E$87,$A37-4)</f>
        <v>0</v>
      </c>
    </row>
    <row r="38" spans="1:10" ht="10.95" customHeight="1">
      <c r="A38" s="133" t="s">
        <v>227</v>
      </c>
      <c r="B38" s="138">
        <f>SUMIFS('Master Budget Sheet'!$AV$87:$AV$87,'Master Budget Sheet'!$F$87:$F$87,B$24,'Master Budget Sheet'!$E$87:$E$87,"&gt;8")</f>
        <v>0</v>
      </c>
      <c r="C38" s="138">
        <f>SUMIFS('Master Budget Sheet'!$AV$87:$AV$87,'Master Budget Sheet'!$F$87:$F$87,C$24,'Master Budget Sheet'!$E$87:$E$87,"&gt;8")</f>
        <v>0</v>
      </c>
      <c r="D38" s="138">
        <f>SUMIFS('Master Budget Sheet'!$AV$87:$AV$87,'Master Budget Sheet'!$F$87:$F$87,D$24,'Master Budget Sheet'!$E$87:$E$87,"&gt;8")</f>
        <v>0</v>
      </c>
      <c r="E38" s="138">
        <f>SUMIFS('Master Budget Sheet'!$AV$87:$AV$87,'Master Budget Sheet'!$F$87:$F$87,E$24,'Master Budget Sheet'!$E$87:$E$87,"&gt;8")</f>
        <v>0</v>
      </c>
      <c r="F38" s="138">
        <f>SUMIFS('Master Budget Sheet'!$AV$87:$AV$87,'Master Budget Sheet'!$F$87:$F$87,F$24,'Master Budget Sheet'!$E$87:$E$87,"&gt;8")</f>
        <v>0</v>
      </c>
      <c r="G38" s="138">
        <f>SUMIFS('Master Budget Sheet'!$AV$87:$AV$87,'Master Budget Sheet'!$F$87:$F$87,G$24,'Master Budget Sheet'!$E$87:$E$87,"&gt;8")</f>
        <v>0</v>
      </c>
      <c r="H38" s="138">
        <f>SUMIFS('Master Budget Sheet'!$AV$87:$AV$87,'Master Budget Sheet'!$F$87:$F$87,H$24,'Master Budget Sheet'!$E$87:$E$87,"&gt;8")</f>
        <v>0</v>
      </c>
    </row>
    <row r="39" spans="1:10" s="143" customFormat="1" ht="10.95" customHeight="1">
      <c r="A39" s="140" t="s">
        <v>229</v>
      </c>
      <c r="B39" s="141">
        <f t="shared" ref="B39:H39" si="0">ROUND(SUM(B25:B38),5)</f>
        <v>0</v>
      </c>
      <c r="C39" s="141">
        <f t="shared" si="0"/>
        <v>0</v>
      </c>
      <c r="D39" s="141">
        <f t="shared" si="0"/>
        <v>0</v>
      </c>
      <c r="E39" s="141">
        <f t="shared" si="0"/>
        <v>0</v>
      </c>
      <c r="F39" s="141">
        <f t="shared" si="0"/>
        <v>0</v>
      </c>
      <c r="G39" s="141">
        <f t="shared" si="0"/>
        <v>0</v>
      </c>
      <c r="H39" s="141">
        <f t="shared" si="0"/>
        <v>1</v>
      </c>
      <c r="I39" s="142"/>
    </row>
    <row r="40" spans="1:10" ht="10.95" customHeight="1">
      <c r="A40" s="136"/>
      <c r="B40" s="129"/>
      <c r="C40" s="129"/>
      <c r="D40" s="129"/>
      <c r="E40" s="129"/>
      <c r="F40" s="144" t="s">
        <v>230</v>
      </c>
      <c r="G40" s="145" t="s">
        <v>231</v>
      </c>
      <c r="H40" s="146">
        <f>ROUND(SUM(B39:H39),5)</f>
        <v>1</v>
      </c>
    </row>
    <row r="41" spans="1:10" ht="10.95" customHeight="1">
      <c r="A41" s="136"/>
      <c r="B41" s="129"/>
      <c r="C41" s="129"/>
      <c r="D41" s="129"/>
      <c r="E41" s="147"/>
      <c r="F41" s="148"/>
      <c r="G41" s="149"/>
      <c r="H41" s="150"/>
      <c r="I41" s="147"/>
    </row>
    <row r="42" spans="1:10" ht="10.95" customHeight="1">
      <c r="A42" s="128" t="s">
        <v>232</v>
      </c>
      <c r="B42" s="128"/>
      <c r="C42" s="128"/>
      <c r="D42" s="128"/>
      <c r="E42" s="128"/>
      <c r="F42" s="128"/>
      <c r="G42" s="128"/>
      <c r="H42" s="128"/>
    </row>
    <row r="43" spans="1:10" ht="10.95" customHeight="1">
      <c r="A43" s="133"/>
      <c r="B43" s="151"/>
      <c r="C43" s="151"/>
      <c r="D43" s="151"/>
      <c r="E43" s="133" t="s">
        <v>215</v>
      </c>
      <c r="F43" s="133" t="s">
        <v>216</v>
      </c>
      <c r="G43" s="133" t="s">
        <v>217</v>
      </c>
      <c r="H43" s="133" t="s">
        <v>218</v>
      </c>
    </row>
    <row r="44" spans="1:10" ht="10.95" customHeight="1">
      <c r="A44" s="133" t="s">
        <v>219</v>
      </c>
      <c r="B44" s="133" t="s">
        <v>220</v>
      </c>
      <c r="C44" s="133" t="s">
        <v>221</v>
      </c>
      <c r="D44" s="133" t="s">
        <v>222</v>
      </c>
      <c r="E44" s="133" t="s">
        <v>223</v>
      </c>
      <c r="F44" s="133" t="s">
        <v>224</v>
      </c>
      <c r="G44" s="133" t="s">
        <v>225</v>
      </c>
      <c r="H44" s="133" t="s">
        <v>226</v>
      </c>
    </row>
    <row r="45" spans="1:10" ht="10.95" customHeight="1">
      <c r="A45" s="133">
        <v>0</v>
      </c>
      <c r="B45" s="141">
        <f t="shared" ref="B45:H58" si="1">ROUND((+B6*B25),5)</f>
        <v>0</v>
      </c>
      <c r="C45" s="141">
        <f t="shared" si="1"/>
        <v>0</v>
      </c>
      <c r="D45" s="141">
        <f t="shared" si="1"/>
        <v>0</v>
      </c>
      <c r="E45" s="141">
        <f t="shared" si="1"/>
        <v>0</v>
      </c>
      <c r="F45" s="141">
        <f t="shared" si="1"/>
        <v>0</v>
      </c>
      <c r="G45" s="141">
        <f t="shared" si="1"/>
        <v>0</v>
      </c>
      <c r="H45" s="141">
        <f t="shared" si="1"/>
        <v>0</v>
      </c>
      <c r="I45" s="142"/>
      <c r="J45" s="136"/>
    </row>
    <row r="46" spans="1:10" ht="10.95" customHeight="1">
      <c r="A46" s="133">
        <v>1</v>
      </c>
      <c r="B46" s="141">
        <f t="shared" si="1"/>
        <v>0</v>
      </c>
      <c r="C46" s="141">
        <f t="shared" si="1"/>
        <v>0</v>
      </c>
      <c r="D46" s="141">
        <f t="shared" si="1"/>
        <v>0</v>
      </c>
      <c r="E46" s="141">
        <f t="shared" si="1"/>
        <v>0</v>
      </c>
      <c r="F46" s="141">
        <f t="shared" si="1"/>
        <v>0</v>
      </c>
      <c r="G46" s="141">
        <f t="shared" si="1"/>
        <v>0</v>
      </c>
      <c r="H46" s="141">
        <f t="shared" si="1"/>
        <v>0</v>
      </c>
      <c r="I46" s="142"/>
      <c r="J46" s="136"/>
    </row>
    <row r="47" spans="1:10" ht="10.95" customHeight="1">
      <c r="A47" s="133">
        <v>2</v>
      </c>
      <c r="B47" s="141">
        <f t="shared" si="1"/>
        <v>0</v>
      </c>
      <c r="C47" s="141">
        <f t="shared" si="1"/>
        <v>0</v>
      </c>
      <c r="D47" s="141">
        <f t="shared" si="1"/>
        <v>0</v>
      </c>
      <c r="E47" s="141">
        <f t="shared" si="1"/>
        <v>0</v>
      </c>
      <c r="F47" s="141">
        <f t="shared" si="1"/>
        <v>0</v>
      </c>
      <c r="G47" s="141">
        <f t="shared" si="1"/>
        <v>0</v>
      </c>
      <c r="H47" s="141">
        <f t="shared" si="1"/>
        <v>0</v>
      </c>
      <c r="I47" s="142"/>
      <c r="J47" s="136"/>
    </row>
    <row r="48" spans="1:10" ht="10.95" customHeight="1">
      <c r="A48" s="133">
        <v>3</v>
      </c>
      <c r="B48" s="141">
        <f t="shared" si="1"/>
        <v>0</v>
      </c>
      <c r="C48" s="141">
        <f t="shared" si="1"/>
        <v>0</v>
      </c>
      <c r="D48" s="141">
        <f t="shared" si="1"/>
        <v>0</v>
      </c>
      <c r="E48" s="141">
        <f t="shared" si="1"/>
        <v>0</v>
      </c>
      <c r="F48" s="141">
        <f t="shared" si="1"/>
        <v>0</v>
      </c>
      <c r="G48" s="141">
        <f t="shared" si="1"/>
        <v>0</v>
      </c>
      <c r="H48" s="141">
        <f t="shared" si="1"/>
        <v>0</v>
      </c>
      <c r="I48" s="142"/>
      <c r="J48" s="136"/>
    </row>
    <row r="49" spans="1:10" ht="10.95" customHeight="1">
      <c r="A49" s="133">
        <v>4</v>
      </c>
      <c r="B49" s="141">
        <f t="shared" si="1"/>
        <v>0</v>
      </c>
      <c r="C49" s="141">
        <f t="shared" si="1"/>
        <v>0</v>
      </c>
      <c r="D49" s="141">
        <f t="shared" si="1"/>
        <v>0</v>
      </c>
      <c r="E49" s="141">
        <f t="shared" si="1"/>
        <v>0</v>
      </c>
      <c r="F49" s="141">
        <f t="shared" si="1"/>
        <v>0</v>
      </c>
      <c r="G49" s="141">
        <f t="shared" si="1"/>
        <v>0</v>
      </c>
      <c r="H49" s="141">
        <f t="shared" si="1"/>
        <v>0</v>
      </c>
      <c r="I49" s="142"/>
      <c r="J49" s="136"/>
    </row>
    <row r="50" spans="1:10" ht="10.95" customHeight="1">
      <c r="A50" s="133">
        <v>5</v>
      </c>
      <c r="B50" s="141">
        <f t="shared" si="1"/>
        <v>0</v>
      </c>
      <c r="C50" s="141">
        <f t="shared" si="1"/>
        <v>0</v>
      </c>
      <c r="D50" s="141">
        <f t="shared" si="1"/>
        <v>0</v>
      </c>
      <c r="E50" s="141">
        <f t="shared" si="1"/>
        <v>0</v>
      </c>
      <c r="F50" s="141">
        <f t="shared" si="1"/>
        <v>0</v>
      </c>
      <c r="G50" s="141">
        <f t="shared" si="1"/>
        <v>0</v>
      </c>
      <c r="H50" s="141">
        <f t="shared" si="1"/>
        <v>0</v>
      </c>
      <c r="I50" s="142"/>
      <c r="J50" s="136"/>
    </row>
    <row r="51" spans="1:10" ht="10.95" customHeight="1">
      <c r="A51" s="133">
        <v>6</v>
      </c>
      <c r="B51" s="141">
        <f t="shared" si="1"/>
        <v>0</v>
      </c>
      <c r="C51" s="141">
        <f t="shared" si="1"/>
        <v>0</v>
      </c>
      <c r="D51" s="141">
        <f t="shared" si="1"/>
        <v>0</v>
      </c>
      <c r="E51" s="141">
        <f t="shared" si="1"/>
        <v>0</v>
      </c>
      <c r="F51" s="141">
        <f t="shared" si="1"/>
        <v>0</v>
      </c>
      <c r="G51" s="141">
        <f t="shared" si="1"/>
        <v>0</v>
      </c>
      <c r="H51" s="141">
        <f t="shared" si="1"/>
        <v>1.5555000000000001</v>
      </c>
      <c r="I51" s="142"/>
      <c r="J51" s="136"/>
    </row>
    <row r="52" spans="1:10" ht="10.95" customHeight="1">
      <c r="A52" s="133">
        <v>7</v>
      </c>
      <c r="B52" s="141">
        <f t="shared" si="1"/>
        <v>0</v>
      </c>
      <c r="C52" s="141">
        <f t="shared" si="1"/>
        <v>0</v>
      </c>
      <c r="D52" s="141">
        <f t="shared" si="1"/>
        <v>0</v>
      </c>
      <c r="E52" s="141">
        <f t="shared" si="1"/>
        <v>0</v>
      </c>
      <c r="F52" s="141">
        <f t="shared" si="1"/>
        <v>0</v>
      </c>
      <c r="G52" s="141">
        <f t="shared" si="1"/>
        <v>0</v>
      </c>
      <c r="H52" s="141">
        <f t="shared" si="1"/>
        <v>0</v>
      </c>
      <c r="I52" s="142"/>
      <c r="J52" s="136"/>
    </row>
    <row r="53" spans="1:10" ht="10.95" customHeight="1">
      <c r="A53" s="133">
        <v>8</v>
      </c>
      <c r="B53" s="141">
        <f t="shared" si="1"/>
        <v>0</v>
      </c>
      <c r="C53" s="141">
        <f t="shared" si="1"/>
        <v>0</v>
      </c>
      <c r="D53" s="141">
        <f t="shared" si="1"/>
        <v>0</v>
      </c>
      <c r="E53" s="141">
        <f t="shared" si="1"/>
        <v>0</v>
      </c>
      <c r="F53" s="141">
        <f t="shared" si="1"/>
        <v>0</v>
      </c>
      <c r="G53" s="141">
        <f t="shared" si="1"/>
        <v>0</v>
      </c>
      <c r="H53" s="141">
        <f t="shared" si="1"/>
        <v>0</v>
      </c>
      <c r="I53" s="142"/>
      <c r="J53" s="136"/>
    </row>
    <row r="54" spans="1:10" ht="10.95" customHeight="1">
      <c r="A54" s="133">
        <v>9</v>
      </c>
      <c r="B54" s="141">
        <f t="shared" si="1"/>
        <v>0</v>
      </c>
      <c r="C54" s="141">
        <f t="shared" si="1"/>
        <v>0</v>
      </c>
      <c r="D54" s="141">
        <f t="shared" si="1"/>
        <v>0</v>
      </c>
      <c r="E54" s="141">
        <f t="shared" si="1"/>
        <v>0</v>
      </c>
      <c r="F54" s="141">
        <f t="shared" si="1"/>
        <v>0</v>
      </c>
      <c r="G54" s="141">
        <f t="shared" si="1"/>
        <v>0</v>
      </c>
      <c r="H54" s="141">
        <f t="shared" si="1"/>
        <v>0</v>
      </c>
      <c r="I54" s="142"/>
      <c r="J54" s="136"/>
    </row>
    <row r="55" spans="1:10" ht="10.95" customHeight="1">
      <c r="A55" s="133">
        <v>10</v>
      </c>
      <c r="B55" s="141">
        <f t="shared" si="1"/>
        <v>0</v>
      </c>
      <c r="C55" s="141">
        <f t="shared" si="1"/>
        <v>0</v>
      </c>
      <c r="D55" s="141">
        <f t="shared" si="1"/>
        <v>0</v>
      </c>
      <c r="E55" s="141">
        <f t="shared" si="1"/>
        <v>0</v>
      </c>
      <c r="F55" s="141">
        <f t="shared" si="1"/>
        <v>0</v>
      </c>
      <c r="G55" s="141">
        <f t="shared" si="1"/>
        <v>0</v>
      </c>
      <c r="H55" s="141">
        <f t="shared" si="1"/>
        <v>0</v>
      </c>
      <c r="I55" s="142"/>
      <c r="J55" s="136"/>
    </row>
    <row r="56" spans="1:10" ht="10.95" customHeight="1">
      <c r="A56" s="133">
        <v>11</v>
      </c>
      <c r="B56" s="141">
        <f t="shared" si="1"/>
        <v>0</v>
      </c>
      <c r="C56" s="141">
        <f t="shared" si="1"/>
        <v>0</v>
      </c>
      <c r="D56" s="141">
        <f t="shared" si="1"/>
        <v>0</v>
      </c>
      <c r="E56" s="141">
        <f t="shared" si="1"/>
        <v>0</v>
      </c>
      <c r="F56" s="141">
        <f t="shared" si="1"/>
        <v>0</v>
      </c>
      <c r="G56" s="141">
        <f t="shared" si="1"/>
        <v>0</v>
      </c>
      <c r="H56" s="141">
        <f t="shared" si="1"/>
        <v>0</v>
      </c>
      <c r="I56" s="142"/>
      <c r="J56" s="136"/>
    </row>
    <row r="57" spans="1:10" ht="10.95" customHeight="1">
      <c r="A57" s="133">
        <v>12</v>
      </c>
      <c r="B57" s="141">
        <f t="shared" si="1"/>
        <v>0</v>
      </c>
      <c r="C57" s="141">
        <f t="shared" si="1"/>
        <v>0</v>
      </c>
      <c r="D57" s="141">
        <f t="shared" si="1"/>
        <v>0</v>
      </c>
      <c r="E57" s="141">
        <f t="shared" si="1"/>
        <v>0</v>
      </c>
      <c r="F57" s="141">
        <f t="shared" si="1"/>
        <v>0</v>
      </c>
      <c r="G57" s="141">
        <f t="shared" si="1"/>
        <v>0</v>
      </c>
      <c r="H57" s="141">
        <f t="shared" si="1"/>
        <v>0</v>
      </c>
      <c r="I57" s="142"/>
      <c r="J57" s="136"/>
    </row>
    <row r="58" spans="1:10" ht="10.95" customHeight="1">
      <c r="A58" s="133" t="s">
        <v>227</v>
      </c>
      <c r="B58" s="141">
        <f t="shared" si="1"/>
        <v>0</v>
      </c>
      <c r="C58" s="141">
        <f t="shared" si="1"/>
        <v>0</v>
      </c>
      <c r="D58" s="141">
        <f t="shared" si="1"/>
        <v>0</v>
      </c>
      <c r="E58" s="141">
        <f t="shared" si="1"/>
        <v>0</v>
      </c>
      <c r="F58" s="141">
        <f t="shared" si="1"/>
        <v>0</v>
      </c>
      <c r="G58" s="141">
        <f t="shared" si="1"/>
        <v>0</v>
      </c>
      <c r="H58" s="141">
        <f t="shared" si="1"/>
        <v>0</v>
      </c>
      <c r="I58" s="142"/>
      <c r="J58" s="136"/>
    </row>
    <row r="59" spans="1:10" s="153" customFormat="1" ht="10.95" customHeight="1">
      <c r="A59" s="133" t="s">
        <v>229</v>
      </c>
      <c r="B59" s="141">
        <f t="shared" ref="B59:H59" si="2">ROUND(SUM(B45:B58),5)</f>
        <v>0</v>
      </c>
      <c r="C59" s="141">
        <f t="shared" si="2"/>
        <v>0</v>
      </c>
      <c r="D59" s="141">
        <f t="shared" si="2"/>
        <v>0</v>
      </c>
      <c r="E59" s="141">
        <f t="shared" si="2"/>
        <v>0</v>
      </c>
      <c r="F59" s="141">
        <f t="shared" si="2"/>
        <v>0</v>
      </c>
      <c r="G59" s="141">
        <f t="shared" si="2"/>
        <v>0</v>
      </c>
      <c r="H59" s="141">
        <f t="shared" si="2"/>
        <v>1.5555000000000001</v>
      </c>
      <c r="I59" s="152"/>
    </row>
    <row r="60" spans="1:10" ht="16.95" customHeight="1">
      <c r="A60" s="136"/>
      <c r="B60" s="154"/>
      <c r="C60" s="154"/>
      <c r="D60" s="154"/>
      <c r="E60" s="154"/>
      <c r="F60" s="155" t="s">
        <v>233</v>
      </c>
      <c r="G60" s="156" t="s">
        <v>234</v>
      </c>
      <c r="H60" s="157">
        <f>ROUND(SUM(B59:H59),5)</f>
        <v>1.5555000000000001</v>
      </c>
    </row>
    <row r="61" spans="1:10" ht="10.95" customHeight="1">
      <c r="A61" s="136"/>
      <c r="B61" s="158"/>
      <c r="C61" s="158"/>
      <c r="D61" s="158"/>
      <c r="E61" s="158"/>
      <c r="F61" s="159" t="s">
        <v>235</v>
      </c>
      <c r="G61" s="160" t="s">
        <v>236</v>
      </c>
      <c r="H61" s="161">
        <f>IF(H40=0,0,ROUND(H60/H40,6))</f>
        <v>1.5555000000000001</v>
      </c>
    </row>
    <row r="62" spans="1:10" ht="10.95" customHeight="1">
      <c r="A62" s="136"/>
      <c r="B62" s="129"/>
      <c r="C62" s="129"/>
      <c r="D62" s="129"/>
      <c r="E62" s="129"/>
      <c r="F62" s="129"/>
      <c r="G62" s="129"/>
      <c r="H62" s="129"/>
    </row>
    <row r="63" spans="1:10" ht="10.95" customHeight="1">
      <c r="A63" s="162"/>
      <c r="B63" s="129"/>
      <c r="C63" s="129"/>
      <c r="D63" s="129"/>
      <c r="E63" s="129"/>
      <c r="F63" s="129"/>
      <c r="G63" s="129"/>
      <c r="H63" s="129"/>
    </row>
    <row r="64" spans="1:10" ht="10.95" customHeight="1">
      <c r="A64" s="162"/>
    </row>
    <row r="65" spans="1:1" ht="10.95" customHeight="1">
      <c r="A65" s="162"/>
    </row>
    <row r="66" spans="1:1" ht="10.95" customHeight="1">
      <c r="A66" s="162"/>
    </row>
    <row r="67" spans="1:1" ht="10.95" customHeight="1">
      <c r="A67" s="162"/>
    </row>
    <row r="68" spans="1:1" ht="10.95" customHeight="1">
      <c r="A68" s="162"/>
    </row>
    <row r="69" spans="1:1" ht="10.95" customHeight="1">
      <c r="A69" s="162"/>
    </row>
    <row r="70" spans="1:1" ht="10.95" customHeight="1">
      <c r="A70" s="162"/>
    </row>
    <row r="71" spans="1:1" ht="10.95" customHeight="1">
      <c r="A71" s="162"/>
    </row>
    <row r="72" spans="1:1" ht="10.95" customHeight="1">
      <c r="A72" s="162"/>
    </row>
    <row r="73" spans="1:1" ht="10.95" customHeight="1">
      <c r="A73" s="162"/>
    </row>
    <row r="74" spans="1:1" ht="10.95" customHeight="1">
      <c r="A74" s="162"/>
    </row>
    <row r="75" spans="1:1" ht="10.95" customHeight="1">
      <c r="A75" s="162"/>
    </row>
    <row r="76" spans="1:1" ht="10.95" customHeight="1">
      <c r="A76" s="162"/>
    </row>
    <row r="77" spans="1:1" ht="10.95" customHeight="1">
      <c r="A77" s="162"/>
    </row>
    <row r="78" spans="1:1" ht="10.95" customHeight="1">
      <c r="A78" s="162"/>
    </row>
    <row r="79" spans="1:1" ht="10.95" customHeight="1">
      <c r="A79" s="162"/>
    </row>
    <row r="80" spans="1:1" ht="10.95" customHeight="1">
      <c r="A80" s="162"/>
    </row>
    <row r="81" spans="1:1" ht="10.95" customHeight="1">
      <c r="A81" s="162"/>
    </row>
    <row r="82" spans="1:1" ht="10.95" customHeight="1">
      <c r="A82" s="162"/>
    </row>
    <row r="83" spans="1:1" ht="10.95" customHeight="1">
      <c r="A83" s="162"/>
    </row>
    <row r="84" spans="1:1" ht="10.95" customHeight="1">
      <c r="A84" s="162"/>
    </row>
    <row r="85" spans="1:1" ht="10.95" customHeight="1">
      <c r="A85" s="162"/>
    </row>
    <row r="86" spans="1:1" ht="10.95" customHeight="1">
      <c r="A86" s="162"/>
    </row>
    <row r="87" spans="1:1" ht="10.95" customHeight="1">
      <c r="A87" s="162"/>
    </row>
    <row r="88" spans="1:1" ht="10.95" customHeight="1">
      <c r="A88" s="162"/>
    </row>
    <row r="89" spans="1:1" ht="10.95" customHeight="1">
      <c r="A89" s="162"/>
    </row>
    <row r="90" spans="1:1" ht="10.95" customHeight="1">
      <c r="A90" s="162"/>
    </row>
    <row r="91" spans="1:1" ht="10.95" customHeight="1">
      <c r="A91" s="162"/>
    </row>
    <row r="92" spans="1:1" ht="10.95" customHeight="1">
      <c r="A92" s="162"/>
    </row>
    <row r="93" spans="1:1" ht="10.95" customHeight="1">
      <c r="A93" s="162"/>
    </row>
    <row r="94" spans="1:1" ht="10.95" customHeight="1">
      <c r="A94" s="162"/>
    </row>
    <row r="95" spans="1:1" ht="10.95" customHeight="1">
      <c r="A95" s="162"/>
    </row>
    <row r="96" spans="1:1" ht="10.95" customHeight="1">
      <c r="A96" s="162"/>
    </row>
    <row r="97" spans="1:1" ht="10.95" customHeight="1">
      <c r="A97" s="162"/>
    </row>
    <row r="98" spans="1:1" ht="10.95" customHeight="1">
      <c r="A98" s="162"/>
    </row>
    <row r="99" spans="1:1" ht="10.95" customHeight="1">
      <c r="A99" s="162"/>
    </row>
    <row r="100" spans="1:1" ht="10.95" customHeight="1">
      <c r="A100" s="162"/>
    </row>
    <row r="101" spans="1:1" ht="10.95" customHeight="1">
      <c r="A101" s="162"/>
    </row>
    <row r="102" spans="1:1" ht="10.95" customHeight="1">
      <c r="A102" s="162"/>
    </row>
    <row r="103" spans="1:1" ht="10.95" customHeight="1">
      <c r="A103" s="162"/>
    </row>
    <row r="104" spans="1:1" ht="10.95" customHeight="1">
      <c r="A104" s="162"/>
    </row>
    <row r="105" spans="1:1" ht="10.95" customHeight="1">
      <c r="A105" s="162"/>
    </row>
    <row r="106" spans="1:1" ht="10.95" customHeight="1">
      <c r="A106" s="162"/>
    </row>
    <row r="107" spans="1:1" ht="10.95" customHeight="1">
      <c r="A107" s="162"/>
    </row>
    <row r="108" spans="1:1" ht="10.95" customHeight="1">
      <c r="A108" s="162"/>
    </row>
    <row r="109" spans="1:1" ht="10.95" customHeight="1">
      <c r="A109" s="162"/>
    </row>
    <row r="110" spans="1:1" ht="10.95" customHeight="1">
      <c r="A110" s="162"/>
    </row>
    <row r="111" spans="1:1" ht="10.95" customHeight="1">
      <c r="A111" s="162"/>
    </row>
    <row r="112" spans="1:1" ht="10.95" customHeight="1">
      <c r="A112" s="162"/>
    </row>
    <row r="113" spans="1:1" ht="10.95" customHeight="1">
      <c r="A113" s="162"/>
    </row>
    <row r="114" spans="1:1" ht="10.95" customHeight="1">
      <c r="A114" s="162"/>
    </row>
    <row r="115" spans="1:1" ht="10.95" customHeight="1">
      <c r="A115" s="162"/>
    </row>
    <row r="116" spans="1:1" ht="10.95" customHeight="1">
      <c r="A116" s="162"/>
    </row>
    <row r="117" spans="1:1" ht="10.95" customHeight="1">
      <c r="A117" s="162"/>
    </row>
    <row r="118" spans="1:1" ht="10.95" customHeight="1">
      <c r="A118" s="162"/>
    </row>
    <row r="119" spans="1:1" ht="10.95" customHeight="1">
      <c r="A119" s="162"/>
    </row>
    <row r="120" spans="1:1" ht="10.95" customHeight="1">
      <c r="A120" s="162"/>
    </row>
    <row r="121" spans="1:1" ht="10.95" customHeight="1">
      <c r="A121" s="162"/>
    </row>
    <row r="122" spans="1:1" ht="10.95" customHeight="1">
      <c r="A122" s="162"/>
    </row>
    <row r="123" spans="1:1" ht="10.95" customHeight="1">
      <c r="A123" s="162"/>
    </row>
    <row r="124" spans="1:1" ht="10.95" customHeight="1">
      <c r="A124" s="162"/>
    </row>
    <row r="125" spans="1:1" ht="10.95" customHeight="1">
      <c r="A125" s="162"/>
    </row>
    <row r="126" spans="1:1" ht="10.95" customHeight="1">
      <c r="A126" s="162"/>
    </row>
    <row r="127" spans="1:1" ht="10.95" customHeight="1">
      <c r="A127" s="162"/>
    </row>
  </sheetData>
  <pageMargins left="0.7" right="0.7" top="0.75" bottom="0.75" header="0.3" footer="0.3"/>
  <pageSetup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06"/>
  <dimension ref="A1:M45"/>
  <sheetViews>
    <sheetView showGridLines="0" workbookViewId="0">
      <selection activeCell="A13" sqref="A13:A25"/>
    </sheetView>
  </sheetViews>
  <sheetFormatPr defaultColWidth="10.44140625" defaultRowHeight="13.2"/>
  <cols>
    <col min="1" max="1" width="11" style="268" customWidth="1"/>
    <col min="2" max="2" width="12.21875" style="268" customWidth="1"/>
    <col min="3" max="3" width="11.77734375" style="268" customWidth="1"/>
    <col min="4" max="4" width="16.77734375" style="268" customWidth="1"/>
    <col min="5" max="5" width="14.44140625" style="268" customWidth="1"/>
    <col min="6" max="6" width="12.77734375" style="268" customWidth="1"/>
    <col min="7" max="7" width="6.77734375" style="268" customWidth="1"/>
    <col min="8" max="9" width="5.77734375" style="268" customWidth="1"/>
    <col min="10" max="10" width="8.77734375" style="268" customWidth="1"/>
    <col min="11" max="11" width="7.21875" style="268" customWidth="1"/>
    <col min="12" max="12" width="10.44140625" style="272"/>
    <col min="13" max="13" width="13.5546875" style="268" customWidth="1"/>
    <col min="14" max="16384" width="10.44140625" style="268"/>
  </cols>
  <sheetData>
    <row r="1" spans="1:13" ht="13.8">
      <c r="A1" s="336"/>
      <c r="E1" s="181"/>
      <c r="F1" s="181"/>
      <c r="G1" s="181"/>
      <c r="H1" s="181"/>
      <c r="I1" s="181"/>
      <c r="J1" s="181"/>
      <c r="K1" s="181"/>
    </row>
    <row r="2" spans="1:13" s="333" customFormat="1" ht="19.2" customHeight="1">
      <c r="A2" s="335" t="s">
        <v>257</v>
      </c>
      <c r="B2" s="335"/>
      <c r="C2" s="268"/>
      <c r="D2" s="268"/>
      <c r="E2" s="181"/>
      <c r="F2" s="181"/>
      <c r="G2" s="181"/>
      <c r="H2" s="181"/>
      <c r="I2" s="181"/>
      <c r="J2" s="181"/>
      <c r="K2" s="181"/>
      <c r="L2" s="334"/>
    </row>
    <row r="3" spans="1:13" s="175" customFormat="1" ht="16.2" customHeight="1">
      <c r="A3" s="329">
        <v>1</v>
      </c>
      <c r="B3" s="332" t="s">
        <v>381</v>
      </c>
      <c r="C3" s="330"/>
      <c r="D3" s="329"/>
      <c r="E3" s="181"/>
      <c r="F3" s="181"/>
      <c r="G3" s="181"/>
      <c r="H3" s="181"/>
      <c r="I3" s="181"/>
      <c r="J3" s="181"/>
      <c r="K3" s="181"/>
      <c r="L3" s="275"/>
    </row>
    <row r="4" spans="1:13" s="175" customFormat="1" ht="16.2" customHeight="1">
      <c r="A4" s="329">
        <v>2</v>
      </c>
      <c r="B4" s="331" t="s">
        <v>380</v>
      </c>
      <c r="C4" s="330"/>
      <c r="D4" s="329"/>
      <c r="E4" s="181"/>
      <c r="F4" s="181"/>
      <c r="G4" s="181"/>
      <c r="H4" s="181"/>
      <c r="I4" s="181"/>
      <c r="J4" s="181"/>
      <c r="K4" s="181"/>
      <c r="L4" s="275"/>
    </row>
    <row r="5" spans="1:13" s="175" customFormat="1" ht="16.2" customHeight="1">
      <c r="A5" s="174">
        <v>3</v>
      </c>
      <c r="B5" s="331" t="s">
        <v>379</v>
      </c>
      <c r="C5" s="330"/>
      <c r="D5" s="329"/>
      <c r="E5" s="181"/>
      <c r="F5" s="181"/>
      <c r="G5" s="181"/>
      <c r="H5" s="181"/>
      <c r="I5" s="181"/>
      <c r="J5" s="181"/>
      <c r="K5" s="181"/>
      <c r="L5" s="275"/>
    </row>
    <row r="6" spans="1:13" s="175" customFormat="1" ht="16.2" customHeight="1">
      <c r="A6" s="174">
        <v>4</v>
      </c>
      <c r="B6" s="328" t="s">
        <v>378</v>
      </c>
      <c r="C6" s="327"/>
      <c r="D6" s="174"/>
      <c r="E6" s="181"/>
      <c r="F6" s="181"/>
      <c r="G6" s="181"/>
      <c r="H6" s="181"/>
      <c r="I6" s="181"/>
      <c r="J6" s="181"/>
      <c r="K6" s="181"/>
      <c r="L6" s="275"/>
    </row>
    <row r="7" spans="1:13" s="175" customFormat="1" ht="16.2" customHeight="1">
      <c r="A7" s="174">
        <v>5</v>
      </c>
      <c r="B7" s="326" t="s">
        <v>258</v>
      </c>
      <c r="C7" s="325"/>
      <c r="D7" s="324"/>
      <c r="E7" s="181"/>
      <c r="F7" s="181"/>
      <c r="G7" s="181"/>
      <c r="H7" s="181"/>
      <c r="I7" s="181"/>
      <c r="J7" s="181"/>
      <c r="K7" s="181"/>
      <c r="L7" s="275"/>
    </row>
    <row r="8" spans="1:13" s="175" customFormat="1" ht="12.6" customHeight="1">
      <c r="E8" s="181"/>
      <c r="F8" s="181"/>
      <c r="G8" s="181"/>
      <c r="H8" s="181"/>
      <c r="I8" s="181"/>
      <c r="L8" s="275"/>
    </row>
    <row r="9" spans="1:13" customFormat="1" ht="14.4"/>
    <row r="10" spans="1:13" customFormat="1" ht="14.4"/>
    <row r="11" spans="1:13" customFormat="1" ht="14.4"/>
    <row r="12" spans="1:13" s="177" customFormat="1" ht="43.95" customHeight="1">
      <c r="A12" s="320" t="s">
        <v>240</v>
      </c>
      <c r="B12" s="321" t="s">
        <v>377</v>
      </c>
      <c r="C12" s="320" t="s">
        <v>117</v>
      </c>
      <c r="D12" s="319" t="s">
        <v>376</v>
      </c>
      <c r="E12" s="181"/>
      <c r="F12" s="181"/>
      <c r="G12" s="181"/>
      <c r="H12" s="181"/>
      <c r="I12" s="181"/>
      <c r="L12" s="306"/>
    </row>
    <row r="13" spans="1:13" s="177" customFormat="1" ht="15" customHeight="1">
      <c r="A13" s="318" t="s">
        <v>241</v>
      </c>
      <c r="B13" s="317">
        <f>+'Master Budget Sheet'!AQ146</f>
        <v>0</v>
      </c>
      <c r="C13" s="316">
        <f>+'Master Budget Sheet'!BN168</f>
        <v>52094</v>
      </c>
      <c r="D13" s="315">
        <f t="shared" ref="D13:D25" si="0">B13*C13</f>
        <v>0</v>
      </c>
      <c r="E13" s="181"/>
      <c r="F13" s="181"/>
      <c r="G13" s="181"/>
      <c r="H13" s="181"/>
      <c r="I13" s="181"/>
      <c r="L13" s="306"/>
    </row>
    <row r="14" spans="1:13" s="177" customFormat="1" ht="13.8">
      <c r="A14" s="312" t="s">
        <v>460</v>
      </c>
      <c r="B14" s="317">
        <f>+'Master Budget Sheet'!AQ147</f>
        <v>0</v>
      </c>
      <c r="C14" s="303">
        <f>+'Master Budget Sheet'!BN169</f>
        <v>53187</v>
      </c>
      <c r="D14" s="313">
        <f t="shared" si="0"/>
        <v>0</v>
      </c>
      <c r="E14" s="181"/>
      <c r="F14" s="181"/>
      <c r="G14" s="181"/>
      <c r="H14" s="181"/>
      <c r="I14" s="181"/>
      <c r="L14" s="306"/>
    </row>
    <row r="15" spans="1:13" s="181" customFormat="1" ht="13.8">
      <c r="A15" s="314" t="s">
        <v>461</v>
      </c>
      <c r="B15" s="317">
        <f>+'Master Budget Sheet'!AQ148</f>
        <v>0</v>
      </c>
      <c r="C15" s="303">
        <f>+'Master Budget Sheet'!BN170</f>
        <v>54280</v>
      </c>
      <c r="D15" s="313">
        <f t="shared" si="0"/>
        <v>0</v>
      </c>
      <c r="J15" s="177"/>
      <c r="K15" s="177"/>
      <c r="L15" s="306"/>
      <c r="M15" s="177"/>
    </row>
    <row r="16" spans="1:13" s="181" customFormat="1" ht="13.8">
      <c r="A16" s="312" t="s">
        <v>246</v>
      </c>
      <c r="B16" s="317">
        <f>+'Master Budget Sheet'!AQ149</f>
        <v>0</v>
      </c>
      <c r="C16" s="303">
        <f>+'Master Budget Sheet'!BN171</f>
        <v>55373</v>
      </c>
      <c r="D16" s="313">
        <f t="shared" si="0"/>
        <v>0</v>
      </c>
      <c r="J16" s="177"/>
      <c r="K16" s="177"/>
      <c r="L16" s="306"/>
      <c r="M16" s="177"/>
    </row>
    <row r="17" spans="1:12" s="177" customFormat="1" ht="13.8">
      <c r="A17" s="312" t="s">
        <v>247</v>
      </c>
      <c r="B17" s="317">
        <f>+'Master Budget Sheet'!AQ150</f>
        <v>1</v>
      </c>
      <c r="C17" s="303">
        <f>+'Master Budget Sheet'!BN172</f>
        <v>57286</v>
      </c>
      <c r="D17" s="313">
        <f t="shared" si="0"/>
        <v>57286</v>
      </c>
      <c r="H17" s="181"/>
      <c r="I17" s="181"/>
      <c r="L17" s="306"/>
    </row>
    <row r="18" spans="1:12" s="177" customFormat="1" ht="13.8">
      <c r="A18" s="312" t="s">
        <v>248</v>
      </c>
      <c r="B18" s="317">
        <f>+'Master Budget Sheet'!AQ151</f>
        <v>1.5</v>
      </c>
      <c r="C18" s="303">
        <f>+'Master Budget Sheet'!BN173</f>
        <v>59197</v>
      </c>
      <c r="D18" s="313">
        <f t="shared" si="0"/>
        <v>88795.5</v>
      </c>
      <c r="H18" s="181"/>
      <c r="I18" s="181"/>
      <c r="L18" s="306"/>
    </row>
    <row r="19" spans="1:12" s="177" customFormat="1" ht="13.8">
      <c r="A19" s="312" t="s">
        <v>249</v>
      </c>
      <c r="B19" s="317">
        <f>+'Master Budget Sheet'!AQ152</f>
        <v>3</v>
      </c>
      <c r="C19" s="303">
        <f>+'Master Budget Sheet'!BN174</f>
        <v>61110</v>
      </c>
      <c r="D19" s="313">
        <f t="shared" si="0"/>
        <v>183330</v>
      </c>
      <c r="H19" s="181"/>
      <c r="I19" s="181"/>
      <c r="L19" s="306"/>
    </row>
    <row r="20" spans="1:12" s="177" customFormat="1" ht="13.95" customHeight="1">
      <c r="A20" s="312" t="s">
        <v>250</v>
      </c>
      <c r="B20" s="317">
        <f>+'Master Budget Sheet'!AQ153</f>
        <v>1.2</v>
      </c>
      <c r="C20" s="303">
        <f>+'Master Budget Sheet'!BN175</f>
        <v>63022</v>
      </c>
      <c r="D20" s="313">
        <f t="shared" si="0"/>
        <v>75626.399999999994</v>
      </c>
      <c r="E20" s="175"/>
      <c r="F20" s="175"/>
      <c r="G20" s="175"/>
      <c r="H20" s="181"/>
      <c r="I20" s="181"/>
      <c r="L20" s="306"/>
    </row>
    <row r="21" spans="1:12" s="177" customFormat="1" ht="13.8">
      <c r="A21" s="312" t="s">
        <v>440</v>
      </c>
      <c r="B21" s="317">
        <f>+'Master Budget Sheet'!AQ154</f>
        <v>1.3</v>
      </c>
      <c r="C21" s="303">
        <f>+'Master Budget Sheet'!BN176</f>
        <v>66846</v>
      </c>
      <c r="D21" s="313">
        <f t="shared" si="0"/>
        <v>86899.8</v>
      </c>
      <c r="H21" s="181"/>
      <c r="I21" s="181"/>
      <c r="L21" s="306"/>
    </row>
    <row r="22" spans="1:12" s="177" customFormat="1" ht="13.8">
      <c r="A22" s="312" t="s">
        <v>441</v>
      </c>
      <c r="B22" s="317">
        <f>+'Master Budget Sheet'!AQ155</f>
        <v>1</v>
      </c>
      <c r="C22" s="303">
        <f>+'Master Budget Sheet'!BN177</f>
        <v>69032</v>
      </c>
      <c r="D22" s="313">
        <f t="shared" si="0"/>
        <v>69032</v>
      </c>
      <c r="H22" s="181"/>
      <c r="I22" s="181"/>
      <c r="L22" s="306"/>
    </row>
    <row r="23" spans="1:12" s="177" customFormat="1" ht="13.8">
      <c r="A23" s="312" t="s">
        <v>442</v>
      </c>
      <c r="B23" s="317">
        <f>+'Master Budget Sheet'!AQ156</f>
        <v>1</v>
      </c>
      <c r="C23" s="303">
        <f>+'Master Budget Sheet'!BN178</f>
        <v>71217</v>
      </c>
      <c r="D23" s="313">
        <f t="shared" si="0"/>
        <v>71217</v>
      </c>
      <c r="H23" s="181"/>
      <c r="I23" s="181"/>
      <c r="L23" s="306"/>
    </row>
    <row r="24" spans="1:12" s="177" customFormat="1" ht="13.8">
      <c r="A24" s="312" t="s">
        <v>443</v>
      </c>
      <c r="B24" s="317">
        <f>+'Master Budget Sheet'!AQ157</f>
        <v>3</v>
      </c>
      <c r="C24" s="303">
        <f>+'Master Budget Sheet'!BN179</f>
        <v>73403</v>
      </c>
      <c r="D24" s="313">
        <f t="shared" si="0"/>
        <v>220209</v>
      </c>
      <c r="H24" s="181"/>
      <c r="I24" s="181"/>
      <c r="L24" s="306"/>
    </row>
    <row r="25" spans="1:12" s="177" customFormat="1" ht="13.8">
      <c r="A25" s="312" t="s">
        <v>444</v>
      </c>
      <c r="B25" s="317">
        <f>+'Master Budget Sheet'!AQ158</f>
        <v>4</v>
      </c>
      <c r="C25" s="303">
        <f>+'Master Budget Sheet'!BN180</f>
        <v>75588</v>
      </c>
      <c r="D25" s="311">
        <f t="shared" si="0"/>
        <v>302352</v>
      </c>
      <c r="H25" s="181"/>
      <c r="I25" s="181"/>
      <c r="L25" s="306"/>
    </row>
    <row r="26" spans="1:12" s="177" customFormat="1" ht="14.4" thickBot="1">
      <c r="A26" s="271" t="s">
        <v>375</v>
      </c>
      <c r="B26" s="310">
        <f>SUM(B13:B25)</f>
        <v>17</v>
      </c>
      <c r="D26" s="309" t="s">
        <v>374</v>
      </c>
      <c r="E26" s="308">
        <f>SUM(D13:D25)</f>
        <v>1154747.7</v>
      </c>
      <c r="H26" s="181"/>
      <c r="I26" s="181"/>
      <c r="L26" s="306"/>
    </row>
    <row r="27" spans="1:12" s="177" customFormat="1" ht="14.4" thickTop="1">
      <c r="E27" s="307"/>
      <c r="H27" s="181"/>
      <c r="I27" s="181"/>
      <c r="L27" s="306"/>
    </row>
    <row r="28" spans="1:12" s="175" customFormat="1" ht="13.8">
      <c r="A28" s="283" t="s">
        <v>260</v>
      </c>
      <c r="B28" s="283"/>
      <c r="C28" s="275"/>
      <c r="D28" s="275"/>
      <c r="E28" s="300"/>
      <c r="F28" s="275"/>
      <c r="G28" s="275"/>
      <c r="H28" s="275"/>
      <c r="I28" s="275"/>
      <c r="J28" s="182"/>
      <c r="L28" s="275"/>
    </row>
    <row r="29" spans="1:12" s="175" customFormat="1" ht="21" customHeight="1">
      <c r="A29" s="286" t="s">
        <v>373</v>
      </c>
      <c r="B29" s="286"/>
      <c r="C29" s="286"/>
      <c r="D29" s="286"/>
      <c r="E29" s="300"/>
      <c r="F29" s="275"/>
      <c r="G29" s="275"/>
      <c r="H29" s="275"/>
      <c r="I29" s="275"/>
      <c r="L29" s="275"/>
    </row>
    <row r="30" spans="1:12" s="175" customFormat="1" ht="13.8">
      <c r="A30" s="286" t="s">
        <v>261</v>
      </c>
      <c r="B30" s="285" t="s">
        <v>168</v>
      </c>
      <c r="C30" s="283" t="s">
        <v>372</v>
      </c>
      <c r="D30" s="305" t="s">
        <v>259</v>
      </c>
      <c r="E30" s="290"/>
      <c r="F30" s="283"/>
      <c r="G30" s="283"/>
      <c r="H30" s="283"/>
      <c r="I30" s="283"/>
      <c r="L30" s="275"/>
    </row>
    <row r="31" spans="1:12" s="179" customFormat="1" ht="13.8">
      <c r="A31" s="304" t="s">
        <v>262</v>
      </c>
      <c r="B31" s="317">
        <f>+'Master Budget Sheet'!AQ160</f>
        <v>3</v>
      </c>
      <c r="C31" s="303">
        <f>+'Master Budget Sheet'!BN182</f>
        <v>2000</v>
      </c>
      <c r="D31" s="302">
        <f>B31*C31</f>
        <v>6000</v>
      </c>
      <c r="E31" s="300"/>
      <c r="F31" s="275"/>
      <c r="G31" s="275"/>
      <c r="H31" s="275"/>
      <c r="I31" s="275"/>
      <c r="L31" s="275"/>
    </row>
    <row r="32" spans="1:12" s="175" customFormat="1" ht="13.8">
      <c r="A32" s="304" t="s">
        <v>263</v>
      </c>
      <c r="B32" s="317">
        <f>+'Master Budget Sheet'!AQ161</f>
        <v>5</v>
      </c>
      <c r="C32" s="303">
        <f>+'Master Budget Sheet'!BN183</f>
        <v>3500</v>
      </c>
      <c r="D32" s="302">
        <f>B32*C32</f>
        <v>17500</v>
      </c>
      <c r="E32" s="300"/>
      <c r="F32" s="275"/>
      <c r="G32" s="275"/>
      <c r="H32" s="275"/>
      <c r="I32" s="275"/>
      <c r="L32" s="275"/>
    </row>
    <row r="33" spans="1:12" s="175" customFormat="1" ht="13.8">
      <c r="A33" s="275"/>
      <c r="C33" s="275"/>
      <c r="D33" s="279" t="s">
        <v>264</v>
      </c>
      <c r="E33" s="277">
        <f>SUM(D31:D32)</f>
        <v>23500</v>
      </c>
      <c r="F33" s="275"/>
      <c r="G33" s="275"/>
      <c r="H33" s="275"/>
      <c r="I33" s="275"/>
      <c r="L33" s="275"/>
    </row>
    <row r="34" spans="1:12" s="175" customFormat="1" ht="23.55" customHeight="1">
      <c r="A34" s="301" t="s">
        <v>362</v>
      </c>
      <c r="C34" s="275"/>
      <c r="D34" s="275"/>
      <c r="E34" s="300"/>
      <c r="F34" s="275"/>
      <c r="G34" s="275"/>
      <c r="H34" s="275"/>
      <c r="I34" s="275"/>
      <c r="L34" s="275"/>
    </row>
    <row r="35" spans="1:12" s="175" customFormat="1" ht="13.8">
      <c r="A35" s="299" t="s">
        <v>371</v>
      </c>
      <c r="B35" s="299"/>
      <c r="C35" s="298"/>
      <c r="D35" s="298"/>
      <c r="E35" s="297"/>
      <c r="F35" s="275"/>
      <c r="G35" s="275"/>
      <c r="H35" s="275"/>
      <c r="I35" s="275"/>
      <c r="J35" s="182"/>
      <c r="L35" s="275"/>
    </row>
    <row r="36" spans="1:12" s="175" customFormat="1" ht="25.2" customHeight="1">
      <c r="A36" s="1237" t="s">
        <v>370</v>
      </c>
      <c r="B36" s="1238"/>
      <c r="C36" s="1238"/>
      <c r="D36" s="1238"/>
      <c r="E36" s="1238"/>
      <c r="F36" s="275"/>
      <c r="G36" s="275"/>
      <c r="H36" s="275"/>
      <c r="I36" s="275"/>
      <c r="L36" s="275"/>
    </row>
    <row r="37" spans="1:12" s="175" customFormat="1" ht="13.8">
      <c r="A37" s="296" t="s">
        <v>235</v>
      </c>
      <c r="B37" s="294" t="s">
        <v>168</v>
      </c>
      <c r="C37" s="295" t="s">
        <v>369</v>
      </c>
      <c r="D37" s="294" t="s">
        <v>259</v>
      </c>
      <c r="E37" s="290"/>
      <c r="F37" s="283"/>
      <c r="G37" s="283"/>
      <c r="H37" s="283"/>
      <c r="I37" s="283"/>
      <c r="L37" s="275"/>
    </row>
    <row r="38" spans="1:12" s="175" customFormat="1" ht="13.8">
      <c r="A38" s="293" t="s">
        <v>368</v>
      </c>
      <c r="B38" s="317">
        <f>+'Master Budget Sheet'!AQ162</f>
        <v>1</v>
      </c>
      <c r="C38" s="303">
        <f>+'Master Budget Sheet'!BN184</f>
        <v>3000</v>
      </c>
      <c r="D38" s="291">
        <f>B38*C38</f>
        <v>3000</v>
      </c>
      <c r="E38" s="290"/>
      <c r="F38" s="283"/>
      <c r="G38" s="283"/>
      <c r="H38" s="283"/>
      <c r="I38" s="283"/>
      <c r="L38" s="275"/>
    </row>
    <row r="39" spans="1:12" s="175" customFormat="1" ht="13.8">
      <c r="A39" s="286"/>
      <c r="B39" s="285"/>
      <c r="C39" s="289"/>
      <c r="D39" s="288" t="s">
        <v>367</v>
      </c>
      <c r="E39" s="287">
        <f>D38</f>
        <v>3000</v>
      </c>
      <c r="F39" s="283"/>
      <c r="G39" s="283"/>
      <c r="H39" s="283"/>
      <c r="I39" s="283"/>
      <c r="L39" s="275"/>
    </row>
    <row r="40" spans="1:12" s="175" customFormat="1" ht="13.8">
      <c r="A40" s="286"/>
      <c r="B40" s="285"/>
      <c r="C40" s="284"/>
      <c r="D40" s="279"/>
      <c r="E40" s="277"/>
      <c r="F40" s="283"/>
      <c r="G40" s="283"/>
      <c r="H40" s="283"/>
      <c r="I40" s="283"/>
      <c r="L40" s="275"/>
    </row>
    <row r="41" spans="1:12" ht="13.8">
      <c r="A41" s="175"/>
      <c r="B41" s="175"/>
      <c r="C41" s="282" t="s">
        <v>366</v>
      </c>
      <c r="D41" s="281"/>
      <c r="E41" s="280">
        <v>0</v>
      </c>
      <c r="F41" s="270" t="s">
        <v>365</v>
      </c>
      <c r="G41" s="270"/>
      <c r="H41" s="270"/>
      <c r="I41" s="175"/>
      <c r="J41" s="175"/>
      <c r="K41" s="175"/>
      <c r="L41" s="275"/>
    </row>
    <row r="42" spans="1:12" s="175" customFormat="1" ht="13.8">
      <c r="A42" s="275"/>
      <c r="B42" s="275"/>
      <c r="C42" s="279" t="s">
        <v>364</v>
      </c>
      <c r="D42" s="278"/>
      <c r="E42" s="277">
        <f>SUM(E26:E41)</f>
        <v>1181247.7</v>
      </c>
      <c r="F42" s="275"/>
      <c r="G42" s="275"/>
      <c r="H42" s="275"/>
      <c r="I42" s="275"/>
      <c r="L42" s="275"/>
    </row>
    <row r="43" spans="1:12" s="175" customFormat="1" ht="14.4" thickBot="1">
      <c r="A43" s="272"/>
      <c r="B43" s="272"/>
      <c r="D43" s="275" t="s">
        <v>363</v>
      </c>
      <c r="E43" s="276">
        <f>E42/B26</f>
        <v>69485.158823529404</v>
      </c>
      <c r="F43" s="275"/>
      <c r="G43" s="275"/>
      <c r="H43" s="275"/>
      <c r="I43" s="275"/>
      <c r="L43" s="275"/>
    </row>
    <row r="44" spans="1:12" s="175" customFormat="1" ht="15" customHeight="1" thickTop="1">
      <c r="A44" s="268"/>
      <c r="B44" s="268"/>
      <c r="L44" s="275"/>
    </row>
    <row r="45" spans="1:12" s="273" customFormat="1" ht="67.95" customHeight="1">
      <c r="A45"/>
      <c r="B45"/>
      <c r="C45"/>
      <c r="D45"/>
      <c r="E45"/>
      <c r="F45"/>
      <c r="L45" s="274"/>
    </row>
  </sheetData>
  <mergeCells count="1">
    <mergeCell ref="A36:E36"/>
  </mergeCells>
  <pageMargins left="0.75" right="0.25" top="0" bottom="0" header="0.3" footer="0.3"/>
  <pageSetup orientation="portrait" horizontalDpi="1800" verticalDpi="18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dimension ref="A1:R37"/>
  <sheetViews>
    <sheetView showGridLines="0" zoomScale="90" zoomScaleNormal="100" workbookViewId="0">
      <selection activeCell="C4" sqref="C4"/>
    </sheetView>
  </sheetViews>
  <sheetFormatPr defaultRowHeight="13.2"/>
  <cols>
    <col min="1" max="1" width="4.21875" style="30" customWidth="1"/>
    <col min="2" max="2" width="2.5546875" style="2" customWidth="1"/>
    <col min="3" max="4" width="8.77734375" style="2"/>
    <col min="5" max="5" width="7.21875" style="2" customWidth="1"/>
    <col min="6" max="6" width="8.21875" style="2" customWidth="1"/>
    <col min="7" max="8" width="10.21875" style="2" customWidth="1"/>
    <col min="9" max="9" width="3.77734375" style="2" customWidth="1"/>
    <col min="10" max="10" width="8.77734375" style="2"/>
    <col min="11" max="11" width="6.21875" style="2" customWidth="1"/>
    <col min="12" max="12" width="5.5546875" style="2" customWidth="1"/>
    <col min="13" max="13" width="10.77734375" style="2" customWidth="1"/>
    <col min="14" max="14" width="8.21875" style="2" customWidth="1"/>
    <col min="15" max="15" width="12.21875" style="2" customWidth="1"/>
    <col min="16" max="16" width="10.21875" style="2" customWidth="1"/>
    <col min="17" max="17" width="9.21875" style="32" customWidth="1"/>
    <col min="18" max="256" width="8.77734375" style="2"/>
    <col min="257" max="257" width="4.21875" style="2" customWidth="1"/>
    <col min="258" max="258" width="2.5546875" style="2" customWidth="1"/>
    <col min="259" max="260" width="8.77734375" style="2"/>
    <col min="261" max="261" width="7.21875" style="2" customWidth="1"/>
    <col min="262" max="262" width="8.21875" style="2" customWidth="1"/>
    <col min="263" max="264" width="10.21875" style="2" customWidth="1"/>
    <col min="265" max="265" width="3.77734375" style="2" customWidth="1"/>
    <col min="266" max="266" width="8.77734375" style="2"/>
    <col min="267" max="267" width="6.21875" style="2" customWidth="1"/>
    <col min="268" max="268" width="5.5546875" style="2" customWidth="1"/>
    <col min="269" max="269" width="10.77734375" style="2" customWidth="1"/>
    <col min="270" max="270" width="8.21875" style="2" customWidth="1"/>
    <col min="271" max="271" width="12.21875" style="2" customWidth="1"/>
    <col min="272" max="272" width="10.21875" style="2" customWidth="1"/>
    <col min="273" max="273" width="9.21875" style="2" customWidth="1"/>
    <col min="274" max="512" width="8.77734375" style="2"/>
    <col min="513" max="513" width="4.21875" style="2" customWidth="1"/>
    <col min="514" max="514" width="2.5546875" style="2" customWidth="1"/>
    <col min="515" max="516" width="8.77734375" style="2"/>
    <col min="517" max="517" width="7.21875" style="2" customWidth="1"/>
    <col min="518" max="518" width="8.21875" style="2" customWidth="1"/>
    <col min="519" max="520" width="10.21875" style="2" customWidth="1"/>
    <col min="521" max="521" width="3.77734375" style="2" customWidth="1"/>
    <col min="522" max="522" width="8.77734375" style="2"/>
    <col min="523" max="523" width="6.21875" style="2" customWidth="1"/>
    <col min="524" max="524" width="5.5546875" style="2" customWidth="1"/>
    <col min="525" max="525" width="10.77734375" style="2" customWidth="1"/>
    <col min="526" max="526" width="8.21875" style="2" customWidth="1"/>
    <col min="527" max="527" width="12.21875" style="2" customWidth="1"/>
    <col min="528" max="528" width="10.21875" style="2" customWidth="1"/>
    <col min="529" max="529" width="9.21875" style="2" customWidth="1"/>
    <col min="530" max="768" width="8.77734375" style="2"/>
    <col min="769" max="769" width="4.21875" style="2" customWidth="1"/>
    <col min="770" max="770" width="2.5546875" style="2" customWidth="1"/>
    <col min="771" max="772" width="8.77734375" style="2"/>
    <col min="773" max="773" width="7.21875" style="2" customWidth="1"/>
    <col min="774" max="774" width="8.21875" style="2" customWidth="1"/>
    <col min="775" max="776" width="10.21875" style="2" customWidth="1"/>
    <col min="777" max="777" width="3.77734375" style="2" customWidth="1"/>
    <col min="778" max="778" width="8.77734375" style="2"/>
    <col min="779" max="779" width="6.21875" style="2" customWidth="1"/>
    <col min="780" max="780" width="5.5546875" style="2" customWidth="1"/>
    <col min="781" max="781" width="10.77734375" style="2" customWidth="1"/>
    <col min="782" max="782" width="8.21875" style="2" customWidth="1"/>
    <col min="783" max="783" width="12.21875" style="2" customWidth="1"/>
    <col min="784" max="784" width="10.21875" style="2" customWidth="1"/>
    <col min="785" max="785" width="9.21875" style="2" customWidth="1"/>
    <col min="786" max="1024" width="8.77734375" style="2"/>
    <col min="1025" max="1025" width="4.21875" style="2" customWidth="1"/>
    <col min="1026" max="1026" width="2.5546875" style="2" customWidth="1"/>
    <col min="1027" max="1028" width="8.77734375" style="2"/>
    <col min="1029" max="1029" width="7.21875" style="2" customWidth="1"/>
    <col min="1030" max="1030" width="8.21875" style="2" customWidth="1"/>
    <col min="1031" max="1032" width="10.21875" style="2" customWidth="1"/>
    <col min="1033" max="1033" width="3.77734375" style="2" customWidth="1"/>
    <col min="1034" max="1034" width="8.77734375" style="2"/>
    <col min="1035" max="1035" width="6.21875" style="2" customWidth="1"/>
    <col min="1036" max="1036" width="5.5546875" style="2" customWidth="1"/>
    <col min="1037" max="1037" width="10.77734375" style="2" customWidth="1"/>
    <col min="1038" max="1038" width="8.21875" style="2" customWidth="1"/>
    <col min="1039" max="1039" width="12.21875" style="2" customWidth="1"/>
    <col min="1040" max="1040" width="10.21875" style="2" customWidth="1"/>
    <col min="1041" max="1041" width="9.21875" style="2" customWidth="1"/>
    <col min="1042" max="1280" width="8.77734375" style="2"/>
    <col min="1281" max="1281" width="4.21875" style="2" customWidth="1"/>
    <col min="1282" max="1282" width="2.5546875" style="2" customWidth="1"/>
    <col min="1283" max="1284" width="8.77734375" style="2"/>
    <col min="1285" max="1285" width="7.21875" style="2" customWidth="1"/>
    <col min="1286" max="1286" width="8.21875" style="2" customWidth="1"/>
    <col min="1287" max="1288" width="10.21875" style="2" customWidth="1"/>
    <col min="1289" max="1289" width="3.77734375" style="2" customWidth="1"/>
    <col min="1290" max="1290" width="8.77734375" style="2"/>
    <col min="1291" max="1291" width="6.21875" style="2" customWidth="1"/>
    <col min="1292" max="1292" width="5.5546875" style="2" customWidth="1"/>
    <col min="1293" max="1293" width="10.77734375" style="2" customWidth="1"/>
    <col min="1294" max="1294" width="8.21875" style="2" customWidth="1"/>
    <col min="1295" max="1295" width="12.21875" style="2" customWidth="1"/>
    <col min="1296" max="1296" width="10.21875" style="2" customWidth="1"/>
    <col min="1297" max="1297" width="9.21875" style="2" customWidth="1"/>
    <col min="1298" max="1536" width="8.77734375" style="2"/>
    <col min="1537" max="1537" width="4.21875" style="2" customWidth="1"/>
    <col min="1538" max="1538" width="2.5546875" style="2" customWidth="1"/>
    <col min="1539" max="1540" width="8.77734375" style="2"/>
    <col min="1541" max="1541" width="7.21875" style="2" customWidth="1"/>
    <col min="1542" max="1542" width="8.21875" style="2" customWidth="1"/>
    <col min="1543" max="1544" width="10.21875" style="2" customWidth="1"/>
    <col min="1545" max="1545" width="3.77734375" style="2" customWidth="1"/>
    <col min="1546" max="1546" width="8.77734375" style="2"/>
    <col min="1547" max="1547" width="6.21875" style="2" customWidth="1"/>
    <col min="1548" max="1548" width="5.5546875" style="2" customWidth="1"/>
    <col min="1549" max="1549" width="10.77734375" style="2" customWidth="1"/>
    <col min="1550" max="1550" width="8.21875" style="2" customWidth="1"/>
    <col min="1551" max="1551" width="12.21875" style="2" customWidth="1"/>
    <col min="1552" max="1552" width="10.21875" style="2" customWidth="1"/>
    <col min="1553" max="1553" width="9.21875" style="2" customWidth="1"/>
    <col min="1554" max="1792" width="8.77734375" style="2"/>
    <col min="1793" max="1793" width="4.21875" style="2" customWidth="1"/>
    <col min="1794" max="1794" width="2.5546875" style="2" customWidth="1"/>
    <col min="1795" max="1796" width="8.77734375" style="2"/>
    <col min="1797" max="1797" width="7.21875" style="2" customWidth="1"/>
    <col min="1798" max="1798" width="8.21875" style="2" customWidth="1"/>
    <col min="1799" max="1800" width="10.21875" style="2" customWidth="1"/>
    <col min="1801" max="1801" width="3.77734375" style="2" customWidth="1"/>
    <col min="1802" max="1802" width="8.77734375" style="2"/>
    <col min="1803" max="1803" width="6.21875" style="2" customWidth="1"/>
    <col min="1804" max="1804" width="5.5546875" style="2" customWidth="1"/>
    <col min="1805" max="1805" width="10.77734375" style="2" customWidth="1"/>
    <col min="1806" max="1806" width="8.21875" style="2" customWidth="1"/>
    <col min="1807" max="1807" width="12.21875" style="2" customWidth="1"/>
    <col min="1808" max="1808" width="10.21875" style="2" customWidth="1"/>
    <col min="1809" max="1809" width="9.21875" style="2" customWidth="1"/>
    <col min="1810" max="2048" width="8.77734375" style="2"/>
    <col min="2049" max="2049" width="4.21875" style="2" customWidth="1"/>
    <col min="2050" max="2050" width="2.5546875" style="2" customWidth="1"/>
    <col min="2051" max="2052" width="8.77734375" style="2"/>
    <col min="2053" max="2053" width="7.21875" style="2" customWidth="1"/>
    <col min="2054" max="2054" width="8.21875" style="2" customWidth="1"/>
    <col min="2055" max="2056" width="10.21875" style="2" customWidth="1"/>
    <col min="2057" max="2057" width="3.77734375" style="2" customWidth="1"/>
    <col min="2058" max="2058" width="8.77734375" style="2"/>
    <col min="2059" max="2059" width="6.21875" style="2" customWidth="1"/>
    <col min="2060" max="2060" width="5.5546875" style="2" customWidth="1"/>
    <col min="2061" max="2061" width="10.77734375" style="2" customWidth="1"/>
    <col min="2062" max="2062" width="8.21875" style="2" customWidth="1"/>
    <col min="2063" max="2063" width="12.21875" style="2" customWidth="1"/>
    <col min="2064" max="2064" width="10.21875" style="2" customWidth="1"/>
    <col min="2065" max="2065" width="9.21875" style="2" customWidth="1"/>
    <col min="2066" max="2304" width="8.77734375" style="2"/>
    <col min="2305" max="2305" width="4.21875" style="2" customWidth="1"/>
    <col min="2306" max="2306" width="2.5546875" style="2" customWidth="1"/>
    <col min="2307" max="2308" width="8.77734375" style="2"/>
    <col min="2309" max="2309" width="7.21875" style="2" customWidth="1"/>
    <col min="2310" max="2310" width="8.21875" style="2" customWidth="1"/>
    <col min="2311" max="2312" width="10.21875" style="2" customWidth="1"/>
    <col min="2313" max="2313" width="3.77734375" style="2" customWidth="1"/>
    <col min="2314" max="2314" width="8.77734375" style="2"/>
    <col min="2315" max="2315" width="6.21875" style="2" customWidth="1"/>
    <col min="2316" max="2316" width="5.5546875" style="2" customWidth="1"/>
    <col min="2317" max="2317" width="10.77734375" style="2" customWidth="1"/>
    <col min="2318" max="2318" width="8.21875" style="2" customWidth="1"/>
    <col min="2319" max="2319" width="12.21875" style="2" customWidth="1"/>
    <col min="2320" max="2320" width="10.21875" style="2" customWidth="1"/>
    <col min="2321" max="2321" width="9.21875" style="2" customWidth="1"/>
    <col min="2322" max="2560" width="8.77734375" style="2"/>
    <col min="2561" max="2561" width="4.21875" style="2" customWidth="1"/>
    <col min="2562" max="2562" width="2.5546875" style="2" customWidth="1"/>
    <col min="2563" max="2564" width="8.77734375" style="2"/>
    <col min="2565" max="2565" width="7.21875" style="2" customWidth="1"/>
    <col min="2566" max="2566" width="8.21875" style="2" customWidth="1"/>
    <col min="2567" max="2568" width="10.21875" style="2" customWidth="1"/>
    <col min="2569" max="2569" width="3.77734375" style="2" customWidth="1"/>
    <col min="2570" max="2570" width="8.77734375" style="2"/>
    <col min="2571" max="2571" width="6.21875" style="2" customWidth="1"/>
    <col min="2572" max="2572" width="5.5546875" style="2" customWidth="1"/>
    <col min="2573" max="2573" width="10.77734375" style="2" customWidth="1"/>
    <col min="2574" max="2574" width="8.21875" style="2" customWidth="1"/>
    <col min="2575" max="2575" width="12.21875" style="2" customWidth="1"/>
    <col min="2576" max="2576" width="10.21875" style="2" customWidth="1"/>
    <col min="2577" max="2577" width="9.21875" style="2" customWidth="1"/>
    <col min="2578" max="2816" width="8.77734375" style="2"/>
    <col min="2817" max="2817" width="4.21875" style="2" customWidth="1"/>
    <col min="2818" max="2818" width="2.5546875" style="2" customWidth="1"/>
    <col min="2819" max="2820" width="8.77734375" style="2"/>
    <col min="2821" max="2821" width="7.21875" style="2" customWidth="1"/>
    <col min="2822" max="2822" width="8.21875" style="2" customWidth="1"/>
    <col min="2823" max="2824" width="10.21875" style="2" customWidth="1"/>
    <col min="2825" max="2825" width="3.77734375" style="2" customWidth="1"/>
    <col min="2826" max="2826" width="8.77734375" style="2"/>
    <col min="2827" max="2827" width="6.21875" style="2" customWidth="1"/>
    <col min="2828" max="2828" width="5.5546875" style="2" customWidth="1"/>
    <col min="2829" max="2829" width="10.77734375" style="2" customWidth="1"/>
    <col min="2830" max="2830" width="8.21875" style="2" customWidth="1"/>
    <col min="2831" max="2831" width="12.21875" style="2" customWidth="1"/>
    <col min="2832" max="2832" width="10.21875" style="2" customWidth="1"/>
    <col min="2833" max="2833" width="9.21875" style="2" customWidth="1"/>
    <col min="2834" max="3072" width="8.77734375" style="2"/>
    <col min="3073" max="3073" width="4.21875" style="2" customWidth="1"/>
    <col min="3074" max="3074" width="2.5546875" style="2" customWidth="1"/>
    <col min="3075" max="3076" width="8.77734375" style="2"/>
    <col min="3077" max="3077" width="7.21875" style="2" customWidth="1"/>
    <col min="3078" max="3078" width="8.21875" style="2" customWidth="1"/>
    <col min="3079" max="3080" width="10.21875" style="2" customWidth="1"/>
    <col min="3081" max="3081" width="3.77734375" style="2" customWidth="1"/>
    <col min="3082" max="3082" width="8.77734375" style="2"/>
    <col min="3083" max="3083" width="6.21875" style="2" customWidth="1"/>
    <col min="3084" max="3084" width="5.5546875" style="2" customWidth="1"/>
    <col min="3085" max="3085" width="10.77734375" style="2" customWidth="1"/>
    <col min="3086" max="3086" width="8.21875" style="2" customWidth="1"/>
    <col min="3087" max="3087" width="12.21875" style="2" customWidth="1"/>
    <col min="3088" max="3088" width="10.21875" style="2" customWidth="1"/>
    <col min="3089" max="3089" width="9.21875" style="2" customWidth="1"/>
    <col min="3090" max="3328" width="8.77734375" style="2"/>
    <col min="3329" max="3329" width="4.21875" style="2" customWidth="1"/>
    <col min="3330" max="3330" width="2.5546875" style="2" customWidth="1"/>
    <col min="3331" max="3332" width="8.77734375" style="2"/>
    <col min="3333" max="3333" width="7.21875" style="2" customWidth="1"/>
    <col min="3334" max="3334" width="8.21875" style="2" customWidth="1"/>
    <col min="3335" max="3336" width="10.21875" style="2" customWidth="1"/>
    <col min="3337" max="3337" width="3.77734375" style="2" customWidth="1"/>
    <col min="3338" max="3338" width="8.77734375" style="2"/>
    <col min="3339" max="3339" width="6.21875" style="2" customWidth="1"/>
    <col min="3340" max="3340" width="5.5546875" style="2" customWidth="1"/>
    <col min="3341" max="3341" width="10.77734375" style="2" customWidth="1"/>
    <col min="3342" max="3342" width="8.21875" style="2" customWidth="1"/>
    <col min="3343" max="3343" width="12.21875" style="2" customWidth="1"/>
    <col min="3344" max="3344" width="10.21875" style="2" customWidth="1"/>
    <col min="3345" max="3345" width="9.21875" style="2" customWidth="1"/>
    <col min="3346" max="3584" width="8.77734375" style="2"/>
    <col min="3585" max="3585" width="4.21875" style="2" customWidth="1"/>
    <col min="3586" max="3586" width="2.5546875" style="2" customWidth="1"/>
    <col min="3587" max="3588" width="8.77734375" style="2"/>
    <col min="3589" max="3589" width="7.21875" style="2" customWidth="1"/>
    <col min="3590" max="3590" width="8.21875" style="2" customWidth="1"/>
    <col min="3591" max="3592" width="10.21875" style="2" customWidth="1"/>
    <col min="3593" max="3593" width="3.77734375" style="2" customWidth="1"/>
    <col min="3594" max="3594" width="8.77734375" style="2"/>
    <col min="3595" max="3595" width="6.21875" style="2" customWidth="1"/>
    <col min="3596" max="3596" width="5.5546875" style="2" customWidth="1"/>
    <col min="3597" max="3597" width="10.77734375" style="2" customWidth="1"/>
    <col min="3598" max="3598" width="8.21875" style="2" customWidth="1"/>
    <col min="3599" max="3599" width="12.21875" style="2" customWidth="1"/>
    <col min="3600" max="3600" width="10.21875" style="2" customWidth="1"/>
    <col min="3601" max="3601" width="9.21875" style="2" customWidth="1"/>
    <col min="3602" max="3840" width="8.77734375" style="2"/>
    <col min="3841" max="3841" width="4.21875" style="2" customWidth="1"/>
    <col min="3842" max="3842" width="2.5546875" style="2" customWidth="1"/>
    <col min="3843" max="3844" width="8.77734375" style="2"/>
    <col min="3845" max="3845" width="7.21875" style="2" customWidth="1"/>
    <col min="3846" max="3846" width="8.21875" style="2" customWidth="1"/>
    <col min="3847" max="3848" width="10.21875" style="2" customWidth="1"/>
    <col min="3849" max="3849" width="3.77734375" style="2" customWidth="1"/>
    <col min="3850" max="3850" width="8.77734375" style="2"/>
    <col min="3851" max="3851" width="6.21875" style="2" customWidth="1"/>
    <col min="3852" max="3852" width="5.5546875" style="2" customWidth="1"/>
    <col min="3853" max="3853" width="10.77734375" style="2" customWidth="1"/>
    <col min="3854" max="3854" width="8.21875" style="2" customWidth="1"/>
    <col min="3855" max="3855" width="12.21875" style="2" customWidth="1"/>
    <col min="3856" max="3856" width="10.21875" style="2" customWidth="1"/>
    <col min="3857" max="3857" width="9.21875" style="2" customWidth="1"/>
    <col min="3858" max="4096" width="8.77734375" style="2"/>
    <col min="4097" max="4097" width="4.21875" style="2" customWidth="1"/>
    <col min="4098" max="4098" width="2.5546875" style="2" customWidth="1"/>
    <col min="4099" max="4100" width="8.77734375" style="2"/>
    <col min="4101" max="4101" width="7.21875" style="2" customWidth="1"/>
    <col min="4102" max="4102" width="8.21875" style="2" customWidth="1"/>
    <col min="4103" max="4104" width="10.21875" style="2" customWidth="1"/>
    <col min="4105" max="4105" width="3.77734375" style="2" customWidth="1"/>
    <col min="4106" max="4106" width="8.77734375" style="2"/>
    <col min="4107" max="4107" width="6.21875" style="2" customWidth="1"/>
    <col min="4108" max="4108" width="5.5546875" style="2" customWidth="1"/>
    <col min="4109" max="4109" width="10.77734375" style="2" customWidth="1"/>
    <col min="4110" max="4110" width="8.21875" style="2" customWidth="1"/>
    <col min="4111" max="4111" width="12.21875" style="2" customWidth="1"/>
    <col min="4112" max="4112" width="10.21875" style="2" customWidth="1"/>
    <col min="4113" max="4113" width="9.21875" style="2" customWidth="1"/>
    <col min="4114" max="4352" width="8.77734375" style="2"/>
    <col min="4353" max="4353" width="4.21875" style="2" customWidth="1"/>
    <col min="4354" max="4354" width="2.5546875" style="2" customWidth="1"/>
    <col min="4355" max="4356" width="8.77734375" style="2"/>
    <col min="4357" max="4357" width="7.21875" style="2" customWidth="1"/>
    <col min="4358" max="4358" width="8.21875" style="2" customWidth="1"/>
    <col min="4359" max="4360" width="10.21875" style="2" customWidth="1"/>
    <col min="4361" max="4361" width="3.77734375" style="2" customWidth="1"/>
    <col min="4362" max="4362" width="8.77734375" style="2"/>
    <col min="4363" max="4363" width="6.21875" style="2" customWidth="1"/>
    <col min="4364" max="4364" width="5.5546875" style="2" customWidth="1"/>
    <col min="4365" max="4365" width="10.77734375" style="2" customWidth="1"/>
    <col min="4366" max="4366" width="8.21875" style="2" customWidth="1"/>
    <col min="4367" max="4367" width="12.21875" style="2" customWidth="1"/>
    <col min="4368" max="4368" width="10.21875" style="2" customWidth="1"/>
    <col min="4369" max="4369" width="9.21875" style="2" customWidth="1"/>
    <col min="4370" max="4608" width="8.77734375" style="2"/>
    <col min="4609" max="4609" width="4.21875" style="2" customWidth="1"/>
    <col min="4610" max="4610" width="2.5546875" style="2" customWidth="1"/>
    <col min="4611" max="4612" width="8.77734375" style="2"/>
    <col min="4613" max="4613" width="7.21875" style="2" customWidth="1"/>
    <col min="4614" max="4614" width="8.21875" style="2" customWidth="1"/>
    <col min="4615" max="4616" width="10.21875" style="2" customWidth="1"/>
    <col min="4617" max="4617" width="3.77734375" style="2" customWidth="1"/>
    <col min="4618" max="4618" width="8.77734375" style="2"/>
    <col min="4619" max="4619" width="6.21875" style="2" customWidth="1"/>
    <col min="4620" max="4620" width="5.5546875" style="2" customWidth="1"/>
    <col min="4621" max="4621" width="10.77734375" style="2" customWidth="1"/>
    <col min="4622" max="4622" width="8.21875" style="2" customWidth="1"/>
    <col min="4623" max="4623" width="12.21875" style="2" customWidth="1"/>
    <col min="4624" max="4624" width="10.21875" style="2" customWidth="1"/>
    <col min="4625" max="4625" width="9.21875" style="2" customWidth="1"/>
    <col min="4626" max="4864" width="8.77734375" style="2"/>
    <col min="4865" max="4865" width="4.21875" style="2" customWidth="1"/>
    <col min="4866" max="4866" width="2.5546875" style="2" customWidth="1"/>
    <col min="4867" max="4868" width="8.77734375" style="2"/>
    <col min="4869" max="4869" width="7.21875" style="2" customWidth="1"/>
    <col min="4870" max="4870" width="8.21875" style="2" customWidth="1"/>
    <col min="4871" max="4872" width="10.21875" style="2" customWidth="1"/>
    <col min="4873" max="4873" width="3.77734375" style="2" customWidth="1"/>
    <col min="4874" max="4874" width="8.77734375" style="2"/>
    <col min="4875" max="4875" width="6.21875" style="2" customWidth="1"/>
    <col min="4876" max="4876" width="5.5546875" style="2" customWidth="1"/>
    <col min="4877" max="4877" width="10.77734375" style="2" customWidth="1"/>
    <col min="4878" max="4878" width="8.21875" style="2" customWidth="1"/>
    <col min="4879" max="4879" width="12.21875" style="2" customWidth="1"/>
    <col min="4880" max="4880" width="10.21875" style="2" customWidth="1"/>
    <col min="4881" max="4881" width="9.21875" style="2" customWidth="1"/>
    <col min="4882" max="5120" width="8.77734375" style="2"/>
    <col min="5121" max="5121" width="4.21875" style="2" customWidth="1"/>
    <col min="5122" max="5122" width="2.5546875" style="2" customWidth="1"/>
    <col min="5123" max="5124" width="8.77734375" style="2"/>
    <col min="5125" max="5125" width="7.21875" style="2" customWidth="1"/>
    <col min="5126" max="5126" width="8.21875" style="2" customWidth="1"/>
    <col min="5127" max="5128" width="10.21875" style="2" customWidth="1"/>
    <col min="5129" max="5129" width="3.77734375" style="2" customWidth="1"/>
    <col min="5130" max="5130" width="8.77734375" style="2"/>
    <col min="5131" max="5131" width="6.21875" style="2" customWidth="1"/>
    <col min="5132" max="5132" width="5.5546875" style="2" customWidth="1"/>
    <col min="5133" max="5133" width="10.77734375" style="2" customWidth="1"/>
    <col min="5134" max="5134" width="8.21875" style="2" customWidth="1"/>
    <col min="5135" max="5135" width="12.21875" style="2" customWidth="1"/>
    <col min="5136" max="5136" width="10.21875" style="2" customWidth="1"/>
    <col min="5137" max="5137" width="9.21875" style="2" customWidth="1"/>
    <col min="5138" max="5376" width="8.77734375" style="2"/>
    <col min="5377" max="5377" width="4.21875" style="2" customWidth="1"/>
    <col min="5378" max="5378" width="2.5546875" style="2" customWidth="1"/>
    <col min="5379" max="5380" width="8.77734375" style="2"/>
    <col min="5381" max="5381" width="7.21875" style="2" customWidth="1"/>
    <col min="5382" max="5382" width="8.21875" style="2" customWidth="1"/>
    <col min="5383" max="5384" width="10.21875" style="2" customWidth="1"/>
    <col min="5385" max="5385" width="3.77734375" style="2" customWidth="1"/>
    <col min="5386" max="5386" width="8.77734375" style="2"/>
    <col min="5387" max="5387" width="6.21875" style="2" customWidth="1"/>
    <col min="5388" max="5388" width="5.5546875" style="2" customWidth="1"/>
    <col min="5389" max="5389" width="10.77734375" style="2" customWidth="1"/>
    <col min="5390" max="5390" width="8.21875" style="2" customWidth="1"/>
    <col min="5391" max="5391" width="12.21875" style="2" customWidth="1"/>
    <col min="5392" max="5392" width="10.21875" style="2" customWidth="1"/>
    <col min="5393" max="5393" width="9.21875" style="2" customWidth="1"/>
    <col min="5394" max="5632" width="8.77734375" style="2"/>
    <col min="5633" max="5633" width="4.21875" style="2" customWidth="1"/>
    <col min="5634" max="5634" width="2.5546875" style="2" customWidth="1"/>
    <col min="5635" max="5636" width="8.77734375" style="2"/>
    <col min="5637" max="5637" width="7.21875" style="2" customWidth="1"/>
    <col min="5638" max="5638" width="8.21875" style="2" customWidth="1"/>
    <col min="5639" max="5640" width="10.21875" style="2" customWidth="1"/>
    <col min="5641" max="5641" width="3.77734375" style="2" customWidth="1"/>
    <col min="5642" max="5642" width="8.77734375" style="2"/>
    <col min="5643" max="5643" width="6.21875" style="2" customWidth="1"/>
    <col min="5644" max="5644" width="5.5546875" style="2" customWidth="1"/>
    <col min="5645" max="5645" width="10.77734375" style="2" customWidth="1"/>
    <col min="5646" max="5646" width="8.21875" style="2" customWidth="1"/>
    <col min="5647" max="5647" width="12.21875" style="2" customWidth="1"/>
    <col min="5648" max="5648" width="10.21875" style="2" customWidth="1"/>
    <col min="5649" max="5649" width="9.21875" style="2" customWidth="1"/>
    <col min="5650" max="5888" width="8.77734375" style="2"/>
    <col min="5889" max="5889" width="4.21875" style="2" customWidth="1"/>
    <col min="5890" max="5890" width="2.5546875" style="2" customWidth="1"/>
    <col min="5891" max="5892" width="8.77734375" style="2"/>
    <col min="5893" max="5893" width="7.21875" style="2" customWidth="1"/>
    <col min="5894" max="5894" width="8.21875" style="2" customWidth="1"/>
    <col min="5895" max="5896" width="10.21875" style="2" customWidth="1"/>
    <col min="5897" max="5897" width="3.77734375" style="2" customWidth="1"/>
    <col min="5898" max="5898" width="8.77734375" style="2"/>
    <col min="5899" max="5899" width="6.21875" style="2" customWidth="1"/>
    <col min="5900" max="5900" width="5.5546875" style="2" customWidth="1"/>
    <col min="5901" max="5901" width="10.77734375" style="2" customWidth="1"/>
    <col min="5902" max="5902" width="8.21875" style="2" customWidth="1"/>
    <col min="5903" max="5903" width="12.21875" style="2" customWidth="1"/>
    <col min="5904" max="5904" width="10.21875" style="2" customWidth="1"/>
    <col min="5905" max="5905" width="9.21875" style="2" customWidth="1"/>
    <col min="5906" max="6144" width="8.77734375" style="2"/>
    <col min="6145" max="6145" width="4.21875" style="2" customWidth="1"/>
    <col min="6146" max="6146" width="2.5546875" style="2" customWidth="1"/>
    <col min="6147" max="6148" width="8.77734375" style="2"/>
    <col min="6149" max="6149" width="7.21875" style="2" customWidth="1"/>
    <col min="6150" max="6150" width="8.21875" style="2" customWidth="1"/>
    <col min="6151" max="6152" width="10.21875" style="2" customWidth="1"/>
    <col min="6153" max="6153" width="3.77734375" style="2" customWidth="1"/>
    <col min="6154" max="6154" width="8.77734375" style="2"/>
    <col min="6155" max="6155" width="6.21875" style="2" customWidth="1"/>
    <col min="6156" max="6156" width="5.5546875" style="2" customWidth="1"/>
    <col min="6157" max="6157" width="10.77734375" style="2" customWidth="1"/>
    <col min="6158" max="6158" width="8.21875" style="2" customWidth="1"/>
    <col min="6159" max="6159" width="12.21875" style="2" customWidth="1"/>
    <col min="6160" max="6160" width="10.21875" style="2" customWidth="1"/>
    <col min="6161" max="6161" width="9.21875" style="2" customWidth="1"/>
    <col min="6162" max="6400" width="8.77734375" style="2"/>
    <col min="6401" max="6401" width="4.21875" style="2" customWidth="1"/>
    <col min="6402" max="6402" width="2.5546875" style="2" customWidth="1"/>
    <col min="6403" max="6404" width="8.77734375" style="2"/>
    <col min="6405" max="6405" width="7.21875" style="2" customWidth="1"/>
    <col min="6406" max="6406" width="8.21875" style="2" customWidth="1"/>
    <col min="6407" max="6408" width="10.21875" style="2" customWidth="1"/>
    <col min="6409" max="6409" width="3.77734375" style="2" customWidth="1"/>
    <col min="6410" max="6410" width="8.77734375" style="2"/>
    <col min="6411" max="6411" width="6.21875" style="2" customWidth="1"/>
    <col min="6412" max="6412" width="5.5546875" style="2" customWidth="1"/>
    <col min="6413" max="6413" width="10.77734375" style="2" customWidth="1"/>
    <col min="6414" max="6414" width="8.21875" style="2" customWidth="1"/>
    <col min="6415" max="6415" width="12.21875" style="2" customWidth="1"/>
    <col min="6416" max="6416" width="10.21875" style="2" customWidth="1"/>
    <col min="6417" max="6417" width="9.21875" style="2" customWidth="1"/>
    <col min="6418" max="6656" width="8.77734375" style="2"/>
    <col min="6657" max="6657" width="4.21875" style="2" customWidth="1"/>
    <col min="6658" max="6658" width="2.5546875" style="2" customWidth="1"/>
    <col min="6659" max="6660" width="8.77734375" style="2"/>
    <col min="6661" max="6661" width="7.21875" style="2" customWidth="1"/>
    <col min="6662" max="6662" width="8.21875" style="2" customWidth="1"/>
    <col min="6663" max="6664" width="10.21875" style="2" customWidth="1"/>
    <col min="6665" max="6665" width="3.77734375" style="2" customWidth="1"/>
    <col min="6666" max="6666" width="8.77734375" style="2"/>
    <col min="6667" max="6667" width="6.21875" style="2" customWidth="1"/>
    <col min="6668" max="6668" width="5.5546875" style="2" customWidth="1"/>
    <col min="6669" max="6669" width="10.77734375" style="2" customWidth="1"/>
    <col min="6670" max="6670" width="8.21875" style="2" customWidth="1"/>
    <col min="6671" max="6671" width="12.21875" style="2" customWidth="1"/>
    <col min="6672" max="6672" width="10.21875" style="2" customWidth="1"/>
    <col min="6673" max="6673" width="9.21875" style="2" customWidth="1"/>
    <col min="6674" max="6912" width="8.77734375" style="2"/>
    <col min="6913" max="6913" width="4.21875" style="2" customWidth="1"/>
    <col min="6914" max="6914" width="2.5546875" style="2" customWidth="1"/>
    <col min="6915" max="6916" width="8.77734375" style="2"/>
    <col min="6917" max="6917" width="7.21875" style="2" customWidth="1"/>
    <col min="6918" max="6918" width="8.21875" style="2" customWidth="1"/>
    <col min="6919" max="6920" width="10.21875" style="2" customWidth="1"/>
    <col min="6921" max="6921" width="3.77734375" style="2" customWidth="1"/>
    <col min="6922" max="6922" width="8.77734375" style="2"/>
    <col min="6923" max="6923" width="6.21875" style="2" customWidth="1"/>
    <col min="6924" max="6924" width="5.5546875" style="2" customWidth="1"/>
    <col min="6925" max="6925" width="10.77734375" style="2" customWidth="1"/>
    <col min="6926" max="6926" width="8.21875" style="2" customWidth="1"/>
    <col min="6927" max="6927" width="12.21875" style="2" customWidth="1"/>
    <col min="6928" max="6928" width="10.21875" style="2" customWidth="1"/>
    <col min="6929" max="6929" width="9.21875" style="2" customWidth="1"/>
    <col min="6930" max="7168" width="8.77734375" style="2"/>
    <col min="7169" max="7169" width="4.21875" style="2" customWidth="1"/>
    <col min="7170" max="7170" width="2.5546875" style="2" customWidth="1"/>
    <col min="7171" max="7172" width="8.77734375" style="2"/>
    <col min="7173" max="7173" width="7.21875" style="2" customWidth="1"/>
    <col min="7174" max="7174" width="8.21875" style="2" customWidth="1"/>
    <col min="7175" max="7176" width="10.21875" style="2" customWidth="1"/>
    <col min="7177" max="7177" width="3.77734375" style="2" customWidth="1"/>
    <col min="7178" max="7178" width="8.77734375" style="2"/>
    <col min="7179" max="7179" width="6.21875" style="2" customWidth="1"/>
    <col min="7180" max="7180" width="5.5546875" style="2" customWidth="1"/>
    <col min="7181" max="7181" width="10.77734375" style="2" customWidth="1"/>
    <col min="7182" max="7182" width="8.21875" style="2" customWidth="1"/>
    <col min="7183" max="7183" width="12.21875" style="2" customWidth="1"/>
    <col min="7184" max="7184" width="10.21875" style="2" customWidth="1"/>
    <col min="7185" max="7185" width="9.21875" style="2" customWidth="1"/>
    <col min="7186" max="7424" width="8.77734375" style="2"/>
    <col min="7425" max="7425" width="4.21875" style="2" customWidth="1"/>
    <col min="7426" max="7426" width="2.5546875" style="2" customWidth="1"/>
    <col min="7427" max="7428" width="8.77734375" style="2"/>
    <col min="7429" max="7429" width="7.21875" style="2" customWidth="1"/>
    <col min="7430" max="7430" width="8.21875" style="2" customWidth="1"/>
    <col min="7431" max="7432" width="10.21875" style="2" customWidth="1"/>
    <col min="7433" max="7433" width="3.77734375" style="2" customWidth="1"/>
    <col min="7434" max="7434" width="8.77734375" style="2"/>
    <col min="7435" max="7435" width="6.21875" style="2" customWidth="1"/>
    <col min="7436" max="7436" width="5.5546875" style="2" customWidth="1"/>
    <col min="7437" max="7437" width="10.77734375" style="2" customWidth="1"/>
    <col min="7438" max="7438" width="8.21875" style="2" customWidth="1"/>
    <col min="7439" max="7439" width="12.21875" style="2" customWidth="1"/>
    <col min="7440" max="7440" width="10.21875" style="2" customWidth="1"/>
    <col min="7441" max="7441" width="9.21875" style="2" customWidth="1"/>
    <col min="7442" max="7680" width="8.77734375" style="2"/>
    <col min="7681" max="7681" width="4.21875" style="2" customWidth="1"/>
    <col min="7682" max="7682" width="2.5546875" style="2" customWidth="1"/>
    <col min="7683" max="7684" width="8.77734375" style="2"/>
    <col min="7685" max="7685" width="7.21875" style="2" customWidth="1"/>
    <col min="7686" max="7686" width="8.21875" style="2" customWidth="1"/>
    <col min="7687" max="7688" width="10.21875" style="2" customWidth="1"/>
    <col min="7689" max="7689" width="3.77734375" style="2" customWidth="1"/>
    <col min="7690" max="7690" width="8.77734375" style="2"/>
    <col min="7691" max="7691" width="6.21875" style="2" customWidth="1"/>
    <col min="7692" max="7692" width="5.5546875" style="2" customWidth="1"/>
    <col min="7693" max="7693" width="10.77734375" style="2" customWidth="1"/>
    <col min="7694" max="7694" width="8.21875" style="2" customWidth="1"/>
    <col min="7695" max="7695" width="12.21875" style="2" customWidth="1"/>
    <col min="7696" max="7696" width="10.21875" style="2" customWidth="1"/>
    <col min="7697" max="7697" width="9.21875" style="2" customWidth="1"/>
    <col min="7698" max="7936" width="8.77734375" style="2"/>
    <col min="7937" max="7937" width="4.21875" style="2" customWidth="1"/>
    <col min="7938" max="7938" width="2.5546875" style="2" customWidth="1"/>
    <col min="7939" max="7940" width="8.77734375" style="2"/>
    <col min="7941" max="7941" width="7.21875" style="2" customWidth="1"/>
    <col min="7942" max="7942" width="8.21875" style="2" customWidth="1"/>
    <col min="7943" max="7944" width="10.21875" style="2" customWidth="1"/>
    <col min="7945" max="7945" width="3.77734375" style="2" customWidth="1"/>
    <col min="7946" max="7946" width="8.77734375" style="2"/>
    <col min="7947" max="7947" width="6.21875" style="2" customWidth="1"/>
    <col min="7948" max="7948" width="5.5546875" style="2" customWidth="1"/>
    <col min="7949" max="7949" width="10.77734375" style="2" customWidth="1"/>
    <col min="7950" max="7950" width="8.21875" style="2" customWidth="1"/>
    <col min="7951" max="7951" width="12.21875" style="2" customWidth="1"/>
    <col min="7952" max="7952" width="10.21875" style="2" customWidth="1"/>
    <col min="7953" max="7953" width="9.21875" style="2" customWidth="1"/>
    <col min="7954" max="8192" width="8.77734375" style="2"/>
    <col min="8193" max="8193" width="4.21875" style="2" customWidth="1"/>
    <col min="8194" max="8194" width="2.5546875" style="2" customWidth="1"/>
    <col min="8195" max="8196" width="8.77734375" style="2"/>
    <col min="8197" max="8197" width="7.21875" style="2" customWidth="1"/>
    <col min="8198" max="8198" width="8.21875" style="2" customWidth="1"/>
    <col min="8199" max="8200" width="10.21875" style="2" customWidth="1"/>
    <col min="8201" max="8201" width="3.77734375" style="2" customWidth="1"/>
    <col min="8202" max="8202" width="8.77734375" style="2"/>
    <col min="8203" max="8203" width="6.21875" style="2" customWidth="1"/>
    <col min="8204" max="8204" width="5.5546875" style="2" customWidth="1"/>
    <col min="8205" max="8205" width="10.77734375" style="2" customWidth="1"/>
    <col min="8206" max="8206" width="8.21875" style="2" customWidth="1"/>
    <col min="8207" max="8207" width="12.21875" style="2" customWidth="1"/>
    <col min="8208" max="8208" width="10.21875" style="2" customWidth="1"/>
    <col min="8209" max="8209" width="9.21875" style="2" customWidth="1"/>
    <col min="8210" max="8448" width="8.77734375" style="2"/>
    <col min="8449" max="8449" width="4.21875" style="2" customWidth="1"/>
    <col min="8450" max="8450" width="2.5546875" style="2" customWidth="1"/>
    <col min="8451" max="8452" width="8.77734375" style="2"/>
    <col min="8453" max="8453" width="7.21875" style="2" customWidth="1"/>
    <col min="8454" max="8454" width="8.21875" style="2" customWidth="1"/>
    <col min="8455" max="8456" width="10.21875" style="2" customWidth="1"/>
    <col min="8457" max="8457" width="3.77734375" style="2" customWidth="1"/>
    <col min="8458" max="8458" width="8.77734375" style="2"/>
    <col min="8459" max="8459" width="6.21875" style="2" customWidth="1"/>
    <col min="8460" max="8460" width="5.5546875" style="2" customWidth="1"/>
    <col min="8461" max="8461" width="10.77734375" style="2" customWidth="1"/>
    <col min="8462" max="8462" width="8.21875" style="2" customWidth="1"/>
    <col min="8463" max="8463" width="12.21875" style="2" customWidth="1"/>
    <col min="8464" max="8464" width="10.21875" style="2" customWidth="1"/>
    <col min="8465" max="8465" width="9.21875" style="2" customWidth="1"/>
    <col min="8466" max="8704" width="8.77734375" style="2"/>
    <col min="8705" max="8705" width="4.21875" style="2" customWidth="1"/>
    <col min="8706" max="8706" width="2.5546875" style="2" customWidth="1"/>
    <col min="8707" max="8708" width="8.77734375" style="2"/>
    <col min="8709" max="8709" width="7.21875" style="2" customWidth="1"/>
    <col min="8710" max="8710" width="8.21875" style="2" customWidth="1"/>
    <col min="8711" max="8712" width="10.21875" style="2" customWidth="1"/>
    <col min="8713" max="8713" width="3.77734375" style="2" customWidth="1"/>
    <col min="8714" max="8714" width="8.77734375" style="2"/>
    <col min="8715" max="8715" width="6.21875" style="2" customWidth="1"/>
    <col min="8716" max="8716" width="5.5546875" style="2" customWidth="1"/>
    <col min="8717" max="8717" width="10.77734375" style="2" customWidth="1"/>
    <col min="8718" max="8718" width="8.21875" style="2" customWidth="1"/>
    <col min="8719" max="8719" width="12.21875" style="2" customWidth="1"/>
    <col min="8720" max="8720" width="10.21875" style="2" customWidth="1"/>
    <col min="8721" max="8721" width="9.21875" style="2" customWidth="1"/>
    <col min="8722" max="8960" width="8.77734375" style="2"/>
    <col min="8961" max="8961" width="4.21875" style="2" customWidth="1"/>
    <col min="8962" max="8962" width="2.5546875" style="2" customWidth="1"/>
    <col min="8963" max="8964" width="8.77734375" style="2"/>
    <col min="8965" max="8965" width="7.21875" style="2" customWidth="1"/>
    <col min="8966" max="8966" width="8.21875" style="2" customWidth="1"/>
    <col min="8967" max="8968" width="10.21875" style="2" customWidth="1"/>
    <col min="8969" max="8969" width="3.77734375" style="2" customWidth="1"/>
    <col min="8970" max="8970" width="8.77734375" style="2"/>
    <col min="8971" max="8971" width="6.21875" style="2" customWidth="1"/>
    <col min="8972" max="8972" width="5.5546875" style="2" customWidth="1"/>
    <col min="8973" max="8973" width="10.77734375" style="2" customWidth="1"/>
    <col min="8974" max="8974" width="8.21875" style="2" customWidth="1"/>
    <col min="8975" max="8975" width="12.21875" style="2" customWidth="1"/>
    <col min="8976" max="8976" width="10.21875" style="2" customWidth="1"/>
    <col min="8977" max="8977" width="9.21875" style="2" customWidth="1"/>
    <col min="8978" max="9216" width="8.77734375" style="2"/>
    <col min="9217" max="9217" width="4.21875" style="2" customWidth="1"/>
    <col min="9218" max="9218" width="2.5546875" style="2" customWidth="1"/>
    <col min="9219" max="9220" width="8.77734375" style="2"/>
    <col min="9221" max="9221" width="7.21875" style="2" customWidth="1"/>
    <col min="9222" max="9222" width="8.21875" style="2" customWidth="1"/>
    <col min="9223" max="9224" width="10.21875" style="2" customWidth="1"/>
    <col min="9225" max="9225" width="3.77734375" style="2" customWidth="1"/>
    <col min="9226" max="9226" width="8.77734375" style="2"/>
    <col min="9227" max="9227" width="6.21875" style="2" customWidth="1"/>
    <col min="9228" max="9228" width="5.5546875" style="2" customWidth="1"/>
    <col min="9229" max="9229" width="10.77734375" style="2" customWidth="1"/>
    <col min="9230" max="9230" width="8.21875" style="2" customWidth="1"/>
    <col min="9231" max="9231" width="12.21875" style="2" customWidth="1"/>
    <col min="9232" max="9232" width="10.21875" style="2" customWidth="1"/>
    <col min="9233" max="9233" width="9.21875" style="2" customWidth="1"/>
    <col min="9234" max="9472" width="8.77734375" style="2"/>
    <col min="9473" max="9473" width="4.21875" style="2" customWidth="1"/>
    <col min="9474" max="9474" width="2.5546875" style="2" customWidth="1"/>
    <col min="9475" max="9476" width="8.77734375" style="2"/>
    <col min="9477" max="9477" width="7.21875" style="2" customWidth="1"/>
    <col min="9478" max="9478" width="8.21875" style="2" customWidth="1"/>
    <col min="9479" max="9480" width="10.21875" style="2" customWidth="1"/>
    <col min="9481" max="9481" width="3.77734375" style="2" customWidth="1"/>
    <col min="9482" max="9482" width="8.77734375" style="2"/>
    <col min="9483" max="9483" width="6.21875" style="2" customWidth="1"/>
    <col min="9484" max="9484" width="5.5546875" style="2" customWidth="1"/>
    <col min="9485" max="9485" width="10.77734375" style="2" customWidth="1"/>
    <col min="9486" max="9486" width="8.21875" style="2" customWidth="1"/>
    <col min="9487" max="9487" width="12.21875" style="2" customWidth="1"/>
    <col min="9488" max="9488" width="10.21875" style="2" customWidth="1"/>
    <col min="9489" max="9489" width="9.21875" style="2" customWidth="1"/>
    <col min="9490" max="9728" width="8.77734375" style="2"/>
    <col min="9729" max="9729" width="4.21875" style="2" customWidth="1"/>
    <col min="9730" max="9730" width="2.5546875" style="2" customWidth="1"/>
    <col min="9731" max="9732" width="8.77734375" style="2"/>
    <col min="9733" max="9733" width="7.21875" style="2" customWidth="1"/>
    <col min="9734" max="9734" width="8.21875" style="2" customWidth="1"/>
    <col min="9735" max="9736" width="10.21875" style="2" customWidth="1"/>
    <col min="9737" max="9737" width="3.77734375" style="2" customWidth="1"/>
    <col min="9738" max="9738" width="8.77734375" style="2"/>
    <col min="9739" max="9739" width="6.21875" style="2" customWidth="1"/>
    <col min="9740" max="9740" width="5.5546875" style="2" customWidth="1"/>
    <col min="9741" max="9741" width="10.77734375" style="2" customWidth="1"/>
    <col min="9742" max="9742" width="8.21875" style="2" customWidth="1"/>
    <col min="9743" max="9743" width="12.21875" style="2" customWidth="1"/>
    <col min="9744" max="9744" width="10.21875" style="2" customWidth="1"/>
    <col min="9745" max="9745" width="9.21875" style="2" customWidth="1"/>
    <col min="9746" max="9984" width="8.77734375" style="2"/>
    <col min="9985" max="9985" width="4.21875" style="2" customWidth="1"/>
    <col min="9986" max="9986" width="2.5546875" style="2" customWidth="1"/>
    <col min="9987" max="9988" width="8.77734375" style="2"/>
    <col min="9989" max="9989" width="7.21875" style="2" customWidth="1"/>
    <col min="9990" max="9990" width="8.21875" style="2" customWidth="1"/>
    <col min="9991" max="9992" width="10.21875" style="2" customWidth="1"/>
    <col min="9993" max="9993" width="3.77734375" style="2" customWidth="1"/>
    <col min="9994" max="9994" width="8.77734375" style="2"/>
    <col min="9995" max="9995" width="6.21875" style="2" customWidth="1"/>
    <col min="9996" max="9996" width="5.5546875" style="2" customWidth="1"/>
    <col min="9997" max="9997" width="10.77734375" style="2" customWidth="1"/>
    <col min="9998" max="9998" width="8.21875" style="2" customWidth="1"/>
    <col min="9999" max="9999" width="12.21875" style="2" customWidth="1"/>
    <col min="10000" max="10000" width="10.21875" style="2" customWidth="1"/>
    <col min="10001" max="10001" width="9.21875" style="2" customWidth="1"/>
    <col min="10002" max="10240" width="8.77734375" style="2"/>
    <col min="10241" max="10241" width="4.21875" style="2" customWidth="1"/>
    <col min="10242" max="10242" width="2.5546875" style="2" customWidth="1"/>
    <col min="10243" max="10244" width="8.77734375" style="2"/>
    <col min="10245" max="10245" width="7.21875" style="2" customWidth="1"/>
    <col min="10246" max="10246" width="8.21875" style="2" customWidth="1"/>
    <col min="10247" max="10248" width="10.21875" style="2" customWidth="1"/>
    <col min="10249" max="10249" width="3.77734375" style="2" customWidth="1"/>
    <col min="10250" max="10250" width="8.77734375" style="2"/>
    <col min="10251" max="10251" width="6.21875" style="2" customWidth="1"/>
    <col min="10252" max="10252" width="5.5546875" style="2" customWidth="1"/>
    <col min="10253" max="10253" width="10.77734375" style="2" customWidth="1"/>
    <col min="10254" max="10254" width="8.21875" style="2" customWidth="1"/>
    <col min="10255" max="10255" width="12.21875" style="2" customWidth="1"/>
    <col min="10256" max="10256" width="10.21875" style="2" customWidth="1"/>
    <col min="10257" max="10257" width="9.21875" style="2" customWidth="1"/>
    <col min="10258" max="10496" width="8.77734375" style="2"/>
    <col min="10497" max="10497" width="4.21875" style="2" customWidth="1"/>
    <col min="10498" max="10498" width="2.5546875" style="2" customWidth="1"/>
    <col min="10499" max="10500" width="8.77734375" style="2"/>
    <col min="10501" max="10501" width="7.21875" style="2" customWidth="1"/>
    <col min="10502" max="10502" width="8.21875" style="2" customWidth="1"/>
    <col min="10503" max="10504" width="10.21875" style="2" customWidth="1"/>
    <col min="10505" max="10505" width="3.77734375" style="2" customWidth="1"/>
    <col min="10506" max="10506" width="8.77734375" style="2"/>
    <col min="10507" max="10507" width="6.21875" style="2" customWidth="1"/>
    <col min="10508" max="10508" width="5.5546875" style="2" customWidth="1"/>
    <col min="10509" max="10509" width="10.77734375" style="2" customWidth="1"/>
    <col min="10510" max="10510" width="8.21875" style="2" customWidth="1"/>
    <col min="10511" max="10511" width="12.21875" style="2" customWidth="1"/>
    <col min="10512" max="10512" width="10.21875" style="2" customWidth="1"/>
    <col min="10513" max="10513" width="9.21875" style="2" customWidth="1"/>
    <col min="10514" max="10752" width="8.77734375" style="2"/>
    <col min="10753" max="10753" width="4.21875" style="2" customWidth="1"/>
    <col min="10754" max="10754" width="2.5546875" style="2" customWidth="1"/>
    <col min="10755" max="10756" width="8.77734375" style="2"/>
    <col min="10757" max="10757" width="7.21875" style="2" customWidth="1"/>
    <col min="10758" max="10758" width="8.21875" style="2" customWidth="1"/>
    <col min="10759" max="10760" width="10.21875" style="2" customWidth="1"/>
    <col min="10761" max="10761" width="3.77734375" style="2" customWidth="1"/>
    <col min="10762" max="10762" width="8.77734375" style="2"/>
    <col min="10763" max="10763" width="6.21875" style="2" customWidth="1"/>
    <col min="10764" max="10764" width="5.5546875" style="2" customWidth="1"/>
    <col min="10765" max="10765" width="10.77734375" style="2" customWidth="1"/>
    <col min="10766" max="10766" width="8.21875" style="2" customWidth="1"/>
    <col min="10767" max="10767" width="12.21875" style="2" customWidth="1"/>
    <col min="10768" max="10768" width="10.21875" style="2" customWidth="1"/>
    <col min="10769" max="10769" width="9.21875" style="2" customWidth="1"/>
    <col min="10770" max="11008" width="8.77734375" style="2"/>
    <col min="11009" max="11009" width="4.21875" style="2" customWidth="1"/>
    <col min="11010" max="11010" width="2.5546875" style="2" customWidth="1"/>
    <col min="11011" max="11012" width="8.77734375" style="2"/>
    <col min="11013" max="11013" width="7.21875" style="2" customWidth="1"/>
    <col min="11014" max="11014" width="8.21875" style="2" customWidth="1"/>
    <col min="11015" max="11016" width="10.21875" style="2" customWidth="1"/>
    <col min="11017" max="11017" width="3.77734375" style="2" customWidth="1"/>
    <col min="11018" max="11018" width="8.77734375" style="2"/>
    <col min="11019" max="11019" width="6.21875" style="2" customWidth="1"/>
    <col min="11020" max="11020" width="5.5546875" style="2" customWidth="1"/>
    <col min="11021" max="11021" width="10.77734375" style="2" customWidth="1"/>
    <col min="11022" max="11022" width="8.21875" style="2" customWidth="1"/>
    <col min="11023" max="11023" width="12.21875" style="2" customWidth="1"/>
    <col min="11024" max="11024" width="10.21875" style="2" customWidth="1"/>
    <col min="11025" max="11025" width="9.21875" style="2" customWidth="1"/>
    <col min="11026" max="11264" width="8.77734375" style="2"/>
    <col min="11265" max="11265" width="4.21875" style="2" customWidth="1"/>
    <col min="11266" max="11266" width="2.5546875" style="2" customWidth="1"/>
    <col min="11267" max="11268" width="8.77734375" style="2"/>
    <col min="11269" max="11269" width="7.21875" style="2" customWidth="1"/>
    <col min="11270" max="11270" width="8.21875" style="2" customWidth="1"/>
    <col min="11271" max="11272" width="10.21875" style="2" customWidth="1"/>
    <col min="11273" max="11273" width="3.77734375" style="2" customWidth="1"/>
    <col min="11274" max="11274" width="8.77734375" style="2"/>
    <col min="11275" max="11275" width="6.21875" style="2" customWidth="1"/>
    <col min="11276" max="11276" width="5.5546875" style="2" customWidth="1"/>
    <col min="11277" max="11277" width="10.77734375" style="2" customWidth="1"/>
    <col min="11278" max="11278" width="8.21875" style="2" customWidth="1"/>
    <col min="11279" max="11279" width="12.21875" style="2" customWidth="1"/>
    <col min="11280" max="11280" width="10.21875" style="2" customWidth="1"/>
    <col min="11281" max="11281" width="9.21875" style="2" customWidth="1"/>
    <col min="11282" max="11520" width="8.77734375" style="2"/>
    <col min="11521" max="11521" width="4.21875" style="2" customWidth="1"/>
    <col min="11522" max="11522" width="2.5546875" style="2" customWidth="1"/>
    <col min="11523" max="11524" width="8.77734375" style="2"/>
    <col min="11525" max="11525" width="7.21875" style="2" customWidth="1"/>
    <col min="11526" max="11526" width="8.21875" style="2" customWidth="1"/>
    <col min="11527" max="11528" width="10.21875" style="2" customWidth="1"/>
    <col min="11529" max="11529" width="3.77734375" style="2" customWidth="1"/>
    <col min="11530" max="11530" width="8.77734375" style="2"/>
    <col min="11531" max="11531" width="6.21875" style="2" customWidth="1"/>
    <col min="11532" max="11532" width="5.5546875" style="2" customWidth="1"/>
    <col min="11533" max="11533" width="10.77734375" style="2" customWidth="1"/>
    <col min="11534" max="11534" width="8.21875" style="2" customWidth="1"/>
    <col min="11535" max="11535" width="12.21875" style="2" customWidth="1"/>
    <col min="11536" max="11536" width="10.21875" style="2" customWidth="1"/>
    <col min="11537" max="11537" width="9.21875" style="2" customWidth="1"/>
    <col min="11538" max="11776" width="8.77734375" style="2"/>
    <col min="11777" max="11777" width="4.21875" style="2" customWidth="1"/>
    <col min="11778" max="11778" width="2.5546875" style="2" customWidth="1"/>
    <col min="11779" max="11780" width="8.77734375" style="2"/>
    <col min="11781" max="11781" width="7.21875" style="2" customWidth="1"/>
    <col min="11782" max="11782" width="8.21875" style="2" customWidth="1"/>
    <col min="11783" max="11784" width="10.21875" style="2" customWidth="1"/>
    <col min="11785" max="11785" width="3.77734375" style="2" customWidth="1"/>
    <col min="11786" max="11786" width="8.77734375" style="2"/>
    <col min="11787" max="11787" width="6.21875" style="2" customWidth="1"/>
    <col min="11788" max="11788" width="5.5546875" style="2" customWidth="1"/>
    <col min="11789" max="11789" width="10.77734375" style="2" customWidth="1"/>
    <col min="11790" max="11790" width="8.21875" style="2" customWidth="1"/>
    <col min="11791" max="11791" width="12.21875" style="2" customWidth="1"/>
    <col min="11792" max="11792" width="10.21875" style="2" customWidth="1"/>
    <col min="11793" max="11793" width="9.21875" style="2" customWidth="1"/>
    <col min="11794" max="12032" width="8.77734375" style="2"/>
    <col min="12033" max="12033" width="4.21875" style="2" customWidth="1"/>
    <col min="12034" max="12034" width="2.5546875" style="2" customWidth="1"/>
    <col min="12035" max="12036" width="8.77734375" style="2"/>
    <col min="12037" max="12037" width="7.21875" style="2" customWidth="1"/>
    <col min="12038" max="12038" width="8.21875" style="2" customWidth="1"/>
    <col min="12039" max="12040" width="10.21875" style="2" customWidth="1"/>
    <col min="12041" max="12041" width="3.77734375" style="2" customWidth="1"/>
    <col min="12042" max="12042" width="8.77734375" style="2"/>
    <col min="12043" max="12043" width="6.21875" style="2" customWidth="1"/>
    <col min="12044" max="12044" width="5.5546875" style="2" customWidth="1"/>
    <col min="12045" max="12045" width="10.77734375" style="2" customWidth="1"/>
    <col min="12046" max="12046" width="8.21875" style="2" customWidth="1"/>
    <col min="12047" max="12047" width="12.21875" style="2" customWidth="1"/>
    <col min="12048" max="12048" width="10.21875" style="2" customWidth="1"/>
    <col min="12049" max="12049" width="9.21875" style="2" customWidth="1"/>
    <col min="12050" max="12288" width="8.77734375" style="2"/>
    <col min="12289" max="12289" width="4.21875" style="2" customWidth="1"/>
    <col min="12290" max="12290" width="2.5546875" style="2" customWidth="1"/>
    <col min="12291" max="12292" width="8.77734375" style="2"/>
    <col min="12293" max="12293" width="7.21875" style="2" customWidth="1"/>
    <col min="12294" max="12294" width="8.21875" style="2" customWidth="1"/>
    <col min="12295" max="12296" width="10.21875" style="2" customWidth="1"/>
    <col min="12297" max="12297" width="3.77734375" style="2" customWidth="1"/>
    <col min="12298" max="12298" width="8.77734375" style="2"/>
    <col min="12299" max="12299" width="6.21875" style="2" customWidth="1"/>
    <col min="12300" max="12300" width="5.5546875" style="2" customWidth="1"/>
    <col min="12301" max="12301" width="10.77734375" style="2" customWidth="1"/>
    <col min="12302" max="12302" width="8.21875" style="2" customWidth="1"/>
    <col min="12303" max="12303" width="12.21875" style="2" customWidth="1"/>
    <col min="12304" max="12304" width="10.21875" style="2" customWidth="1"/>
    <col min="12305" max="12305" width="9.21875" style="2" customWidth="1"/>
    <col min="12306" max="12544" width="8.77734375" style="2"/>
    <col min="12545" max="12545" width="4.21875" style="2" customWidth="1"/>
    <col min="12546" max="12546" width="2.5546875" style="2" customWidth="1"/>
    <col min="12547" max="12548" width="8.77734375" style="2"/>
    <col min="12549" max="12549" width="7.21875" style="2" customWidth="1"/>
    <col min="12550" max="12550" width="8.21875" style="2" customWidth="1"/>
    <col min="12551" max="12552" width="10.21875" style="2" customWidth="1"/>
    <col min="12553" max="12553" width="3.77734375" style="2" customWidth="1"/>
    <col min="12554" max="12554" width="8.77734375" style="2"/>
    <col min="12555" max="12555" width="6.21875" style="2" customWidth="1"/>
    <col min="12556" max="12556" width="5.5546875" style="2" customWidth="1"/>
    <col min="12557" max="12557" width="10.77734375" style="2" customWidth="1"/>
    <col min="12558" max="12558" width="8.21875" style="2" customWidth="1"/>
    <col min="12559" max="12559" width="12.21875" style="2" customWidth="1"/>
    <col min="12560" max="12560" width="10.21875" style="2" customWidth="1"/>
    <col min="12561" max="12561" width="9.21875" style="2" customWidth="1"/>
    <col min="12562" max="12800" width="8.77734375" style="2"/>
    <col min="12801" max="12801" width="4.21875" style="2" customWidth="1"/>
    <col min="12802" max="12802" width="2.5546875" style="2" customWidth="1"/>
    <col min="12803" max="12804" width="8.77734375" style="2"/>
    <col min="12805" max="12805" width="7.21875" style="2" customWidth="1"/>
    <col min="12806" max="12806" width="8.21875" style="2" customWidth="1"/>
    <col min="12807" max="12808" width="10.21875" style="2" customWidth="1"/>
    <col min="12809" max="12809" width="3.77734375" style="2" customWidth="1"/>
    <col min="12810" max="12810" width="8.77734375" style="2"/>
    <col min="12811" max="12811" width="6.21875" style="2" customWidth="1"/>
    <col min="12812" max="12812" width="5.5546875" style="2" customWidth="1"/>
    <col min="12813" max="12813" width="10.77734375" style="2" customWidth="1"/>
    <col min="12814" max="12814" width="8.21875" style="2" customWidth="1"/>
    <col min="12815" max="12815" width="12.21875" style="2" customWidth="1"/>
    <col min="12816" max="12816" width="10.21875" style="2" customWidth="1"/>
    <col min="12817" max="12817" width="9.21875" style="2" customWidth="1"/>
    <col min="12818" max="13056" width="8.77734375" style="2"/>
    <col min="13057" max="13057" width="4.21875" style="2" customWidth="1"/>
    <col min="13058" max="13058" width="2.5546875" style="2" customWidth="1"/>
    <col min="13059" max="13060" width="8.77734375" style="2"/>
    <col min="13061" max="13061" width="7.21875" style="2" customWidth="1"/>
    <col min="13062" max="13062" width="8.21875" style="2" customWidth="1"/>
    <col min="13063" max="13064" width="10.21875" style="2" customWidth="1"/>
    <col min="13065" max="13065" width="3.77734375" style="2" customWidth="1"/>
    <col min="13066" max="13066" width="8.77734375" style="2"/>
    <col min="13067" max="13067" width="6.21875" style="2" customWidth="1"/>
    <col min="13068" max="13068" width="5.5546875" style="2" customWidth="1"/>
    <col min="13069" max="13069" width="10.77734375" style="2" customWidth="1"/>
    <col min="13070" max="13070" width="8.21875" style="2" customWidth="1"/>
    <col min="13071" max="13071" width="12.21875" style="2" customWidth="1"/>
    <col min="13072" max="13072" width="10.21875" style="2" customWidth="1"/>
    <col min="13073" max="13073" width="9.21875" style="2" customWidth="1"/>
    <col min="13074" max="13312" width="8.77734375" style="2"/>
    <col min="13313" max="13313" width="4.21875" style="2" customWidth="1"/>
    <col min="13314" max="13314" width="2.5546875" style="2" customWidth="1"/>
    <col min="13315" max="13316" width="8.77734375" style="2"/>
    <col min="13317" max="13317" width="7.21875" style="2" customWidth="1"/>
    <col min="13318" max="13318" width="8.21875" style="2" customWidth="1"/>
    <col min="13319" max="13320" width="10.21875" style="2" customWidth="1"/>
    <col min="13321" max="13321" width="3.77734375" style="2" customWidth="1"/>
    <col min="13322" max="13322" width="8.77734375" style="2"/>
    <col min="13323" max="13323" width="6.21875" style="2" customWidth="1"/>
    <col min="13324" max="13324" width="5.5546875" style="2" customWidth="1"/>
    <col min="13325" max="13325" width="10.77734375" style="2" customWidth="1"/>
    <col min="13326" max="13326" width="8.21875" style="2" customWidth="1"/>
    <col min="13327" max="13327" width="12.21875" style="2" customWidth="1"/>
    <col min="13328" max="13328" width="10.21875" style="2" customWidth="1"/>
    <col min="13329" max="13329" width="9.21875" style="2" customWidth="1"/>
    <col min="13330" max="13568" width="8.77734375" style="2"/>
    <col min="13569" max="13569" width="4.21875" style="2" customWidth="1"/>
    <col min="13570" max="13570" width="2.5546875" style="2" customWidth="1"/>
    <col min="13571" max="13572" width="8.77734375" style="2"/>
    <col min="13573" max="13573" width="7.21875" style="2" customWidth="1"/>
    <col min="13574" max="13574" width="8.21875" style="2" customWidth="1"/>
    <col min="13575" max="13576" width="10.21875" style="2" customWidth="1"/>
    <col min="13577" max="13577" width="3.77734375" style="2" customWidth="1"/>
    <col min="13578" max="13578" width="8.77734375" style="2"/>
    <col min="13579" max="13579" width="6.21875" style="2" customWidth="1"/>
    <col min="13580" max="13580" width="5.5546875" style="2" customWidth="1"/>
    <col min="13581" max="13581" width="10.77734375" style="2" customWidth="1"/>
    <col min="13582" max="13582" width="8.21875" style="2" customWidth="1"/>
    <col min="13583" max="13583" width="12.21875" style="2" customWidth="1"/>
    <col min="13584" max="13584" width="10.21875" style="2" customWidth="1"/>
    <col min="13585" max="13585" width="9.21875" style="2" customWidth="1"/>
    <col min="13586" max="13824" width="8.77734375" style="2"/>
    <col min="13825" max="13825" width="4.21875" style="2" customWidth="1"/>
    <col min="13826" max="13826" width="2.5546875" style="2" customWidth="1"/>
    <col min="13827" max="13828" width="8.77734375" style="2"/>
    <col min="13829" max="13829" width="7.21875" style="2" customWidth="1"/>
    <col min="13830" max="13830" width="8.21875" style="2" customWidth="1"/>
    <col min="13831" max="13832" width="10.21875" style="2" customWidth="1"/>
    <col min="13833" max="13833" width="3.77734375" style="2" customWidth="1"/>
    <col min="13834" max="13834" width="8.77734375" style="2"/>
    <col min="13835" max="13835" width="6.21875" style="2" customWidth="1"/>
    <col min="13836" max="13836" width="5.5546875" style="2" customWidth="1"/>
    <col min="13837" max="13837" width="10.77734375" style="2" customWidth="1"/>
    <col min="13838" max="13838" width="8.21875" style="2" customWidth="1"/>
    <col min="13839" max="13839" width="12.21875" style="2" customWidth="1"/>
    <col min="13840" max="13840" width="10.21875" style="2" customWidth="1"/>
    <col min="13841" max="13841" width="9.21875" style="2" customWidth="1"/>
    <col min="13842" max="14080" width="8.77734375" style="2"/>
    <col min="14081" max="14081" width="4.21875" style="2" customWidth="1"/>
    <col min="14082" max="14082" width="2.5546875" style="2" customWidth="1"/>
    <col min="14083" max="14084" width="8.77734375" style="2"/>
    <col min="14085" max="14085" width="7.21875" style="2" customWidth="1"/>
    <col min="14086" max="14086" width="8.21875" style="2" customWidth="1"/>
    <col min="14087" max="14088" width="10.21875" style="2" customWidth="1"/>
    <col min="14089" max="14089" width="3.77734375" style="2" customWidth="1"/>
    <col min="14090" max="14090" width="8.77734375" style="2"/>
    <col min="14091" max="14091" width="6.21875" style="2" customWidth="1"/>
    <col min="14092" max="14092" width="5.5546875" style="2" customWidth="1"/>
    <col min="14093" max="14093" width="10.77734375" style="2" customWidth="1"/>
    <col min="14094" max="14094" width="8.21875" style="2" customWidth="1"/>
    <col min="14095" max="14095" width="12.21875" style="2" customWidth="1"/>
    <col min="14096" max="14096" width="10.21875" style="2" customWidth="1"/>
    <col min="14097" max="14097" width="9.21875" style="2" customWidth="1"/>
    <col min="14098" max="14336" width="8.77734375" style="2"/>
    <col min="14337" max="14337" width="4.21875" style="2" customWidth="1"/>
    <col min="14338" max="14338" width="2.5546875" style="2" customWidth="1"/>
    <col min="14339" max="14340" width="8.77734375" style="2"/>
    <col min="14341" max="14341" width="7.21875" style="2" customWidth="1"/>
    <col min="14342" max="14342" width="8.21875" style="2" customWidth="1"/>
    <col min="14343" max="14344" width="10.21875" style="2" customWidth="1"/>
    <col min="14345" max="14345" width="3.77734375" style="2" customWidth="1"/>
    <col min="14346" max="14346" width="8.77734375" style="2"/>
    <col min="14347" max="14347" width="6.21875" style="2" customWidth="1"/>
    <col min="14348" max="14348" width="5.5546875" style="2" customWidth="1"/>
    <col min="14349" max="14349" width="10.77734375" style="2" customWidth="1"/>
    <col min="14350" max="14350" width="8.21875" style="2" customWidth="1"/>
    <col min="14351" max="14351" width="12.21875" style="2" customWidth="1"/>
    <col min="14352" max="14352" width="10.21875" style="2" customWidth="1"/>
    <col min="14353" max="14353" width="9.21875" style="2" customWidth="1"/>
    <col min="14354" max="14592" width="8.77734375" style="2"/>
    <col min="14593" max="14593" width="4.21875" style="2" customWidth="1"/>
    <col min="14594" max="14594" width="2.5546875" style="2" customWidth="1"/>
    <col min="14595" max="14596" width="8.77734375" style="2"/>
    <col min="14597" max="14597" width="7.21875" style="2" customWidth="1"/>
    <col min="14598" max="14598" width="8.21875" style="2" customWidth="1"/>
    <col min="14599" max="14600" width="10.21875" style="2" customWidth="1"/>
    <col min="14601" max="14601" width="3.77734375" style="2" customWidth="1"/>
    <col min="14602" max="14602" width="8.77734375" style="2"/>
    <col min="14603" max="14603" width="6.21875" style="2" customWidth="1"/>
    <col min="14604" max="14604" width="5.5546875" style="2" customWidth="1"/>
    <col min="14605" max="14605" width="10.77734375" style="2" customWidth="1"/>
    <col min="14606" max="14606" width="8.21875" style="2" customWidth="1"/>
    <col min="14607" max="14607" width="12.21875" style="2" customWidth="1"/>
    <col min="14608" max="14608" width="10.21875" style="2" customWidth="1"/>
    <col min="14609" max="14609" width="9.21875" style="2" customWidth="1"/>
    <col min="14610" max="14848" width="8.77734375" style="2"/>
    <col min="14849" max="14849" width="4.21875" style="2" customWidth="1"/>
    <col min="14850" max="14850" width="2.5546875" style="2" customWidth="1"/>
    <col min="14851" max="14852" width="8.77734375" style="2"/>
    <col min="14853" max="14853" width="7.21875" style="2" customWidth="1"/>
    <col min="14854" max="14854" width="8.21875" style="2" customWidth="1"/>
    <col min="14855" max="14856" width="10.21875" style="2" customWidth="1"/>
    <col min="14857" max="14857" width="3.77734375" style="2" customWidth="1"/>
    <col min="14858" max="14858" width="8.77734375" style="2"/>
    <col min="14859" max="14859" width="6.21875" style="2" customWidth="1"/>
    <col min="14860" max="14860" width="5.5546875" style="2" customWidth="1"/>
    <col min="14861" max="14861" width="10.77734375" style="2" customWidth="1"/>
    <col min="14862" max="14862" width="8.21875" style="2" customWidth="1"/>
    <col min="14863" max="14863" width="12.21875" style="2" customWidth="1"/>
    <col min="14864" max="14864" width="10.21875" style="2" customWidth="1"/>
    <col min="14865" max="14865" width="9.21875" style="2" customWidth="1"/>
    <col min="14866" max="15104" width="8.77734375" style="2"/>
    <col min="15105" max="15105" width="4.21875" style="2" customWidth="1"/>
    <col min="15106" max="15106" width="2.5546875" style="2" customWidth="1"/>
    <col min="15107" max="15108" width="8.77734375" style="2"/>
    <col min="15109" max="15109" width="7.21875" style="2" customWidth="1"/>
    <col min="15110" max="15110" width="8.21875" style="2" customWidth="1"/>
    <col min="15111" max="15112" width="10.21875" style="2" customWidth="1"/>
    <col min="15113" max="15113" width="3.77734375" style="2" customWidth="1"/>
    <col min="15114" max="15114" width="8.77734375" style="2"/>
    <col min="15115" max="15115" width="6.21875" style="2" customWidth="1"/>
    <col min="15116" max="15116" width="5.5546875" style="2" customWidth="1"/>
    <col min="15117" max="15117" width="10.77734375" style="2" customWidth="1"/>
    <col min="15118" max="15118" width="8.21875" style="2" customWidth="1"/>
    <col min="15119" max="15119" width="12.21875" style="2" customWidth="1"/>
    <col min="15120" max="15120" width="10.21875" style="2" customWidth="1"/>
    <col min="15121" max="15121" width="9.21875" style="2" customWidth="1"/>
    <col min="15122" max="15360" width="8.77734375" style="2"/>
    <col min="15361" max="15361" width="4.21875" style="2" customWidth="1"/>
    <col min="15362" max="15362" width="2.5546875" style="2" customWidth="1"/>
    <col min="15363" max="15364" width="8.77734375" style="2"/>
    <col min="15365" max="15365" width="7.21875" style="2" customWidth="1"/>
    <col min="15366" max="15366" width="8.21875" style="2" customWidth="1"/>
    <col min="15367" max="15368" width="10.21875" style="2" customWidth="1"/>
    <col min="15369" max="15369" width="3.77734375" style="2" customWidth="1"/>
    <col min="15370" max="15370" width="8.77734375" style="2"/>
    <col min="15371" max="15371" width="6.21875" style="2" customWidth="1"/>
    <col min="15372" max="15372" width="5.5546875" style="2" customWidth="1"/>
    <col min="15373" max="15373" width="10.77734375" style="2" customWidth="1"/>
    <col min="15374" max="15374" width="8.21875" style="2" customWidth="1"/>
    <col min="15375" max="15375" width="12.21875" style="2" customWidth="1"/>
    <col min="15376" max="15376" width="10.21875" style="2" customWidth="1"/>
    <col min="15377" max="15377" width="9.21875" style="2" customWidth="1"/>
    <col min="15378" max="15616" width="8.77734375" style="2"/>
    <col min="15617" max="15617" width="4.21875" style="2" customWidth="1"/>
    <col min="15618" max="15618" width="2.5546875" style="2" customWidth="1"/>
    <col min="15619" max="15620" width="8.77734375" style="2"/>
    <col min="15621" max="15621" width="7.21875" style="2" customWidth="1"/>
    <col min="15622" max="15622" width="8.21875" style="2" customWidth="1"/>
    <col min="15623" max="15624" width="10.21875" style="2" customWidth="1"/>
    <col min="15625" max="15625" width="3.77734375" style="2" customWidth="1"/>
    <col min="15626" max="15626" width="8.77734375" style="2"/>
    <col min="15627" max="15627" width="6.21875" style="2" customWidth="1"/>
    <col min="15628" max="15628" width="5.5546875" style="2" customWidth="1"/>
    <col min="15629" max="15629" width="10.77734375" style="2" customWidth="1"/>
    <col min="15630" max="15630" width="8.21875" style="2" customWidth="1"/>
    <col min="15631" max="15631" width="12.21875" style="2" customWidth="1"/>
    <col min="15632" max="15632" width="10.21875" style="2" customWidth="1"/>
    <col min="15633" max="15633" width="9.21875" style="2" customWidth="1"/>
    <col min="15634" max="15872" width="8.77734375" style="2"/>
    <col min="15873" max="15873" width="4.21875" style="2" customWidth="1"/>
    <col min="15874" max="15874" width="2.5546875" style="2" customWidth="1"/>
    <col min="15875" max="15876" width="8.77734375" style="2"/>
    <col min="15877" max="15877" width="7.21875" style="2" customWidth="1"/>
    <col min="15878" max="15878" width="8.21875" style="2" customWidth="1"/>
    <col min="15879" max="15880" width="10.21875" style="2" customWidth="1"/>
    <col min="15881" max="15881" width="3.77734375" style="2" customWidth="1"/>
    <col min="15882" max="15882" width="8.77734375" style="2"/>
    <col min="15883" max="15883" width="6.21875" style="2" customWidth="1"/>
    <col min="15884" max="15884" width="5.5546875" style="2" customWidth="1"/>
    <col min="15885" max="15885" width="10.77734375" style="2" customWidth="1"/>
    <col min="15886" max="15886" width="8.21875" style="2" customWidth="1"/>
    <col min="15887" max="15887" width="12.21875" style="2" customWidth="1"/>
    <col min="15888" max="15888" width="10.21875" style="2" customWidth="1"/>
    <col min="15889" max="15889" width="9.21875" style="2" customWidth="1"/>
    <col min="15890" max="16128" width="8.77734375" style="2"/>
    <col min="16129" max="16129" width="4.21875" style="2" customWidth="1"/>
    <col min="16130" max="16130" width="2.5546875" style="2" customWidth="1"/>
    <col min="16131" max="16132" width="8.77734375" style="2"/>
    <col min="16133" max="16133" width="7.21875" style="2" customWidth="1"/>
    <col min="16134" max="16134" width="8.21875" style="2" customWidth="1"/>
    <col min="16135" max="16136" width="10.21875" style="2" customWidth="1"/>
    <col min="16137" max="16137" width="3.77734375" style="2" customWidth="1"/>
    <col min="16138" max="16138" width="8.77734375" style="2"/>
    <col min="16139" max="16139" width="6.21875" style="2" customWidth="1"/>
    <col min="16140" max="16140" width="5.5546875" style="2" customWidth="1"/>
    <col min="16141" max="16141" width="10.77734375" style="2" customWidth="1"/>
    <col min="16142" max="16142" width="8.21875" style="2" customWidth="1"/>
    <col min="16143" max="16143" width="12.21875" style="2" customWidth="1"/>
    <col min="16144" max="16144" width="10.21875" style="2" customWidth="1"/>
    <col min="16145" max="16145" width="9.21875" style="2" customWidth="1"/>
    <col min="16146" max="16384" width="8.77734375" style="2"/>
  </cols>
  <sheetData>
    <row r="1" spans="1:18" ht="15.6">
      <c r="A1" s="1220" t="s">
        <v>20</v>
      </c>
      <c r="B1" s="1220"/>
      <c r="C1" s="1220"/>
      <c r="D1" s="1220"/>
      <c r="E1" s="1220"/>
      <c r="F1" s="1220"/>
      <c r="G1" s="1220"/>
      <c r="H1" s="1220"/>
      <c r="I1" s="1220"/>
      <c r="J1" s="1220"/>
      <c r="K1" s="1220"/>
      <c r="L1" s="1220"/>
      <c r="M1" s="1220"/>
      <c r="N1" s="1220"/>
      <c r="O1" s="1220"/>
      <c r="P1" s="49"/>
      <c r="Q1" s="50"/>
      <c r="R1" s="49"/>
    </row>
    <row r="2" spans="1:18" ht="15.6">
      <c r="A2" s="1220" t="s">
        <v>42</v>
      </c>
      <c r="B2" s="1220"/>
      <c r="C2" s="1220"/>
      <c r="D2" s="1220"/>
      <c r="E2" s="1220"/>
      <c r="F2" s="1220"/>
      <c r="G2" s="1220"/>
      <c r="H2" s="1220"/>
      <c r="I2" s="1220"/>
      <c r="J2" s="1220"/>
      <c r="K2" s="1220"/>
      <c r="L2" s="1220"/>
      <c r="M2" s="1220"/>
      <c r="N2" s="1220"/>
      <c r="O2" s="1220"/>
    </row>
    <row r="3" spans="1:18" ht="15" customHeight="1">
      <c r="A3" s="1225" t="s">
        <v>48</v>
      </c>
      <c r="B3" s="1225"/>
      <c r="C3" s="1225"/>
      <c r="D3" s="1225"/>
      <c r="E3" s="1225"/>
      <c r="F3" s="1225"/>
      <c r="G3" s="1225"/>
      <c r="H3" s="1225"/>
      <c r="I3" s="1225"/>
      <c r="J3" s="1225"/>
      <c r="K3" s="1225"/>
      <c r="L3" s="1225"/>
      <c r="M3" s="1225"/>
      <c r="N3" s="1225"/>
      <c r="O3" s="1225"/>
    </row>
    <row r="4" spans="1:18" ht="7.5" customHeight="1"/>
    <row r="5" spans="1:18" ht="39" customHeight="1">
      <c r="A5" s="33" t="s">
        <v>22</v>
      </c>
      <c r="F5" s="34" t="s">
        <v>23</v>
      </c>
      <c r="H5" s="35" t="s">
        <v>24</v>
      </c>
      <c r="I5" s="36"/>
      <c r="J5" s="1221" t="s">
        <v>25</v>
      </c>
      <c r="K5" s="1217"/>
      <c r="M5" s="3" t="s">
        <v>26</v>
      </c>
      <c r="O5" s="37" t="s">
        <v>27</v>
      </c>
    </row>
    <row r="6" spans="1:18" ht="6.75" customHeight="1"/>
    <row r="7" spans="1:18" ht="15">
      <c r="B7" s="5" t="s">
        <v>6</v>
      </c>
      <c r="F7" s="38" t="str">
        <f>IF('Input (1)'!$G$4=0," ",'Input (1)'!$G$4)</f>
        <v xml:space="preserve"> </v>
      </c>
      <c r="G7" s="39"/>
      <c r="J7" s="1222" t="str">
        <f>IF('Input (1)'!G4=0,"0",'Input (1)'!G4)</f>
        <v>0</v>
      </c>
      <c r="K7" s="1222"/>
      <c r="L7" s="40" t="s">
        <v>28</v>
      </c>
      <c r="M7" s="41">
        <f>IF('Input (1)'!G4=0,0,LOOKUP(J7,'criteria (1)'!$A$3:$A$10,'criteria (1)'!$B$3:$B$10))</f>
        <v>0</v>
      </c>
      <c r="N7" s="42" t="s">
        <v>29</v>
      </c>
      <c r="O7" s="38">
        <f>IF(Q7=0,0,IF(Q7&lt;LOOKUP(J7,'criteria (1)'!$A$3:$A$10,'criteria (1)'!$C$3:$C$10),LOOKUP(J7,'criteria (1)'!$A$3:$A$10,'criteria (1)'!$C$3:$C$10),IF(LOOKUP(J7,'criteria (1)'!$A$3:$A$10,'criteria (1)'!$C$3:$C$10)=0,0,Q7)))</f>
        <v>0</v>
      </c>
      <c r="P7" s="28" t="str">
        <f>IF('Input (1)'!G4=0," ",IF(O7=0,"ADD to 1-6",IF(O7=Q7," ","Minimum")))</f>
        <v xml:space="preserve"> </v>
      </c>
      <c r="Q7" s="32">
        <f>ROUND(IF('Input (1)'!G4=0,0,IF(M7=0,0,(J7/M7))),2)</f>
        <v>0</v>
      </c>
    </row>
    <row r="8" spans="1:18" ht="6.75" customHeight="1">
      <c r="J8" s="43"/>
      <c r="K8" s="43"/>
      <c r="O8" s="43"/>
    </row>
    <row r="9" spans="1:18">
      <c r="B9" s="5" t="s">
        <v>7</v>
      </c>
      <c r="J9" s="43"/>
      <c r="K9" s="43"/>
      <c r="O9" s="43"/>
    </row>
    <row r="10" spans="1:18">
      <c r="B10" s="28" t="s">
        <v>30</v>
      </c>
      <c r="J10" s="43"/>
      <c r="K10" s="43"/>
      <c r="O10" s="43"/>
    </row>
    <row r="11" spans="1:18" ht="16.5" customHeight="1">
      <c r="C11" s="12" t="s">
        <v>8</v>
      </c>
      <c r="F11" s="41" t="str">
        <f>IF(J11=0," ",IF($J$16&gt;300," ",'Input (1)'!G7))</f>
        <v xml:space="preserve"> </v>
      </c>
      <c r="G11" s="44" t="s">
        <v>31</v>
      </c>
      <c r="H11" s="38" t="str">
        <f>IF(J11=0," ",'C (1)'!H25)</f>
        <v xml:space="preserve"> </v>
      </c>
      <c r="I11" s="42" t="s">
        <v>29</v>
      </c>
      <c r="J11" s="1222">
        <f>IF('Input (1)'!G7=0,0,IF(SUM('Input (1)'!G7-'C (1)'!H25)+SUM('Input (1)'!G8-'C (1)'!H26)&gt;299.99,SUM('Input (1)'!G7-'C (1)'!H25),0))</f>
        <v>0</v>
      </c>
      <c r="K11" s="1222"/>
      <c r="L11" s="40" t="s">
        <v>28</v>
      </c>
      <c r="M11" s="41">
        <f>IF(SUM('Input (1)'!$G$7-'C (1)'!$H$25)+SUM('Input (1)'!$G$8-'C (1)'!$H$26)&gt;299.99,20,0)</f>
        <v>0</v>
      </c>
      <c r="N11" s="42" t="s">
        <v>29</v>
      </c>
      <c r="O11" s="38">
        <f>ROUND(IF(SUM('Input (1)'!$G$7-'C (1)'!$H$25)+SUM('Input (1)'!$G$8-'C (1)'!$H$26)&lt;299.99,0,IF(Q11+Q13&lt;15,0,(J11/M11))),2)</f>
        <v>0</v>
      </c>
      <c r="P11" s="2" t="str">
        <f>IF(O11=0," ",IF(O11=Q11," ","Minimum"))</f>
        <v xml:space="preserve"> </v>
      </c>
      <c r="Q11" s="32">
        <f>ROUND(IF(SUM('Input (1)'!$G$7-'C (1)'!$H$25)+SUM('Input (1)'!$G$8-'C (1)'!$H$26)&lt;299.99,0,(J11/M11)),2)</f>
        <v>0</v>
      </c>
    </row>
    <row r="12" spans="1:18" ht="9" customHeight="1">
      <c r="B12" s="12"/>
      <c r="J12" s="43"/>
      <c r="K12" s="43"/>
      <c r="O12" s="43"/>
    </row>
    <row r="13" spans="1:18" ht="15">
      <c r="C13" s="12" t="s">
        <v>9</v>
      </c>
      <c r="F13" s="41" t="str">
        <f>IF(J13=0," ",IF($J$16&gt;300," ",'Input (1)'!G8))</f>
        <v xml:space="preserve"> </v>
      </c>
      <c r="G13" s="44" t="s">
        <v>31</v>
      </c>
      <c r="H13" s="38" t="str">
        <f>IF(J13=0," ",'C (1)'!H26)</f>
        <v xml:space="preserve"> </v>
      </c>
      <c r="I13" s="42" t="s">
        <v>29</v>
      </c>
      <c r="J13" s="1222">
        <f>IF('Input (1)'!G8=0,0,IF(SUM('Input (1)'!G7-'C (1)'!H25)+SUM('Input (1)'!G8-'C (1)'!H26)&gt;299.99,SUM('Input (1)'!G8-'C (1)'!H26),0))</f>
        <v>0</v>
      </c>
      <c r="K13" s="1222"/>
      <c r="L13" s="40" t="s">
        <v>28</v>
      </c>
      <c r="M13" s="41">
        <f>IF(SUM('Input (1)'!$G$7-'C (1)'!$H$25)+SUM('Input (1)'!$G$8-'C (1)'!$H$26)&gt;299.99,23,0)</f>
        <v>0</v>
      </c>
      <c r="N13" s="42" t="s">
        <v>29</v>
      </c>
      <c r="O13" s="38">
        <f>ROUND(IF(SUM('Input (1)'!$G$7-'C (1)'!$H$25)+SUM('Input (1)'!$G$8-'C (1)'!$H$26)&lt;299.99,0,IF(Q11+Q13&lt;15,0,($J$13/$M$13))),2)</f>
        <v>0</v>
      </c>
      <c r="P13" s="2" t="str">
        <f>IF(O13=0," ",IF(O13=Q13," ","Minimum"))</f>
        <v xml:space="preserve"> </v>
      </c>
      <c r="Q13" s="32">
        <f>ROUND(IF(SUM('Input (1)'!$G$7-'C (1)'!$H$25)+SUM('Input (1)'!$G$8-'C (1)'!$H$26)&lt;299.99,0,($J$13/$M$13)),2)</f>
        <v>0</v>
      </c>
    </row>
    <row r="14" spans="1:18" ht="15">
      <c r="B14" s="5" t="s">
        <v>7</v>
      </c>
      <c r="F14" s="36"/>
      <c r="G14" s="44"/>
      <c r="H14" s="39"/>
      <c r="I14" s="42"/>
      <c r="O14" s="39" t="str">
        <f>IF(P14="Minimum",15," ")</f>
        <v xml:space="preserve"> </v>
      </c>
      <c r="P14" s="2" t="str">
        <f>IF(Q11+Q13=0," ",IF(Q11+Q13&lt;15,"Minimum"," "))</f>
        <v xml:space="preserve"> </v>
      </c>
    </row>
    <row r="15" spans="1:18">
      <c r="B15" s="28" t="s">
        <v>32</v>
      </c>
      <c r="O15" s="43"/>
    </row>
    <row r="16" spans="1:18" ht="15">
      <c r="C16" s="12" t="s">
        <v>33</v>
      </c>
      <c r="F16" s="41">
        <f>IF(J16=0," ",IF(J16&lt;300,SUM('Input (1)'!G7+'Input (1)'!G8)," "))</f>
        <v>73.149999999999991</v>
      </c>
      <c r="G16" s="44" t="s">
        <v>31</v>
      </c>
      <c r="H16" s="38">
        <f>IF(J16=0," ",'C (1)'!H22)</f>
        <v>4.62</v>
      </c>
      <c r="I16" s="42" t="s">
        <v>29</v>
      </c>
      <c r="J16" s="1222">
        <f>IF('Input (1)'!G9=0,0,IF(SUM('Input (1)'!G7-'C (1)'!H25)+SUM('Input (1)'!G8-'C (1)'!H26)&lt;300,IF(P7="ADD to 1-6",SUM('Input (1)'!G7-'C (1)'!H25)+SUM('Input (1)'!G8-'C (1)'!H26)+'Input (1)'!G4,SUM('Input (1)'!G7-'C (1)'!H25)+SUM('Input (1)'!G8-'C (1)'!H26)),0))</f>
        <v>68.529999999999987</v>
      </c>
      <c r="K16" s="1222"/>
      <c r="L16" s="40" t="s">
        <v>28</v>
      </c>
      <c r="M16" s="41">
        <f>IF(SUM('Input (1)'!$G$7-'C (1)'!$H$25)+SUM('Input (1)'!$G$8-'C (1)'!$H$26)&lt;299.99,LOOKUP(J16,'criteria (1)'!$M$3:$M$11,'criteria (1)'!$N$3:$N$11),0)</f>
        <v>15</v>
      </c>
      <c r="N16" s="42" t="s">
        <v>29</v>
      </c>
      <c r="O16" s="38">
        <f>IF(Q16=0,0,IF(Q16&lt;LOOKUP(J16,'criteria (1)'!$M$3:$M$10,'criteria (1)'!$O$3:$O$10),LOOKUP(J16,'criteria (1)'!$M$3:$M$10,'criteria (1)'!$O$3:$O$10),Q16))</f>
        <v>4.57</v>
      </c>
      <c r="P16" s="2" t="str">
        <f>IF(O16=0," ",IF(O16=Q16," ","Minimum"))</f>
        <v xml:space="preserve"> </v>
      </c>
      <c r="Q16" s="32">
        <f>ROUND(IF('Input (1)'!G9=0,0,IF(SUM('Input (1)'!$G$7-'C (1)'!$H$25)+SUM('Input (1)'!$G$8-'C (1)'!$H$26)&gt;299.99,0,(J16/M16))),2)</f>
        <v>4.57</v>
      </c>
    </row>
    <row r="17" spans="1:17" ht="6" customHeight="1">
      <c r="J17" s="43"/>
      <c r="K17" s="43"/>
      <c r="O17" s="43"/>
    </row>
    <row r="18" spans="1:17" ht="15">
      <c r="B18" s="5" t="s">
        <v>10</v>
      </c>
      <c r="F18" s="41">
        <f>IF(J18=0," ",'Input (1)'!G10)</f>
        <v>74.099999999999994</v>
      </c>
      <c r="G18" s="44" t="s">
        <v>31</v>
      </c>
      <c r="H18" s="38"/>
      <c r="I18" s="42" t="s">
        <v>29</v>
      </c>
      <c r="J18" s="1222">
        <f>IF('Input (1)'!G10=0,0,'Input (1)'!G10)</f>
        <v>74.099999999999994</v>
      </c>
      <c r="K18" s="1222"/>
      <c r="L18" s="40" t="s">
        <v>28</v>
      </c>
      <c r="M18" s="41">
        <f>IF(J18=0,0,IF(J18&gt;99.99,LOOKUP(J18,'criteria (1)'!Q3:Q10,'criteria (1)'!R3:R10),12))</f>
        <v>12</v>
      </c>
      <c r="N18" s="42" t="s">
        <v>29</v>
      </c>
      <c r="O18" s="38">
        <f>ROUND(IF(J18=0,0,IF(J18&lt;99.99,IF(M18=0,8,(J18/M18)),IF(Q18&lt;LOOKUP(J18,'criteria (1)'!$Q$3:$Q$10,'criteria (1)'!$S$3:$S$10),LOOKUP(J18,'criteria (1)'!$Q$3:$Q$10,'criteria (1)'!$S$3:$S$10),Q18))),2)</f>
        <v>6.18</v>
      </c>
      <c r="P18" s="2" t="str">
        <f>IF(O18=0," ",IF(O18=Q18," ","Minimum"))</f>
        <v xml:space="preserve"> </v>
      </c>
      <c r="Q18" s="32">
        <f>ROUND(IF(M18=0,0,(J18/M18)),2)</f>
        <v>6.18</v>
      </c>
    </row>
    <row r="19" spans="1:17">
      <c r="B19" s="5"/>
      <c r="J19" s="39"/>
      <c r="K19" s="39"/>
      <c r="M19" s="36"/>
      <c r="N19" s="42"/>
      <c r="O19" s="36"/>
    </row>
    <row r="20" spans="1:17" ht="15.6">
      <c r="A20" s="48" t="s">
        <v>43</v>
      </c>
      <c r="J20" s="43"/>
      <c r="K20" s="43"/>
    </row>
    <row r="21" spans="1:17" ht="3.75" customHeight="1">
      <c r="J21" s="43"/>
      <c r="K21" s="43"/>
    </row>
    <row r="22" spans="1:17">
      <c r="B22" s="2" t="s">
        <v>44</v>
      </c>
      <c r="J22" s="1222" t="str">
        <f>IF('C (1)'!H55=0," ",'C (1)'!H55)</f>
        <v xml:space="preserve"> </v>
      </c>
      <c r="K22" s="1222"/>
    </row>
    <row r="23" spans="1:17" ht="6" customHeight="1">
      <c r="J23" s="43"/>
      <c r="K23" s="43"/>
    </row>
    <row r="24" spans="1:17">
      <c r="B24" s="2" t="s">
        <v>45</v>
      </c>
      <c r="J24" s="1222">
        <f>IF('C (1)'!H22=0," ",'C (1)'!H22)</f>
        <v>4.62</v>
      </c>
      <c r="K24" s="1222"/>
    </row>
    <row r="25" spans="1:17" ht="6" customHeight="1">
      <c r="J25" s="43"/>
      <c r="K25" s="43"/>
    </row>
    <row r="26" spans="1:17">
      <c r="B26" s="2" t="s">
        <v>46</v>
      </c>
      <c r="J26" s="1222">
        <f>0</f>
        <v>0</v>
      </c>
      <c r="K26" s="1222"/>
    </row>
    <row r="27" spans="1:17" ht="6" customHeight="1">
      <c r="J27" s="43"/>
      <c r="K27" s="43"/>
    </row>
    <row r="28" spans="1:17" ht="6" customHeight="1">
      <c r="J28" s="39"/>
      <c r="K28" s="39"/>
    </row>
    <row r="29" spans="1:17" ht="13.5" customHeight="1" thickBot="1">
      <c r="B29" s="46" t="s">
        <v>47</v>
      </c>
      <c r="J29" s="1219">
        <f>SUM(J22:K27)</f>
        <v>4.62</v>
      </c>
      <c r="K29" s="1219"/>
      <c r="L29" s="40" t="s">
        <v>28</v>
      </c>
      <c r="M29" s="41">
        <f>IF(SUM('Input (1)'!C4:C10)=0,0,IF(J29&gt;=14,LOOKUP(J29,'criteria (1)'!$U$3:$U$10,'criteria (1)'!$V$3:$V$10),0))</f>
        <v>0</v>
      </c>
      <c r="N29" s="42" t="s">
        <v>29</v>
      </c>
      <c r="O29" s="38">
        <f>IF(J29=0,0,IF(Q29&lt;LOOKUP(J29,'criteria (1)'!$U$3:$U$10,'criteria (1)'!$W$3:$W$10),LOOKUP(J29,'criteria (1)'!$U$3:$U$10,'criteria (1)'!$W$3:$W$10),Q29))</f>
        <v>0.5</v>
      </c>
      <c r="P29" s="2" t="str">
        <f>IF(O29=0," ",IF(O29=Q29," ","Minimum"))</f>
        <v>Minimum</v>
      </c>
      <c r="Q29" s="32">
        <f>ROUND(IF(SUM('Input (1)'!C4:C10)=0,0,IF(M29=0,0,(J29/M29))),2)</f>
        <v>0</v>
      </c>
    </row>
    <row r="30" spans="1:17" ht="12" customHeight="1" thickTop="1">
      <c r="B30" s="1226"/>
      <c r="C30" s="1226"/>
      <c r="D30" s="1226"/>
      <c r="E30" s="1226"/>
      <c r="F30" s="47"/>
      <c r="G30" s="47"/>
      <c r="H30" s="47"/>
      <c r="J30" s="12"/>
      <c r="N30" s="42"/>
      <c r="O30" s="39"/>
      <c r="P30" s="46"/>
    </row>
    <row r="31" spans="1:17" ht="19.5" customHeight="1">
      <c r="A31" s="48" t="s">
        <v>39</v>
      </c>
      <c r="O31" s="43"/>
    </row>
    <row r="32" spans="1:17" ht="15">
      <c r="B32" s="1227" t="str">
        <f>IF('Input (1)'!E14=0," ","Alternative Secondary High School")</f>
        <v xml:space="preserve"> </v>
      </c>
      <c r="C32" s="1227"/>
      <c r="D32" s="1227"/>
      <c r="E32" s="1227"/>
      <c r="F32" s="1227"/>
      <c r="J32" s="1222">
        <f>'Input (1)'!G14</f>
        <v>0</v>
      </c>
      <c r="K32" s="1222"/>
      <c r="L32" s="40" t="s">
        <v>28</v>
      </c>
      <c r="M32" s="41">
        <f>IF(J32=0,0,IF(Q32&lt;1,M18,12))</f>
        <v>0</v>
      </c>
      <c r="N32" s="42" t="s">
        <v>29</v>
      </c>
      <c r="O32" s="38">
        <f>ROUND(IF(J32=0,0,J32/M32),2)</f>
        <v>0</v>
      </c>
      <c r="P32" s="45"/>
      <c r="Q32" s="32">
        <f>ROUND(IF(J32=0,0,J32/12),2)</f>
        <v>0</v>
      </c>
    </row>
    <row r="33" spans="1:17" ht="11.25" customHeight="1">
      <c r="J33" s="43"/>
      <c r="K33" s="43"/>
      <c r="O33" s="43"/>
    </row>
    <row r="34" spans="1:17" ht="11.25" customHeight="1">
      <c r="B34" s="1227" t="str">
        <f>IF('Input (1)'!E15=0," ","Summer Alternative Secondary High School")</f>
        <v xml:space="preserve"> </v>
      </c>
      <c r="C34" s="1227"/>
      <c r="D34" s="1227"/>
      <c r="E34" s="1227"/>
      <c r="F34" s="1227"/>
      <c r="J34" s="1222">
        <f>'Input (1)'!E15</f>
        <v>0</v>
      </c>
      <c r="K34" s="1222"/>
      <c r="L34" s="40" t="s">
        <v>28</v>
      </c>
      <c r="M34" s="41">
        <f>IF(J34=0,0,40)</f>
        <v>0</v>
      </c>
      <c r="N34" s="42" t="s">
        <v>29</v>
      </c>
      <c r="O34" s="38">
        <f>ROUND(IF(J34=0,0,J34/M34),2)</f>
        <v>0</v>
      </c>
      <c r="P34" s="45"/>
      <c r="Q34" s="32">
        <f>ROUND(IF(J34=0,0,J34/12),2)</f>
        <v>0</v>
      </c>
    </row>
    <row r="35" spans="1:17" ht="13.5" customHeight="1">
      <c r="J35" s="36"/>
      <c r="K35" s="36"/>
      <c r="L35" s="40"/>
      <c r="M35" s="36"/>
      <c r="N35" s="42"/>
      <c r="O35" s="36"/>
      <c r="P35" s="46"/>
    </row>
    <row r="36" spans="1:17" ht="18.75" customHeight="1" thickBot="1">
      <c r="A36" s="45"/>
      <c r="B36" s="12" t="s">
        <v>40</v>
      </c>
      <c r="C36" s="46"/>
      <c r="D36" s="46"/>
      <c r="E36" s="46"/>
      <c r="F36" s="46"/>
      <c r="G36" s="46"/>
      <c r="H36" s="46"/>
      <c r="I36" s="46"/>
      <c r="J36" s="46"/>
      <c r="K36" s="46"/>
      <c r="M36" s="36"/>
      <c r="O36" s="52">
        <f>ROUND(IF(SUM(O7:O34)=0,0,SUM(O7:O34)),2)</f>
        <v>11.25</v>
      </c>
    </row>
    <row r="37" spans="1:17" ht="13.8" thickTop="1">
      <c r="M37" s="1218" t="str">
        <f>IF(O36=0," ",IF(O36&lt;'Best 28 (1)'!O36,"Do Not Use","You May Use this Calculation"))</f>
        <v>You May Use this Calculation</v>
      </c>
      <c r="N37" s="1218"/>
      <c r="O37" s="1218"/>
      <c r="P37" s="1218"/>
    </row>
  </sheetData>
  <sheetProtection password="CDD6" sheet="1" objects="1" scenarios="1"/>
  <mergeCells count="19">
    <mergeCell ref="M37:P37"/>
    <mergeCell ref="J29:K29"/>
    <mergeCell ref="B30:E30"/>
    <mergeCell ref="B32:F32"/>
    <mergeCell ref="J32:K32"/>
    <mergeCell ref="B34:F34"/>
    <mergeCell ref="J34:K34"/>
    <mergeCell ref="J26:K26"/>
    <mergeCell ref="A1:O1"/>
    <mergeCell ref="A2:O2"/>
    <mergeCell ref="A3:O3"/>
    <mergeCell ref="J5:K5"/>
    <mergeCell ref="J7:K7"/>
    <mergeCell ref="J11:K11"/>
    <mergeCell ref="J13:K13"/>
    <mergeCell ref="J16:K16"/>
    <mergeCell ref="J18:K18"/>
    <mergeCell ref="J22:K22"/>
    <mergeCell ref="J24:K24"/>
  </mergeCells>
  <conditionalFormatting sqref="M37:P37">
    <cfRule type="cellIs" dxfId="50" priority="1" stopIfTrue="1" operator="equal">
      <formula>"Do Not Use"</formula>
    </cfRule>
    <cfRule type="cellIs" dxfId="49" priority="2" stopIfTrue="1" operator="equal">
      <formula>"You May Use this Calculation"</formula>
    </cfRule>
  </conditionalFormatting>
  <pageMargins left="0.5" right="0.5" top="0.5" bottom="0.5" header="0.25" footer="0.25"/>
  <pageSetup scale="76" orientation="portrait" r:id="rId1"/>
  <headerFooter alignWithMargins="0">
    <oddFooter>&amp;L&amp;F</oddFooter>
  </headerFooter>
  <colBreaks count="1" manualBreakCount="1">
    <brk id="16" max="1048575" man="1"/>
  </col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108">
    <tabColor rgb="FF002060"/>
    <pageSetUpPr fitToPage="1"/>
  </sheetPr>
  <dimension ref="A1:O56"/>
  <sheetViews>
    <sheetView topLeftCell="A19" workbookViewId="0">
      <selection activeCell="K29" sqref="K29:K50"/>
    </sheetView>
  </sheetViews>
  <sheetFormatPr defaultColWidth="10.44140625" defaultRowHeight="10.199999999999999"/>
  <cols>
    <col min="1" max="1" width="6.21875" style="185" customWidth="1"/>
    <col min="2" max="2" width="6.77734375" style="185" customWidth="1"/>
    <col min="3" max="3" width="7.44140625" style="185" customWidth="1"/>
    <col min="4" max="4" width="9.21875" style="185" customWidth="1"/>
    <col min="5" max="5" width="7.44140625" style="185" customWidth="1"/>
    <col min="6" max="6" width="8.5546875" style="185" customWidth="1"/>
    <col min="7" max="7" width="8.21875" style="185" customWidth="1"/>
    <col min="8" max="8" width="8.5546875" style="185" customWidth="1"/>
    <col min="9" max="9" width="1.44140625" style="185" customWidth="1"/>
    <col min="10" max="10" width="13.77734375" style="185" customWidth="1"/>
    <col min="11" max="11" width="11" style="185" customWidth="1"/>
    <col min="12" max="12" width="13.5546875" style="185" customWidth="1"/>
    <col min="13" max="14" width="12.77734375" style="185" customWidth="1"/>
    <col min="15" max="15" width="10.44140625" style="185"/>
    <col min="16" max="16" width="3.77734375" style="185" customWidth="1"/>
    <col min="17" max="16384" width="10.44140625" style="185"/>
  </cols>
  <sheetData>
    <row r="1" spans="1:13" s="455" customFormat="1" ht="18">
      <c r="E1" s="455" t="s">
        <v>400</v>
      </c>
      <c r="L1" s="456" t="s">
        <v>362</v>
      </c>
    </row>
    <row r="2" spans="1:13" s="172" customFormat="1" ht="18" customHeight="1">
      <c r="A2" s="172" t="s">
        <v>399</v>
      </c>
      <c r="C2" s="171"/>
    </row>
    <row r="3" spans="1:13" s="454" customFormat="1" ht="15" customHeight="1">
      <c r="A3" s="453" t="s">
        <v>398</v>
      </c>
      <c r="B3" s="1242" t="s">
        <v>397</v>
      </c>
      <c r="C3" s="1243"/>
      <c r="D3" s="1243"/>
      <c r="E3" s="1243"/>
      <c r="F3" s="1243"/>
      <c r="G3" s="173"/>
    </row>
    <row r="4" spans="1:13" s="454" customFormat="1" ht="31.95" customHeight="1">
      <c r="A4" s="453" t="s">
        <v>396</v>
      </c>
      <c r="B4" s="1242" t="s">
        <v>395</v>
      </c>
      <c r="C4" s="1243"/>
      <c r="D4" s="1243"/>
      <c r="E4" s="1243"/>
      <c r="F4" s="1243"/>
      <c r="G4" s="173"/>
    </row>
    <row r="5" spans="1:13" s="454" customFormat="1" ht="15" customHeight="1">
      <c r="A5" s="453" t="s">
        <v>394</v>
      </c>
      <c r="B5" s="1242" t="s">
        <v>237</v>
      </c>
      <c r="C5" s="1244"/>
      <c r="D5" s="1244"/>
      <c r="E5" s="1244"/>
      <c r="F5" s="1244"/>
      <c r="G5" s="173"/>
    </row>
    <row r="6" spans="1:13" ht="19.95" customHeight="1">
      <c r="A6" s="453" t="s">
        <v>393</v>
      </c>
      <c r="B6" s="452" t="s">
        <v>392</v>
      </c>
      <c r="C6" s="451"/>
      <c r="D6" s="451"/>
      <c r="E6" s="451"/>
      <c r="F6" s="451"/>
      <c r="G6" s="450"/>
    </row>
    <row r="9" spans="1:13" s="184" customFormat="1" ht="12">
      <c r="A9" s="371"/>
      <c r="B9" s="371"/>
      <c r="C9" s="371"/>
      <c r="D9" s="371"/>
      <c r="E9" s="371" t="s">
        <v>391</v>
      </c>
      <c r="F9" s="371"/>
      <c r="G9" s="371"/>
      <c r="H9" s="371"/>
      <c r="I9" s="371"/>
      <c r="J9" s="371"/>
      <c r="K9" s="371"/>
      <c r="L9" s="371"/>
      <c r="M9" s="371"/>
    </row>
    <row r="10" spans="1:13" s="421" customFormat="1" ht="12" customHeight="1">
      <c r="A10" s="449" t="s">
        <v>390</v>
      </c>
      <c r="B10" s="170"/>
      <c r="C10" s="170"/>
      <c r="D10" s="448"/>
      <c r="E10" s="374" t="s">
        <v>215</v>
      </c>
      <c r="F10" s="374" t="s">
        <v>216</v>
      </c>
      <c r="G10" s="374" t="s">
        <v>217</v>
      </c>
      <c r="H10" s="374" t="s">
        <v>218</v>
      </c>
      <c r="I10" s="444"/>
      <c r="J10" s="445" t="s">
        <v>304</v>
      </c>
      <c r="K10" s="445" t="s">
        <v>238</v>
      </c>
      <c r="L10" s="447" t="s">
        <v>386</v>
      </c>
      <c r="M10" s="446"/>
    </row>
    <row r="11" spans="1:13" s="421" customFormat="1" ht="24.6" customHeight="1">
      <c r="A11" s="166" t="s">
        <v>239</v>
      </c>
      <c r="B11" s="374" t="s">
        <v>220</v>
      </c>
      <c r="C11" s="374" t="s">
        <v>221</v>
      </c>
      <c r="D11" s="374" t="s">
        <v>222</v>
      </c>
      <c r="E11" s="374" t="s">
        <v>223</v>
      </c>
      <c r="F11" s="374" t="s">
        <v>224</v>
      </c>
      <c r="G11" s="374" t="s">
        <v>225</v>
      </c>
      <c r="H11" s="374" t="s">
        <v>226</v>
      </c>
      <c r="I11" s="444"/>
      <c r="J11" s="167" t="s">
        <v>240</v>
      </c>
      <c r="K11" s="167" t="s">
        <v>169</v>
      </c>
      <c r="L11" s="445" t="s">
        <v>389</v>
      </c>
      <c r="M11" s="419"/>
    </row>
    <row r="12" spans="1:13" s="421" customFormat="1" ht="12">
      <c r="A12" s="164"/>
      <c r="B12" s="164"/>
      <c r="C12" s="164"/>
      <c r="D12" s="164"/>
      <c r="E12" s="164"/>
      <c r="F12" s="164"/>
      <c r="G12" s="164"/>
      <c r="H12" s="164"/>
      <c r="I12" s="444"/>
      <c r="J12" s="443" t="s">
        <v>241</v>
      </c>
      <c r="K12" s="443" t="s">
        <v>242</v>
      </c>
      <c r="L12" s="442">
        <v>33400</v>
      </c>
      <c r="M12" s="419"/>
    </row>
    <row r="13" spans="1:13" s="421" customFormat="1" ht="12">
      <c r="A13" s="166">
        <v>0</v>
      </c>
      <c r="B13" s="430" t="s">
        <v>243</v>
      </c>
      <c r="C13" s="430" t="s">
        <v>243</v>
      </c>
      <c r="D13" s="430" t="s">
        <v>243</v>
      </c>
      <c r="E13" s="430" t="s">
        <v>243</v>
      </c>
      <c r="F13" s="430" t="s">
        <v>243</v>
      </c>
      <c r="G13" s="430" t="s">
        <v>243</v>
      </c>
      <c r="H13" s="430" t="s">
        <v>243</v>
      </c>
      <c r="I13" s="165"/>
      <c r="J13" s="441"/>
      <c r="K13" s="440">
        <v>1</v>
      </c>
      <c r="L13" s="439"/>
      <c r="M13" s="419"/>
    </row>
    <row r="14" spans="1:13" s="421" customFormat="1" ht="12">
      <c r="A14" s="166">
        <v>1</v>
      </c>
      <c r="B14" s="430" t="s">
        <v>243</v>
      </c>
      <c r="C14" s="430" t="s">
        <v>243</v>
      </c>
      <c r="D14" s="430" t="s">
        <v>243</v>
      </c>
      <c r="E14" s="430" t="s">
        <v>243</v>
      </c>
      <c r="F14" s="430" t="s">
        <v>243</v>
      </c>
      <c r="G14" s="430" t="s">
        <v>243</v>
      </c>
      <c r="H14" s="430" t="s">
        <v>243</v>
      </c>
      <c r="I14" s="165"/>
      <c r="J14" s="438" t="s">
        <v>243</v>
      </c>
      <c r="K14" s="437" t="s">
        <v>244</v>
      </c>
      <c r="L14" s="436">
        <v>34250</v>
      </c>
      <c r="M14" s="419"/>
    </row>
    <row r="15" spans="1:13" s="421" customFormat="1" ht="12">
      <c r="A15" s="166">
        <v>2</v>
      </c>
      <c r="B15" s="430" t="s">
        <v>243</v>
      </c>
      <c r="C15" s="430" t="s">
        <v>243</v>
      </c>
      <c r="D15" s="430" t="s">
        <v>243</v>
      </c>
      <c r="E15" s="430" t="s">
        <v>243</v>
      </c>
      <c r="F15" s="430" t="s">
        <v>243</v>
      </c>
      <c r="G15" s="430" t="s">
        <v>243</v>
      </c>
      <c r="H15" s="430" t="s">
        <v>243</v>
      </c>
      <c r="I15" s="165"/>
      <c r="J15" s="168" t="s">
        <v>235</v>
      </c>
      <c r="K15" s="435">
        <v>1.3426</v>
      </c>
      <c r="L15" s="168"/>
      <c r="M15" s="419"/>
    </row>
    <row r="16" spans="1:13" s="421" customFormat="1" ht="12">
      <c r="A16" s="166">
        <v>3</v>
      </c>
      <c r="B16" s="430" t="s">
        <v>243</v>
      </c>
      <c r="C16" s="430" t="s">
        <v>243</v>
      </c>
      <c r="D16" s="430" t="s">
        <v>243</v>
      </c>
      <c r="E16" s="430" t="s">
        <v>243</v>
      </c>
      <c r="F16" s="430" t="s">
        <v>243</v>
      </c>
      <c r="G16" s="430" t="s">
        <v>245</v>
      </c>
      <c r="H16" s="423" t="s">
        <v>245</v>
      </c>
      <c r="I16" s="165"/>
      <c r="J16" s="398" t="s">
        <v>245</v>
      </c>
      <c r="K16" s="434">
        <v>1.3929</v>
      </c>
      <c r="L16" s="398">
        <v>35117</v>
      </c>
      <c r="M16" s="419"/>
    </row>
    <row r="17" spans="1:13" s="421" customFormat="1" ht="12">
      <c r="A17" s="166">
        <v>4</v>
      </c>
      <c r="B17" s="430" t="s">
        <v>243</v>
      </c>
      <c r="C17" s="430" t="s">
        <v>243</v>
      </c>
      <c r="D17" s="430" t="s">
        <v>243</v>
      </c>
      <c r="E17" s="430" t="s">
        <v>243</v>
      </c>
      <c r="F17" s="430" t="s">
        <v>243</v>
      </c>
      <c r="G17" s="423" t="s">
        <v>245</v>
      </c>
      <c r="H17" s="391" t="s">
        <v>246</v>
      </c>
      <c r="I17" s="165"/>
      <c r="J17" s="391" t="s">
        <v>246</v>
      </c>
      <c r="K17" s="429">
        <v>1.4451000000000001</v>
      </c>
      <c r="L17" s="391">
        <v>37249</v>
      </c>
      <c r="M17" s="419"/>
    </row>
    <row r="18" spans="1:13" s="421" customFormat="1" ht="12">
      <c r="A18" s="166">
        <v>5</v>
      </c>
      <c r="B18" s="430" t="s">
        <v>243</v>
      </c>
      <c r="C18" s="430" t="s">
        <v>243</v>
      </c>
      <c r="D18" s="430" t="s">
        <v>243</v>
      </c>
      <c r="E18" s="430" t="s">
        <v>243</v>
      </c>
      <c r="F18" s="423" t="s">
        <v>245</v>
      </c>
      <c r="G18" s="391" t="s">
        <v>246</v>
      </c>
      <c r="H18" s="396" t="s">
        <v>247</v>
      </c>
      <c r="I18" s="165"/>
      <c r="J18" s="396" t="s">
        <v>247</v>
      </c>
      <c r="K18" s="433">
        <v>1.4993000000000001</v>
      </c>
      <c r="L18" s="396">
        <v>38758</v>
      </c>
      <c r="M18" s="419"/>
    </row>
    <row r="19" spans="1:13" s="421" customFormat="1" ht="12">
      <c r="A19" s="166">
        <v>6</v>
      </c>
      <c r="B19" s="430" t="s">
        <v>243</v>
      </c>
      <c r="C19" s="430" t="s">
        <v>243</v>
      </c>
      <c r="D19" s="430" t="s">
        <v>243</v>
      </c>
      <c r="E19" s="423" t="s">
        <v>245</v>
      </c>
      <c r="F19" s="391" t="s">
        <v>246</v>
      </c>
      <c r="G19" s="396" t="s">
        <v>247</v>
      </c>
      <c r="H19" s="395" t="s">
        <v>248</v>
      </c>
      <c r="I19" s="165"/>
      <c r="J19" s="395" t="s">
        <v>248</v>
      </c>
      <c r="K19" s="432">
        <v>1.5555000000000001</v>
      </c>
      <c r="L19" s="395">
        <v>39546</v>
      </c>
      <c r="M19" s="419"/>
    </row>
    <row r="20" spans="1:13" s="421" customFormat="1" ht="12">
      <c r="A20" s="166">
        <v>7</v>
      </c>
      <c r="B20" s="430" t="s">
        <v>243</v>
      </c>
      <c r="C20" s="430" t="s">
        <v>243</v>
      </c>
      <c r="D20" s="423" t="s">
        <v>245</v>
      </c>
      <c r="E20" s="391" t="s">
        <v>246</v>
      </c>
      <c r="F20" s="396" t="s">
        <v>247</v>
      </c>
      <c r="G20" s="395" t="s">
        <v>248</v>
      </c>
      <c r="H20" s="394" t="s">
        <v>249</v>
      </c>
      <c r="I20" s="165"/>
      <c r="J20" s="394" t="s">
        <v>249</v>
      </c>
      <c r="K20" s="431">
        <v>1.6137999999999999</v>
      </c>
      <c r="L20" s="394">
        <v>41113</v>
      </c>
      <c r="M20" s="419"/>
    </row>
    <row r="21" spans="1:13" s="421" customFormat="1" ht="12">
      <c r="A21" s="166">
        <v>8</v>
      </c>
      <c r="B21" s="430" t="s">
        <v>243</v>
      </c>
      <c r="C21" s="423" t="s">
        <v>245</v>
      </c>
      <c r="D21" s="391" t="s">
        <v>246</v>
      </c>
      <c r="E21" s="396" t="s">
        <v>247</v>
      </c>
      <c r="F21" s="395" t="s">
        <v>248</v>
      </c>
      <c r="G21" s="394" t="s">
        <v>249</v>
      </c>
      <c r="H21" s="427" t="s">
        <v>250</v>
      </c>
      <c r="I21" s="165"/>
      <c r="J21" s="391" t="s">
        <v>250</v>
      </c>
      <c r="K21" s="429">
        <v>1.6742999999999999</v>
      </c>
      <c r="L21" s="391">
        <v>41961</v>
      </c>
      <c r="M21" s="419"/>
    </row>
    <row r="22" spans="1:13" s="421" customFormat="1" ht="12">
      <c r="A22" s="166">
        <v>9</v>
      </c>
      <c r="B22" s="423" t="s">
        <v>245</v>
      </c>
      <c r="C22" s="391" t="s">
        <v>246</v>
      </c>
      <c r="D22" s="396" t="s">
        <v>247</v>
      </c>
      <c r="E22" s="395" t="s">
        <v>248</v>
      </c>
      <c r="F22" s="394" t="s">
        <v>249</v>
      </c>
      <c r="G22" s="427" t="s">
        <v>250</v>
      </c>
      <c r="H22" s="390" t="s">
        <v>251</v>
      </c>
      <c r="I22" s="165"/>
      <c r="J22" s="390" t="s">
        <v>251</v>
      </c>
      <c r="K22" s="428">
        <v>1.7371000000000001</v>
      </c>
      <c r="L22" s="390">
        <v>43591</v>
      </c>
      <c r="M22" s="419"/>
    </row>
    <row r="23" spans="1:13" s="421" customFormat="1" ht="12">
      <c r="A23" s="166">
        <v>10</v>
      </c>
      <c r="B23" s="423" t="s">
        <v>245</v>
      </c>
      <c r="C23" s="396" t="s">
        <v>247</v>
      </c>
      <c r="D23" s="395" t="s">
        <v>248</v>
      </c>
      <c r="E23" s="394" t="s">
        <v>249</v>
      </c>
      <c r="F23" s="427" t="s">
        <v>250</v>
      </c>
      <c r="G23" s="390" t="s">
        <v>251</v>
      </c>
      <c r="H23" s="391" t="s">
        <v>252</v>
      </c>
      <c r="I23" s="165"/>
      <c r="J23" s="388" t="s">
        <v>252</v>
      </c>
      <c r="K23" s="426">
        <v>1.8022</v>
      </c>
      <c r="L23" s="388">
        <v>44503</v>
      </c>
      <c r="M23" s="419"/>
    </row>
    <row r="24" spans="1:13" s="421" customFormat="1" ht="12">
      <c r="A24" s="166">
        <v>11</v>
      </c>
      <c r="B24" s="423" t="s">
        <v>245</v>
      </c>
      <c r="C24" s="396" t="s">
        <v>247</v>
      </c>
      <c r="D24" s="395" t="s">
        <v>248</v>
      </c>
      <c r="E24" s="394" t="s">
        <v>249</v>
      </c>
      <c r="F24" s="390" t="s">
        <v>251</v>
      </c>
      <c r="G24" s="391" t="s">
        <v>252</v>
      </c>
      <c r="H24" s="386" t="s">
        <v>253</v>
      </c>
      <c r="I24" s="165"/>
      <c r="J24" s="386" t="s">
        <v>253</v>
      </c>
      <c r="K24" s="425">
        <v>1.8697999999999999</v>
      </c>
      <c r="L24" s="386">
        <v>46201</v>
      </c>
      <c r="M24" s="419"/>
    </row>
    <row r="25" spans="1:13" s="421" customFormat="1" ht="12">
      <c r="A25" s="166">
        <v>12</v>
      </c>
      <c r="B25" s="423" t="s">
        <v>245</v>
      </c>
      <c r="C25" s="396" t="s">
        <v>247</v>
      </c>
      <c r="D25" s="395" t="s">
        <v>248</v>
      </c>
      <c r="E25" s="394" t="s">
        <v>249</v>
      </c>
      <c r="F25" s="390" t="s">
        <v>251</v>
      </c>
      <c r="G25" s="386" t="s">
        <v>253</v>
      </c>
      <c r="H25" s="384" t="s">
        <v>254</v>
      </c>
      <c r="I25" s="165"/>
      <c r="J25" s="384" t="s">
        <v>254</v>
      </c>
      <c r="K25" s="424">
        <v>1.9399</v>
      </c>
      <c r="L25" s="384">
        <v>47183</v>
      </c>
      <c r="M25" s="419"/>
    </row>
    <row r="26" spans="1:13" s="421" customFormat="1" ht="12">
      <c r="A26" s="166" t="s">
        <v>255</v>
      </c>
      <c r="B26" s="423" t="s">
        <v>245</v>
      </c>
      <c r="C26" s="396" t="s">
        <v>247</v>
      </c>
      <c r="D26" s="395" t="s">
        <v>248</v>
      </c>
      <c r="E26" s="394" t="s">
        <v>249</v>
      </c>
      <c r="F26" s="390" t="s">
        <v>251</v>
      </c>
      <c r="G26" s="386" t="s">
        <v>253</v>
      </c>
      <c r="H26" s="376" t="s">
        <v>256</v>
      </c>
      <c r="I26" s="165"/>
      <c r="J26" s="376" t="s">
        <v>256</v>
      </c>
      <c r="K26" s="422">
        <v>2.0125999999999999</v>
      </c>
      <c r="L26" s="376">
        <v>48202</v>
      </c>
      <c r="M26" s="419"/>
    </row>
    <row r="27" spans="1:13" ht="6" customHeight="1">
      <c r="A27" s="420"/>
      <c r="B27" s="163"/>
      <c r="C27" s="163"/>
      <c r="D27" s="163"/>
      <c r="E27" s="163"/>
      <c r="F27" s="163"/>
      <c r="G27" s="163"/>
      <c r="H27" s="163"/>
      <c r="I27" s="163"/>
      <c r="J27" s="163"/>
      <c r="K27" s="163"/>
      <c r="L27" s="419"/>
      <c r="M27" s="419"/>
    </row>
    <row r="28" spans="1:13" ht="34.950000000000003" customHeight="1" thickBot="1">
      <c r="A28" s="169" t="s">
        <v>388</v>
      </c>
      <c r="B28" s="170"/>
      <c r="C28" s="418"/>
      <c r="D28" s="417"/>
      <c r="E28" s="374" t="s">
        <v>215</v>
      </c>
      <c r="F28" s="374" t="s">
        <v>216</v>
      </c>
      <c r="G28" s="374" t="s">
        <v>217</v>
      </c>
      <c r="H28" s="374" t="s">
        <v>218</v>
      </c>
      <c r="I28" s="163"/>
      <c r="J28" s="416" t="s">
        <v>387</v>
      </c>
      <c r="K28" s="414" t="s">
        <v>409</v>
      </c>
      <c r="L28" s="415" t="s">
        <v>410</v>
      </c>
      <c r="M28" s="414" t="s">
        <v>409</v>
      </c>
    </row>
    <row r="29" spans="1:13" ht="12.6" customHeight="1" thickBot="1">
      <c r="A29" s="166" t="s">
        <v>239</v>
      </c>
      <c r="B29" s="374" t="s">
        <v>220</v>
      </c>
      <c r="C29" s="374" t="s">
        <v>221</v>
      </c>
      <c r="D29" s="374" t="s">
        <v>222</v>
      </c>
      <c r="E29" s="374" t="s">
        <v>223</v>
      </c>
      <c r="F29" s="374" t="s">
        <v>224</v>
      </c>
      <c r="G29" s="374" t="s">
        <v>225</v>
      </c>
      <c r="H29" s="374" t="s">
        <v>226</v>
      </c>
      <c r="I29" s="163"/>
      <c r="J29" s="413" t="s">
        <v>265</v>
      </c>
      <c r="K29" s="316">
        <f>+'Master Budget Sheet'!BN168</f>
        <v>52094</v>
      </c>
      <c r="L29" s="411">
        <f>+'Master Budget Sheet'!AQ174</f>
        <v>0</v>
      </c>
      <c r="M29" s="410">
        <f>K29*L29</f>
        <v>0</v>
      </c>
    </row>
    <row r="30" spans="1:13" s="405" customFormat="1" ht="15.6" customHeight="1" thickBot="1">
      <c r="A30" s="393">
        <v>0</v>
      </c>
      <c r="B30" s="392"/>
      <c r="C30" s="392"/>
      <c r="D30" s="392"/>
      <c r="E30" s="392"/>
      <c r="F30" s="392"/>
      <c r="G30" s="392"/>
      <c r="H30" s="392"/>
      <c r="I30" s="163"/>
      <c r="J30" s="409"/>
      <c r="K30" s="408"/>
      <c r="L30" s="407"/>
      <c r="M30" s="406"/>
    </row>
    <row r="31" spans="1:13" ht="12.6" thickBot="1">
      <c r="A31" s="393">
        <v>1</v>
      </c>
      <c r="B31" s="392"/>
      <c r="C31" s="392"/>
      <c r="D31" s="392"/>
      <c r="E31" s="392"/>
      <c r="F31" s="392"/>
      <c r="G31" s="392"/>
      <c r="H31" s="392"/>
      <c r="I31" s="163"/>
      <c r="J31" s="404" t="s">
        <v>243</v>
      </c>
      <c r="K31" s="403">
        <f>+'Master Budget Sheet'!BN169</f>
        <v>53187</v>
      </c>
      <c r="L31" s="411">
        <f>+'Master Budget Sheet'!AQ175</f>
        <v>0</v>
      </c>
      <c r="M31" s="402">
        <f>K31*L31</f>
        <v>0</v>
      </c>
    </row>
    <row r="32" spans="1:13" ht="12.6" thickBot="1">
      <c r="A32" s="393">
        <v>2</v>
      </c>
      <c r="B32" s="392"/>
      <c r="C32" s="392"/>
      <c r="D32" s="392"/>
      <c r="E32" s="392"/>
      <c r="F32" s="392"/>
      <c r="G32" s="392"/>
      <c r="H32" s="392"/>
      <c r="I32" s="163"/>
      <c r="J32" s="400"/>
      <c r="K32" s="401"/>
      <c r="L32" s="400"/>
      <c r="M32" s="399"/>
    </row>
    <row r="33" spans="1:14" ht="12.6" thickBot="1">
      <c r="A33" s="393">
        <v>3</v>
      </c>
      <c r="B33" s="392"/>
      <c r="C33" s="392"/>
      <c r="D33" s="392"/>
      <c r="E33" s="392"/>
      <c r="F33" s="392"/>
      <c r="G33" s="392"/>
      <c r="H33" s="383"/>
      <c r="I33" s="163"/>
      <c r="J33" s="398" t="s">
        <v>245</v>
      </c>
      <c r="K33" s="398">
        <f>+'Master Budget Sheet'!BN170</f>
        <v>54280</v>
      </c>
      <c r="L33" s="411">
        <f>+'Master Budget Sheet'!AQ176</f>
        <v>0</v>
      </c>
      <c r="M33" s="397">
        <f t="shared" ref="M33:M43" si="0">K33*L33</f>
        <v>0</v>
      </c>
    </row>
    <row r="34" spans="1:14" ht="12.6" thickBot="1">
      <c r="A34" s="393">
        <v>4</v>
      </c>
      <c r="B34" s="392"/>
      <c r="C34" s="392"/>
      <c r="D34" s="392"/>
      <c r="E34" s="392"/>
      <c r="F34" s="392"/>
      <c r="G34" s="383"/>
      <c r="H34" s="387"/>
      <c r="I34" s="163"/>
      <c r="J34" s="391" t="s">
        <v>246</v>
      </c>
      <c r="K34" s="391">
        <f>+'Master Budget Sheet'!BN171</f>
        <v>55373</v>
      </c>
      <c r="L34" s="411">
        <f>+'Master Budget Sheet'!AQ177</f>
        <v>0</v>
      </c>
      <c r="M34" s="375">
        <f t="shared" si="0"/>
        <v>0</v>
      </c>
    </row>
    <row r="35" spans="1:14" ht="12.6" thickBot="1">
      <c r="A35" s="393">
        <v>5</v>
      </c>
      <c r="B35" s="392"/>
      <c r="C35" s="392"/>
      <c r="D35" s="392"/>
      <c r="E35" s="392"/>
      <c r="F35" s="383"/>
      <c r="G35" s="387"/>
      <c r="H35" s="382"/>
      <c r="I35" s="163"/>
      <c r="J35" s="396" t="s">
        <v>247</v>
      </c>
      <c r="K35" s="396">
        <f>+'Master Budget Sheet'!BN172</f>
        <v>57286</v>
      </c>
      <c r="L35" s="411">
        <f>+'Master Budget Sheet'!AQ178</f>
        <v>0</v>
      </c>
      <c r="M35" s="375">
        <f t="shared" si="0"/>
        <v>0</v>
      </c>
    </row>
    <row r="36" spans="1:14" ht="12.6" thickBot="1">
      <c r="A36" s="393">
        <v>6</v>
      </c>
      <c r="B36" s="392"/>
      <c r="C36" s="392"/>
      <c r="D36" s="392"/>
      <c r="E36" s="383"/>
      <c r="F36" s="387"/>
      <c r="G36" s="382"/>
      <c r="H36" s="381"/>
      <c r="I36" s="163"/>
      <c r="J36" s="395" t="s">
        <v>248</v>
      </c>
      <c r="K36" s="395">
        <f>+'Master Budget Sheet'!BN173</f>
        <v>59197</v>
      </c>
      <c r="L36" s="411">
        <f>+'Master Budget Sheet'!AQ179</f>
        <v>0</v>
      </c>
      <c r="M36" s="375">
        <f t="shared" si="0"/>
        <v>0</v>
      </c>
    </row>
    <row r="37" spans="1:14" ht="12.6" thickBot="1">
      <c r="A37" s="393">
        <v>7</v>
      </c>
      <c r="B37" s="392"/>
      <c r="C37" s="392"/>
      <c r="D37" s="383"/>
      <c r="E37" s="387"/>
      <c r="F37" s="382"/>
      <c r="G37" s="381"/>
      <c r="H37" s="380"/>
      <c r="I37" s="163"/>
      <c r="J37" s="394" t="s">
        <v>249</v>
      </c>
      <c r="K37" s="394">
        <f>+'Master Budget Sheet'!BN174</f>
        <v>61110</v>
      </c>
      <c r="L37" s="411">
        <f>+'Master Budget Sheet'!AQ180</f>
        <v>0</v>
      </c>
      <c r="M37" s="375">
        <f t="shared" si="0"/>
        <v>0</v>
      </c>
    </row>
    <row r="38" spans="1:14" ht="12.6" thickBot="1">
      <c r="A38" s="393">
        <v>8</v>
      </c>
      <c r="B38" s="392"/>
      <c r="C38" s="383"/>
      <c r="D38" s="387"/>
      <c r="E38" s="382"/>
      <c r="F38" s="381"/>
      <c r="G38" s="380">
        <v>0</v>
      </c>
      <c r="H38" s="389"/>
      <c r="I38" s="163"/>
      <c r="J38" s="391" t="s">
        <v>250</v>
      </c>
      <c r="K38" s="391">
        <f>+'Master Budget Sheet'!BN175</f>
        <v>63022</v>
      </c>
      <c r="L38" s="411">
        <f>+'Master Budget Sheet'!AQ181</f>
        <v>0</v>
      </c>
      <c r="M38" s="375">
        <f t="shared" si="0"/>
        <v>0</v>
      </c>
    </row>
    <row r="39" spans="1:14" ht="12.6" thickBot="1">
      <c r="A39" s="166">
        <v>9</v>
      </c>
      <c r="B39" s="383"/>
      <c r="C39" s="387"/>
      <c r="D39" s="382"/>
      <c r="E39" s="381"/>
      <c r="F39" s="380"/>
      <c r="G39" s="389"/>
      <c r="H39" s="379"/>
      <c r="I39" s="163"/>
      <c r="J39" s="390" t="s">
        <v>251</v>
      </c>
      <c r="K39" s="390">
        <f>+'Master Budget Sheet'!BN176</f>
        <v>66846</v>
      </c>
      <c r="L39" s="411">
        <f>+'Master Budget Sheet'!AQ182</f>
        <v>0</v>
      </c>
      <c r="M39" s="375">
        <f t="shared" si="0"/>
        <v>0</v>
      </c>
    </row>
    <row r="40" spans="1:14" ht="12.6" thickBot="1">
      <c r="A40" s="166">
        <v>10</v>
      </c>
      <c r="B40" s="383"/>
      <c r="C40" s="382"/>
      <c r="D40" s="381"/>
      <c r="E40" s="380"/>
      <c r="F40" s="389"/>
      <c r="G40" s="379"/>
      <c r="H40" s="387"/>
      <c r="I40" s="163"/>
      <c r="J40" s="388" t="s">
        <v>252</v>
      </c>
      <c r="K40" s="388">
        <f>+'Master Budget Sheet'!BN177</f>
        <v>69032</v>
      </c>
      <c r="L40" s="411">
        <f>+'Master Budget Sheet'!AQ183</f>
        <v>1</v>
      </c>
      <c r="M40" s="375">
        <f t="shared" si="0"/>
        <v>69032</v>
      </c>
    </row>
    <row r="41" spans="1:14" ht="12.6" thickBot="1">
      <c r="A41" s="166">
        <v>11</v>
      </c>
      <c r="B41" s="383"/>
      <c r="C41" s="382"/>
      <c r="D41" s="381"/>
      <c r="E41" s="380"/>
      <c r="F41" s="379"/>
      <c r="G41" s="387"/>
      <c r="H41" s="378"/>
      <c r="I41" s="163"/>
      <c r="J41" s="386" t="s">
        <v>253</v>
      </c>
      <c r="K41" s="386">
        <f>+'Master Budget Sheet'!BN178</f>
        <v>71217</v>
      </c>
      <c r="L41" s="411">
        <f>+'Master Budget Sheet'!AQ184</f>
        <v>0</v>
      </c>
      <c r="M41" s="375">
        <f t="shared" si="0"/>
        <v>0</v>
      </c>
    </row>
    <row r="42" spans="1:14" ht="12.6" thickBot="1">
      <c r="A42" s="166">
        <v>12</v>
      </c>
      <c r="B42" s="383"/>
      <c r="C42" s="382"/>
      <c r="D42" s="381"/>
      <c r="E42" s="380"/>
      <c r="F42" s="379"/>
      <c r="G42" s="378"/>
      <c r="H42" s="385"/>
      <c r="I42" s="163"/>
      <c r="J42" s="384" t="s">
        <v>254</v>
      </c>
      <c r="K42" s="384">
        <f>+'Master Budget Sheet'!BN179</f>
        <v>73403</v>
      </c>
      <c r="L42" s="411">
        <f>+'Master Budget Sheet'!AQ185</f>
        <v>0</v>
      </c>
      <c r="M42" s="375">
        <f t="shared" si="0"/>
        <v>0</v>
      </c>
    </row>
    <row r="43" spans="1:14" ht="12.6" thickBot="1">
      <c r="A43" s="166" t="s">
        <v>255</v>
      </c>
      <c r="B43" s="383"/>
      <c r="C43" s="382"/>
      <c r="D43" s="381"/>
      <c r="E43" s="380"/>
      <c r="F43" s="379"/>
      <c r="G43" s="378">
        <v>0</v>
      </c>
      <c r="H43" s="377"/>
      <c r="I43" s="163"/>
      <c r="J43" s="376" t="s">
        <v>256</v>
      </c>
      <c r="K43" s="376">
        <f>+'Master Budget Sheet'!BN180</f>
        <v>75588</v>
      </c>
      <c r="L43" s="411">
        <f>+'Master Budget Sheet'!AQ186</f>
        <v>0</v>
      </c>
      <c r="M43" s="375">
        <f t="shared" si="0"/>
        <v>0</v>
      </c>
    </row>
    <row r="44" spans="1:14" s="184" customFormat="1" ht="12.6" thickBot="1">
      <c r="B44" s="163"/>
      <c r="C44" s="163"/>
      <c r="D44" s="163"/>
      <c r="E44" s="163"/>
      <c r="F44" s="163"/>
      <c r="G44" s="374" t="s">
        <v>53</v>
      </c>
      <c r="H44" s="373">
        <f>SUM(B30:H43)</f>
        <v>0</v>
      </c>
      <c r="I44" s="372"/>
      <c r="J44" s="371"/>
      <c r="K44" s="163"/>
      <c r="L44" s="370">
        <f>SUM(L29:L43)</f>
        <v>1</v>
      </c>
      <c r="M44" s="369">
        <f>SUM(M29:M43)</f>
        <v>69032</v>
      </c>
    </row>
    <row r="45" spans="1:14" ht="4.95" customHeight="1" thickTop="1" thickBot="1">
      <c r="A45" s="163"/>
      <c r="B45" s="163"/>
      <c r="C45" s="163"/>
      <c r="D45" s="163"/>
      <c r="E45" s="163"/>
      <c r="F45" s="163"/>
      <c r="G45" s="350"/>
      <c r="H45" s="163"/>
      <c r="I45" s="163"/>
      <c r="J45" s="163"/>
      <c r="K45" s="163"/>
      <c r="L45" s="163"/>
      <c r="M45" s="163"/>
    </row>
    <row r="46" spans="1:14" s="344" customFormat="1" ht="9.6" customHeight="1">
      <c r="A46" s="163"/>
      <c r="B46" s="163"/>
      <c r="C46" s="163"/>
      <c r="D46" s="163"/>
      <c r="E46" s="163"/>
      <c r="F46" s="163"/>
      <c r="G46" s="368"/>
      <c r="H46" s="163"/>
      <c r="J46" s="367" t="s">
        <v>260</v>
      </c>
      <c r="K46" s="366"/>
      <c r="L46" s="365"/>
      <c r="M46" s="364"/>
      <c r="N46" s="338"/>
    </row>
    <row r="47" spans="1:14" s="344" customFormat="1" ht="12">
      <c r="A47" s="163"/>
      <c r="B47" s="362"/>
      <c r="C47" s="362"/>
      <c r="D47" s="362"/>
      <c r="E47" s="362"/>
      <c r="F47" s="362"/>
      <c r="G47" s="350"/>
      <c r="H47" s="362"/>
      <c r="J47" s="348" t="s">
        <v>385</v>
      </c>
      <c r="K47" s="343"/>
      <c r="L47" s="343"/>
      <c r="M47" s="363"/>
      <c r="N47" s="338"/>
    </row>
    <row r="48" spans="1:14" s="356" customFormat="1" ht="12">
      <c r="A48" s="362"/>
      <c r="B48" s="163"/>
      <c r="C48" s="163"/>
      <c r="D48" s="163"/>
      <c r="E48" s="163"/>
      <c r="F48" s="163"/>
      <c r="G48" s="350"/>
      <c r="H48" s="163"/>
      <c r="J48" s="361" t="s">
        <v>261</v>
      </c>
      <c r="K48" s="360" t="s">
        <v>168</v>
      </c>
      <c r="L48" s="359" t="s">
        <v>372</v>
      </c>
      <c r="M48" s="358" t="s">
        <v>259</v>
      </c>
      <c r="N48" s="357"/>
    </row>
    <row r="49" spans="1:15" s="344" customFormat="1" ht="12">
      <c r="A49" s="163"/>
      <c r="B49" s="163"/>
      <c r="C49" s="163"/>
      <c r="D49" s="163"/>
      <c r="E49" s="163"/>
      <c r="F49" s="163"/>
      <c r="G49" s="350"/>
      <c r="H49" s="163"/>
      <c r="J49" s="355" t="s">
        <v>262</v>
      </c>
      <c r="K49" s="354">
        <f>+'Master Budget Sheet'!AQ188</f>
        <v>1</v>
      </c>
      <c r="L49" s="353">
        <v>2000</v>
      </c>
      <c r="M49" s="352">
        <f>K49*L49</f>
        <v>2000</v>
      </c>
      <c r="N49" s="338"/>
    </row>
    <row r="50" spans="1:15" s="344" customFormat="1" ht="12">
      <c r="A50" s="163"/>
      <c r="B50" s="163"/>
      <c r="C50" s="163"/>
      <c r="D50" s="163"/>
      <c r="E50" s="163"/>
      <c r="F50" s="163"/>
      <c r="G50" s="350"/>
      <c r="H50" s="163"/>
      <c r="J50" s="355" t="s">
        <v>263</v>
      </c>
      <c r="K50" s="354">
        <f>+'Master Budget Sheet'!AQ189</f>
        <v>1</v>
      </c>
      <c r="L50" s="353">
        <v>3500</v>
      </c>
      <c r="M50" s="352">
        <f>K50*L50</f>
        <v>3500</v>
      </c>
      <c r="N50" s="338"/>
    </row>
    <row r="51" spans="1:15" s="344" customFormat="1" ht="12">
      <c r="A51" s="163"/>
      <c r="B51" s="163"/>
      <c r="C51" s="163"/>
      <c r="D51" s="163"/>
      <c r="E51" s="163"/>
      <c r="F51" s="163"/>
      <c r="G51" s="350"/>
      <c r="H51" s="163"/>
      <c r="I51" s="343"/>
      <c r="J51" s="349"/>
      <c r="K51" s="351"/>
      <c r="L51" s="346" t="s">
        <v>264</v>
      </c>
      <c r="M51" s="345">
        <f>SUM(M49:M50)</f>
        <v>5500</v>
      </c>
      <c r="N51" s="338"/>
    </row>
    <row r="52" spans="1:15" s="344" customFormat="1" ht="13.8">
      <c r="A52" s="163"/>
      <c r="B52" s="163"/>
      <c r="C52" s="163"/>
      <c r="D52" s="163"/>
      <c r="E52" s="163"/>
      <c r="F52" s="163"/>
      <c r="G52" s="350"/>
      <c r="H52" s="163"/>
      <c r="I52" s="343"/>
      <c r="J52" s="349"/>
      <c r="K52" s="282" t="s">
        <v>366</v>
      </c>
      <c r="L52" s="346"/>
      <c r="M52" s="345"/>
      <c r="N52" s="270" t="s">
        <v>384</v>
      </c>
    </row>
    <row r="53" spans="1:15" s="344" customFormat="1" ht="12">
      <c r="A53" s="163"/>
      <c r="B53" s="163"/>
      <c r="C53" s="163"/>
      <c r="D53" s="163"/>
      <c r="E53" s="163"/>
      <c r="F53" s="163"/>
      <c r="G53" s="163"/>
      <c r="H53" s="163"/>
      <c r="I53" s="343"/>
      <c r="J53" s="348"/>
      <c r="K53" s="347"/>
      <c r="L53" s="346" t="s">
        <v>383</v>
      </c>
      <c r="M53" s="345">
        <f>M44+M51</f>
        <v>74532</v>
      </c>
      <c r="N53" s="338"/>
    </row>
    <row r="54" spans="1:15" ht="12.6" thickBot="1">
      <c r="A54" s="163"/>
      <c r="B54" s="163"/>
      <c r="C54" s="163"/>
      <c r="D54" s="163"/>
      <c r="E54" s="163"/>
      <c r="F54" s="163"/>
      <c r="G54" s="163"/>
      <c r="H54" s="163"/>
      <c r="I54" s="343"/>
      <c r="J54" s="342"/>
      <c r="K54" s="341"/>
      <c r="L54" s="340" t="s">
        <v>363</v>
      </c>
      <c r="M54" s="339">
        <f>IF(L44&gt;0, M53/L44,0)</f>
        <v>74532</v>
      </c>
      <c r="N54" s="338"/>
    </row>
    <row r="55" spans="1:15" ht="10.199999999999999" customHeight="1" thickBot="1">
      <c r="A55" s="163"/>
      <c r="I55" s="163"/>
      <c r="J55" s="163"/>
      <c r="K55" s="163"/>
      <c r="L55" s="163"/>
      <c r="M55" s="163"/>
    </row>
    <row r="56" spans="1:15" s="337" customFormat="1" ht="47.55" customHeight="1" thickBot="1">
      <c r="A56" s="1239" t="s">
        <v>382</v>
      </c>
      <c r="B56" s="1240"/>
      <c r="C56" s="1240"/>
      <c r="D56" s="1240"/>
      <c r="E56" s="1240"/>
      <c r="F56" s="1240"/>
      <c r="G56" s="1240"/>
      <c r="H56" s="1240"/>
      <c r="I56" s="1240"/>
      <c r="J56" s="1240"/>
      <c r="K56" s="1240"/>
      <c r="L56" s="1240"/>
      <c r="M56" s="1240"/>
      <c r="N56" s="1240"/>
      <c r="O56" s="1241"/>
    </row>
  </sheetData>
  <mergeCells count="4">
    <mergeCell ref="B3:F3"/>
    <mergeCell ref="B4:F4"/>
    <mergeCell ref="B5:F5"/>
    <mergeCell ref="A56:O56"/>
  </mergeCells>
  <pageMargins left="0.75" right="0.25" top="0" bottom="0" header="0.3" footer="0.3"/>
  <pageSetup scale="76" orientation="landscape"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110">
    <tabColor rgb="FFFFFF00"/>
    <pageSetUpPr fitToPage="1"/>
  </sheetPr>
  <dimension ref="C1:M27"/>
  <sheetViews>
    <sheetView showGridLines="0" zoomScale="85" workbookViewId="0">
      <selection activeCell="D22" sqref="D22"/>
    </sheetView>
  </sheetViews>
  <sheetFormatPr defaultColWidth="10.44140625" defaultRowHeight="13.2"/>
  <cols>
    <col min="1" max="2" width="5.44140625" style="260" customWidth="1"/>
    <col min="3" max="3" width="33.44140625" style="63" customWidth="1"/>
    <col min="4" max="4" width="24.5546875" style="64" customWidth="1"/>
    <col min="5" max="5" width="10.44140625" style="63"/>
    <col min="6" max="10" width="10.44140625" style="260"/>
    <col min="11" max="11" width="11.5546875" style="260" customWidth="1"/>
    <col min="12" max="12" width="12.44140625" style="260" customWidth="1"/>
    <col min="13" max="16384" width="10.44140625" style="260"/>
  </cols>
  <sheetData>
    <row r="1" spans="3:13" ht="13.8" thickBot="1"/>
    <row r="2" spans="3:13">
      <c r="C2" s="65"/>
      <c r="D2" s="66"/>
      <c r="E2" s="67"/>
      <c r="F2" s="267"/>
      <c r="G2" s="267"/>
      <c r="H2" s="267"/>
      <c r="I2" s="267"/>
      <c r="J2" s="267"/>
      <c r="K2" s="267"/>
      <c r="L2" s="267"/>
      <c r="M2" s="266"/>
    </row>
    <row r="3" spans="3:13">
      <c r="C3" s="68" t="s">
        <v>119</v>
      </c>
      <c r="D3" s="69"/>
      <c r="E3" s="70"/>
      <c r="F3" s="264"/>
      <c r="G3" s="264"/>
      <c r="H3" s="264"/>
      <c r="I3" s="264"/>
      <c r="J3" s="264"/>
      <c r="K3" s="264"/>
      <c r="M3" s="263"/>
    </row>
    <row r="4" spans="3:13">
      <c r="C4" s="68" t="s">
        <v>120</v>
      </c>
      <c r="D4" s="69"/>
      <c r="E4" s="70"/>
      <c r="F4" s="264"/>
      <c r="G4" s="264"/>
      <c r="H4" s="264"/>
      <c r="I4" s="264"/>
      <c r="J4" s="264"/>
      <c r="K4" s="264"/>
      <c r="M4" s="263"/>
    </row>
    <row r="5" spans="3:13">
      <c r="C5" s="68" t="s">
        <v>355</v>
      </c>
      <c r="D5" s="71"/>
      <c r="E5" s="72"/>
      <c r="F5" s="265"/>
      <c r="G5" s="265"/>
      <c r="H5" s="265"/>
      <c r="I5" s="264"/>
      <c r="J5" s="264"/>
      <c r="K5" s="264"/>
      <c r="M5" s="263"/>
    </row>
    <row r="6" spans="3:13">
      <c r="C6" s="68"/>
      <c r="D6" s="69"/>
      <c r="E6" s="70"/>
      <c r="F6" s="264"/>
      <c r="G6" s="264"/>
      <c r="H6" s="264"/>
      <c r="I6" s="264"/>
      <c r="J6" s="264"/>
      <c r="K6" s="264"/>
      <c r="M6" s="263"/>
    </row>
    <row r="7" spans="3:13" ht="25.05" customHeight="1">
      <c r="C7" s="73" t="s">
        <v>121</v>
      </c>
      <c r="D7" s="74"/>
      <c r="E7" s="64" t="s">
        <v>122</v>
      </c>
      <c r="M7" s="263"/>
    </row>
    <row r="8" spans="3:13" ht="25.05" customHeight="1">
      <c r="C8" s="73" t="s">
        <v>123</v>
      </c>
      <c r="D8" s="74"/>
      <c r="E8" s="64" t="s">
        <v>122</v>
      </c>
      <c r="M8" s="263"/>
    </row>
    <row r="9" spans="3:13" ht="25.05" customHeight="1">
      <c r="C9" s="73" t="s">
        <v>124</v>
      </c>
      <c r="D9" s="75">
        <f>+'Master Budget Sheet'!AW19</f>
        <v>17.510000000000002</v>
      </c>
      <c r="E9" s="64" t="s">
        <v>125</v>
      </c>
      <c r="M9" s="263"/>
    </row>
    <row r="10" spans="3:13" ht="25.05" customHeight="1">
      <c r="C10" s="76" t="s">
        <v>126</v>
      </c>
      <c r="D10" s="77" t="s">
        <v>127</v>
      </c>
      <c r="E10" s="78" t="s">
        <v>128</v>
      </c>
      <c r="M10" s="263"/>
    </row>
    <row r="11" spans="3:13" ht="25.05" customHeight="1">
      <c r="C11" s="73" t="s">
        <v>129</v>
      </c>
      <c r="D11" s="79">
        <f>'AdminIndex (7)'!H61</f>
        <v>1.6137999999999999</v>
      </c>
      <c r="E11" s="80" t="s">
        <v>130</v>
      </c>
      <c r="M11" s="263"/>
    </row>
    <row r="12" spans="3:13" ht="25.05" customHeight="1">
      <c r="C12" s="73" t="s">
        <v>131</v>
      </c>
      <c r="D12" s="81">
        <f>'Instructional fte (7)'!E43</f>
        <v>73140.094117647066</v>
      </c>
      <c r="E12" s="80" t="s">
        <v>353</v>
      </c>
      <c r="M12" s="263"/>
    </row>
    <row r="13" spans="3:13" ht="25.05" customHeight="1">
      <c r="C13" s="73" t="s">
        <v>354</v>
      </c>
      <c r="D13" s="269">
        <f>'Pupil Services fte (7)'!M54</f>
        <v>78854</v>
      </c>
      <c r="E13" s="80" t="s">
        <v>352</v>
      </c>
      <c r="M13" s="263"/>
    </row>
    <row r="14" spans="3:13" ht="25.05" customHeight="1">
      <c r="C14" s="73" t="s">
        <v>132</v>
      </c>
      <c r="D14" s="79">
        <f>'AdminIndex (7)'!H40</f>
        <v>1</v>
      </c>
      <c r="E14" s="80" t="s">
        <v>130</v>
      </c>
      <c r="M14" s="263"/>
    </row>
    <row r="15" spans="3:13" ht="22.2" customHeight="1">
      <c r="C15" s="73" t="s">
        <v>133</v>
      </c>
      <c r="D15" s="82">
        <f>'Instructional fte (7)'!B26</f>
        <v>17</v>
      </c>
      <c r="E15" s="80" t="s">
        <v>353</v>
      </c>
      <c r="M15" s="263"/>
    </row>
    <row r="16" spans="3:13" ht="25.05" customHeight="1">
      <c r="C16" s="73" t="s">
        <v>134</v>
      </c>
      <c r="D16" s="79">
        <f>'Pupil Services fte (7)'!L44</f>
        <v>1</v>
      </c>
      <c r="E16" s="80" t="s">
        <v>352</v>
      </c>
      <c r="M16" s="263"/>
    </row>
    <row r="17" spans="3:13" ht="25.05" customHeight="1">
      <c r="C17" s="73" t="s">
        <v>135</v>
      </c>
      <c r="D17" s="83">
        <f>+'Master Budget Sheet'!AV193</f>
        <v>12.1</v>
      </c>
      <c r="E17" s="64" t="s">
        <v>122</v>
      </c>
      <c r="M17" s="263"/>
    </row>
    <row r="18" spans="3:13" ht="25.05" customHeight="1">
      <c r="C18" s="73" t="s">
        <v>136</v>
      </c>
      <c r="D18" s="84">
        <f>+'Master Budget Sheet'!AW90</f>
        <v>208220</v>
      </c>
      <c r="E18" s="64" t="s">
        <v>122</v>
      </c>
      <c r="M18" s="263"/>
    </row>
    <row r="19" spans="3:13" ht="25.05" customHeight="1">
      <c r="C19" s="73" t="s">
        <v>137</v>
      </c>
      <c r="D19" s="84">
        <f>+'Master Budget Sheet'!AW163</f>
        <v>1201142.733</v>
      </c>
      <c r="E19" s="64" t="s">
        <v>122</v>
      </c>
      <c r="M19" s="263"/>
    </row>
    <row r="20" spans="3:13" ht="25.05" customHeight="1">
      <c r="C20" s="73" t="s">
        <v>138</v>
      </c>
      <c r="D20" s="84">
        <f>+'Master Budget Sheet'!AW191</f>
        <v>80315.179999999993</v>
      </c>
      <c r="E20" s="64" t="s">
        <v>122</v>
      </c>
      <c r="M20" s="263"/>
    </row>
    <row r="21" spans="3:13" ht="25.05" customHeight="1">
      <c r="C21" s="73" t="s">
        <v>139</v>
      </c>
      <c r="D21" s="84">
        <f>+'Master Budget Sheet'!AW193</f>
        <v>312425</v>
      </c>
      <c r="E21" s="64" t="s">
        <v>122</v>
      </c>
      <c r="M21" s="263"/>
    </row>
    <row r="22" spans="3:13" ht="20.100000000000001" customHeight="1">
      <c r="C22" s="73" t="s">
        <v>140</v>
      </c>
      <c r="D22" s="85"/>
      <c r="M22" s="263"/>
    </row>
    <row r="23" spans="3:13" ht="20.100000000000001" customHeight="1">
      <c r="C23" s="86" t="s">
        <v>141</v>
      </c>
      <c r="M23" s="263"/>
    </row>
    <row r="24" spans="3:13" ht="20.100000000000001" customHeight="1">
      <c r="C24" s="87" t="s">
        <v>142</v>
      </c>
      <c r="M24" s="263"/>
    </row>
    <row r="25" spans="3:13" ht="20.100000000000001" customHeight="1">
      <c r="C25" s="87"/>
      <c r="M25" s="263"/>
    </row>
    <row r="26" spans="3:13" ht="20.100000000000001" customHeight="1">
      <c r="C26" s="73" t="s">
        <v>143</v>
      </c>
      <c r="M26" s="263"/>
    </row>
    <row r="27" spans="3:13" ht="13.8" thickBot="1">
      <c r="C27" s="88" t="s">
        <v>144</v>
      </c>
      <c r="D27" s="89"/>
      <c r="E27" s="90"/>
      <c r="F27" s="262"/>
      <c r="G27" s="262"/>
      <c r="H27" s="262"/>
      <c r="I27" s="262"/>
      <c r="J27" s="262"/>
      <c r="K27" s="262"/>
      <c r="L27" s="262"/>
      <c r="M27" s="261"/>
    </row>
  </sheetData>
  <printOptions horizontalCentered="1" verticalCentered="1"/>
  <pageMargins left="0.47" right="0.2" top="0.52" bottom="0.25" header="0.5" footer="0.22"/>
  <pageSetup scale="81" orientation="landscape"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111">
    <pageSetUpPr fitToPage="1"/>
  </sheetPr>
  <dimension ref="A1:AA53"/>
  <sheetViews>
    <sheetView zoomScale="70" zoomScaleNormal="70" workbookViewId="0">
      <selection activeCell="I12" sqref="I12"/>
    </sheetView>
  </sheetViews>
  <sheetFormatPr defaultColWidth="10.44140625" defaultRowHeight="13.8"/>
  <cols>
    <col min="1" max="1" width="8.21875" style="91" customWidth="1"/>
    <col min="2" max="2" width="4.44140625" style="91" customWidth="1"/>
    <col min="3" max="3" width="13.77734375" style="91" customWidth="1"/>
    <col min="4" max="4" width="2" style="91" customWidth="1"/>
    <col min="5" max="5" width="13.77734375" style="91" customWidth="1"/>
    <col min="6" max="6" width="2" style="91" customWidth="1"/>
    <col min="7" max="7" width="13.77734375" style="91" customWidth="1"/>
    <col min="8" max="8" width="1.21875" style="91" customWidth="1"/>
    <col min="9" max="9" width="13.77734375" style="91" customWidth="1"/>
    <col min="10" max="10" width="2.21875" style="91" customWidth="1"/>
    <col min="11" max="11" width="13.77734375" style="91" customWidth="1"/>
    <col min="12" max="12" width="1.21875" style="91" customWidth="1"/>
    <col min="13" max="13" width="14.77734375" style="91" customWidth="1"/>
    <col min="14" max="14" width="1.21875" style="91" customWidth="1"/>
    <col min="15" max="15" width="13.77734375" style="91" customWidth="1"/>
    <col min="16" max="16" width="1.21875" style="91" customWidth="1"/>
    <col min="17" max="17" width="13.77734375" style="91" customWidth="1"/>
    <col min="18" max="18" width="1.21875" style="91" customWidth="1"/>
    <col min="19" max="19" width="13.77734375" style="91" customWidth="1"/>
    <col min="20" max="20" width="1.21875" style="91" customWidth="1"/>
    <col min="21" max="21" width="13.77734375" style="91" customWidth="1"/>
    <col min="22" max="22" width="1.21875" style="91" customWidth="1"/>
    <col min="23" max="23" width="13.77734375" style="91" customWidth="1"/>
    <col min="24" max="24" width="1.21875" style="91" customWidth="1"/>
    <col min="25" max="25" width="13.77734375" style="91" customWidth="1"/>
    <col min="26" max="26" width="1.21875" style="91" customWidth="1"/>
    <col min="27" max="16384" width="10.44140625" style="91"/>
  </cols>
  <sheetData>
    <row r="1" spans="1:25">
      <c r="A1" s="1233"/>
      <c r="B1" s="1233"/>
      <c r="C1" s="1233"/>
      <c r="D1" s="1233"/>
      <c r="E1" s="1233"/>
      <c r="F1" s="1233"/>
      <c r="G1" s="1233"/>
      <c r="H1" s="1233"/>
      <c r="I1" s="1233"/>
      <c r="J1" s="1233"/>
      <c r="K1" s="1233"/>
      <c r="L1" s="1233"/>
      <c r="M1" s="1233"/>
      <c r="N1" s="1233"/>
      <c r="O1" s="1233"/>
      <c r="P1" s="1233"/>
      <c r="Q1" s="1233"/>
      <c r="R1" s="1233"/>
      <c r="S1" s="1233"/>
      <c r="T1" s="1233"/>
      <c r="U1" s="1233"/>
      <c r="V1" s="1233"/>
      <c r="W1" s="1233"/>
      <c r="X1" s="1233"/>
      <c r="Y1" s="1233"/>
    </row>
    <row r="2" spans="1:25">
      <c r="A2" s="1233" t="s">
        <v>145</v>
      </c>
      <c r="B2" s="1233"/>
      <c r="C2" s="1233"/>
      <c r="D2" s="1233"/>
      <c r="E2" s="1233"/>
      <c r="F2" s="1233"/>
      <c r="G2" s="1233"/>
      <c r="H2" s="1233"/>
      <c r="I2" s="1233"/>
      <c r="J2" s="1233"/>
      <c r="K2" s="1233"/>
      <c r="L2" s="1233"/>
      <c r="M2" s="1233"/>
      <c r="N2" s="1233"/>
      <c r="O2" s="1233"/>
      <c r="P2" s="1233"/>
      <c r="Q2" s="1233"/>
      <c r="R2" s="1233"/>
      <c r="S2" s="1233"/>
      <c r="T2" s="1233"/>
      <c r="U2" s="1233"/>
      <c r="V2" s="1233"/>
      <c r="W2" s="1233"/>
      <c r="X2" s="1233"/>
      <c r="Y2" s="1233"/>
    </row>
    <row r="3" spans="1:25">
      <c r="A3" s="1233" t="s">
        <v>146</v>
      </c>
      <c r="B3" s="1233"/>
      <c r="C3" s="1233"/>
      <c r="D3" s="1233"/>
      <c r="E3" s="1233"/>
      <c r="F3" s="1233"/>
      <c r="G3" s="1233"/>
      <c r="H3" s="1233"/>
      <c r="I3" s="1233"/>
      <c r="J3" s="1233"/>
      <c r="K3" s="1233"/>
      <c r="L3" s="1233"/>
      <c r="M3" s="1233"/>
      <c r="N3" s="1233"/>
      <c r="O3" s="1233"/>
      <c r="P3" s="1233"/>
      <c r="Q3" s="1233"/>
      <c r="R3" s="1233"/>
      <c r="S3" s="1233"/>
      <c r="T3" s="1233"/>
      <c r="U3" s="1233"/>
      <c r="V3" s="1233"/>
      <c r="W3" s="1233"/>
      <c r="X3" s="1233"/>
      <c r="Y3" s="1233"/>
    </row>
    <row r="4" spans="1:25">
      <c r="A4" s="1233" t="s">
        <v>147</v>
      </c>
      <c r="B4" s="1233"/>
      <c r="C4" s="1233"/>
      <c r="D4" s="1233"/>
      <c r="E4" s="1233"/>
      <c r="F4" s="1233"/>
      <c r="G4" s="1233"/>
      <c r="H4" s="1233"/>
      <c r="I4" s="1233"/>
      <c r="J4" s="1233"/>
      <c r="K4" s="1233"/>
      <c r="L4" s="1233"/>
      <c r="M4" s="1233"/>
      <c r="N4" s="1233"/>
      <c r="O4" s="1233"/>
      <c r="P4" s="1233"/>
      <c r="Q4" s="1233"/>
      <c r="R4" s="1233"/>
      <c r="S4" s="1233"/>
      <c r="T4" s="1233"/>
      <c r="U4" s="1233"/>
      <c r="V4" s="1233"/>
      <c r="W4" s="1233"/>
      <c r="X4" s="1233"/>
      <c r="Y4" s="1233"/>
    </row>
    <row r="5" spans="1:25">
      <c r="A5" s="91" t="s">
        <v>360</v>
      </c>
    </row>
    <row r="7" spans="1:25">
      <c r="A7" s="91" t="s">
        <v>148</v>
      </c>
      <c r="B7" s="92">
        <f>'Enter Data Elements (7)'!D7</f>
        <v>0</v>
      </c>
      <c r="C7" s="93">
        <f>'Enter Data Elements (7)'!D8</f>
        <v>0</v>
      </c>
      <c r="D7" s="94"/>
      <c r="E7" s="94"/>
    </row>
    <row r="9" spans="1:25">
      <c r="A9" s="91" t="s">
        <v>149</v>
      </c>
      <c r="P9" s="91" t="s">
        <v>150</v>
      </c>
      <c r="W9" s="94"/>
    </row>
    <row r="10" spans="1:25">
      <c r="A10" s="91" t="s">
        <v>151</v>
      </c>
      <c r="I10" s="95">
        <v>1.84399</v>
      </c>
      <c r="J10" s="95"/>
      <c r="P10" s="91" t="s">
        <v>151</v>
      </c>
      <c r="W10" s="96">
        <f>'Enter Data Elements (7)'!D11</f>
        <v>1.6137999999999999</v>
      </c>
    </row>
    <row r="11" spans="1:25">
      <c r="A11" s="91" t="s">
        <v>152</v>
      </c>
      <c r="I11" s="97">
        <v>1.86643</v>
      </c>
      <c r="J11" s="95"/>
      <c r="K11" s="98">
        <f>IF(I10&gt;I11,ROUND(I11/I10,4),1)</f>
        <v>1</v>
      </c>
      <c r="P11" s="91" t="s">
        <v>153</v>
      </c>
      <c r="W11" s="99">
        <f>W10*K11</f>
        <v>1.6137999999999999</v>
      </c>
    </row>
    <row r="12" spans="1:25">
      <c r="A12" s="91" t="s">
        <v>154</v>
      </c>
      <c r="I12" s="100">
        <f>0.0765+0.1738</f>
        <v>0.25030000000000002</v>
      </c>
      <c r="P12" s="91" t="s">
        <v>155</v>
      </c>
      <c r="W12" s="101">
        <f>'Enter Data Elements (7)'!D9</f>
        <v>17.510000000000002</v>
      </c>
    </row>
    <row r="13" spans="1:25">
      <c r="I13" s="97"/>
      <c r="J13" s="95"/>
      <c r="K13" s="98"/>
    </row>
    <row r="14" spans="1:25">
      <c r="J14" s="102"/>
      <c r="W14" s="103"/>
    </row>
    <row r="16" spans="1:25" ht="16.2" customHeight="1">
      <c r="C16" s="112" t="s">
        <v>156</v>
      </c>
      <c r="D16" s="112"/>
      <c r="E16" s="112" t="s">
        <v>156</v>
      </c>
      <c r="F16" s="112"/>
      <c r="G16" s="1234" t="s">
        <v>157</v>
      </c>
      <c r="H16" s="1235"/>
      <c r="I16" s="1236"/>
      <c r="J16" s="104"/>
      <c r="K16" s="112" t="s">
        <v>158</v>
      </c>
      <c r="L16" s="112"/>
      <c r="M16" s="112" t="s">
        <v>159</v>
      </c>
      <c r="N16" s="112"/>
      <c r="O16" s="112" t="s">
        <v>160</v>
      </c>
      <c r="P16" s="112"/>
      <c r="Q16" s="112" t="s">
        <v>156</v>
      </c>
      <c r="R16" s="112"/>
      <c r="S16" s="112" t="s">
        <v>156</v>
      </c>
      <c r="T16" s="112"/>
      <c r="U16" s="112" t="s">
        <v>161</v>
      </c>
      <c r="V16" s="112"/>
      <c r="W16" s="112" t="s">
        <v>162</v>
      </c>
      <c r="Y16" s="112" t="s">
        <v>163</v>
      </c>
    </row>
    <row r="17" spans="1:25">
      <c r="C17" s="112" t="s">
        <v>164</v>
      </c>
      <c r="D17" s="112"/>
      <c r="E17" s="112" t="s">
        <v>164</v>
      </c>
      <c r="F17" s="112"/>
      <c r="G17" s="104" t="s">
        <v>165</v>
      </c>
      <c r="H17" s="104"/>
      <c r="I17" s="104" t="s">
        <v>166</v>
      </c>
      <c r="J17" s="112"/>
      <c r="K17" s="112" t="s">
        <v>167</v>
      </c>
      <c r="L17" s="112"/>
      <c r="M17" s="112" t="s">
        <v>156</v>
      </c>
      <c r="N17" s="112"/>
      <c r="O17" s="112" t="s">
        <v>168</v>
      </c>
      <c r="P17" s="112"/>
      <c r="Q17" s="112" t="s">
        <v>164</v>
      </c>
      <c r="S17" s="112" t="s">
        <v>169</v>
      </c>
      <c r="U17" s="112" t="s">
        <v>170</v>
      </c>
      <c r="V17" s="112"/>
      <c r="W17" s="112" t="s">
        <v>170</v>
      </c>
      <c r="Y17" s="112" t="s">
        <v>171</v>
      </c>
    </row>
    <row r="18" spans="1:25">
      <c r="C18" s="112" t="s">
        <v>172</v>
      </c>
      <c r="E18" s="112" t="s">
        <v>168</v>
      </c>
      <c r="G18" s="112" t="s">
        <v>173</v>
      </c>
      <c r="H18" s="112"/>
      <c r="I18" s="112" t="s">
        <v>173</v>
      </c>
      <c r="K18" s="112" t="s">
        <v>164</v>
      </c>
      <c r="L18" s="112"/>
      <c r="M18" s="112" t="s">
        <v>164</v>
      </c>
      <c r="Q18" s="112" t="s">
        <v>168</v>
      </c>
      <c r="Y18" s="112" t="s">
        <v>174</v>
      </c>
    </row>
    <row r="19" spans="1:25">
      <c r="G19" s="112"/>
      <c r="I19" s="112"/>
      <c r="K19" s="112" t="s">
        <v>168</v>
      </c>
      <c r="L19" s="112"/>
      <c r="M19" s="112" t="s">
        <v>168</v>
      </c>
      <c r="Y19" s="112" t="s">
        <v>175</v>
      </c>
    </row>
    <row r="20" spans="1:25">
      <c r="E20" s="112" t="s">
        <v>176</v>
      </c>
      <c r="F20" s="112"/>
      <c r="L20" s="112"/>
      <c r="M20" s="112" t="s">
        <v>177</v>
      </c>
      <c r="Q20" s="105" t="s">
        <v>178</v>
      </c>
      <c r="W20" s="112" t="s">
        <v>179</v>
      </c>
      <c r="Y20" s="112" t="s">
        <v>180</v>
      </c>
    </row>
    <row r="21" spans="1:25">
      <c r="C21" s="112" t="s">
        <v>181</v>
      </c>
      <c r="D21" s="112"/>
      <c r="E21" s="112" t="s">
        <v>182</v>
      </c>
      <c r="F21" s="112"/>
      <c r="G21" s="112" t="s">
        <v>183</v>
      </c>
      <c r="H21" s="112"/>
      <c r="I21" s="112" t="s">
        <v>184</v>
      </c>
      <c r="J21" s="112"/>
      <c r="K21" s="112" t="s">
        <v>185</v>
      </c>
      <c r="L21" s="112"/>
      <c r="M21" s="112" t="s">
        <v>186</v>
      </c>
      <c r="N21" s="112"/>
      <c r="O21" s="112" t="s">
        <v>187</v>
      </c>
      <c r="P21" s="112"/>
      <c r="Q21" s="112" t="s">
        <v>188</v>
      </c>
      <c r="R21" s="112"/>
      <c r="S21" s="104" t="str">
        <f>LOWER("I")</f>
        <v>i</v>
      </c>
      <c r="T21" s="112"/>
      <c r="U21" s="112" t="s">
        <v>189</v>
      </c>
      <c r="V21" s="112"/>
      <c r="W21" s="112" t="s">
        <v>190</v>
      </c>
      <c r="X21" s="112"/>
      <c r="Y21" s="112" t="s">
        <v>191</v>
      </c>
    </row>
    <row r="22" spans="1:25">
      <c r="O22" s="94"/>
    </row>
    <row r="23" spans="1:25">
      <c r="A23" s="91" t="s">
        <v>192</v>
      </c>
      <c r="C23" s="106">
        <v>7.4999999999999997E-2</v>
      </c>
      <c r="D23" s="107"/>
      <c r="E23" s="108">
        <f>$W$12*C23</f>
        <v>1.31325</v>
      </c>
      <c r="G23" s="109"/>
      <c r="I23" s="109"/>
      <c r="K23" s="109"/>
      <c r="M23" s="108">
        <f>E23+G23</f>
        <v>1.31325</v>
      </c>
      <c r="O23" s="96">
        <f>'Enter Data Elements (7)'!D14</f>
        <v>1</v>
      </c>
      <c r="Q23" s="108">
        <f>M23</f>
        <v>1.31325</v>
      </c>
      <c r="S23" s="108">
        <f>W11</f>
        <v>1.6137999999999999</v>
      </c>
      <c r="U23" s="110">
        <f>+'Master Budget Sheet'!AW13</f>
        <v>50024</v>
      </c>
      <c r="W23" s="111">
        <f>S23*U23</f>
        <v>80728.731199999995</v>
      </c>
      <c r="Y23" s="111">
        <f>Q23*W23</f>
        <v>106017.00624839999</v>
      </c>
    </row>
    <row r="24" spans="1:25">
      <c r="O24" s="94"/>
      <c r="Q24" s="105"/>
    </row>
    <row r="25" spans="1:25">
      <c r="A25" s="91" t="s">
        <v>193</v>
      </c>
      <c r="C25" s="106">
        <v>1.0209999999999999</v>
      </c>
      <c r="D25" s="107"/>
      <c r="E25" s="108">
        <f>$W$12*C25</f>
        <v>17.87771</v>
      </c>
      <c r="G25" s="109"/>
      <c r="I25" s="109"/>
      <c r="K25" s="109"/>
      <c r="M25" s="108">
        <f>E25+G25+I25+K25</f>
        <v>17.87771</v>
      </c>
      <c r="O25" s="96">
        <f>'Enter Data Elements (7)'!D15</f>
        <v>17</v>
      </c>
      <c r="Q25" s="108">
        <f>M25</f>
        <v>17.87771</v>
      </c>
      <c r="S25" s="109"/>
      <c r="U25" s="109"/>
      <c r="W25" s="101">
        <f>'Enter Data Elements (7)'!D12</f>
        <v>73140.094117647066</v>
      </c>
      <c r="Y25" s="111">
        <f>Q25*W25</f>
        <v>1307577.3920080001</v>
      </c>
    </row>
    <row r="26" spans="1:25" ht="12.75" customHeight="1">
      <c r="O26" s="94"/>
      <c r="Q26" s="105"/>
      <c r="S26" s="112"/>
    </row>
    <row r="27" spans="1:25">
      <c r="A27" s="91" t="s">
        <v>194</v>
      </c>
      <c r="C27" s="106">
        <v>7.9000000000000001E-2</v>
      </c>
      <c r="D27" s="107"/>
      <c r="E27" s="108">
        <f>$W$12*C27</f>
        <v>1.3832900000000001</v>
      </c>
      <c r="G27" s="109"/>
      <c r="I27" s="109"/>
      <c r="K27" s="109"/>
      <c r="M27" s="108">
        <f>E27+G27+I27+K27</f>
        <v>1.3832900000000001</v>
      </c>
      <c r="O27" s="96">
        <f>'Enter Data Elements (7)'!D16</f>
        <v>1</v>
      </c>
      <c r="Q27" s="108">
        <f>M27</f>
        <v>1.3832900000000001</v>
      </c>
      <c r="S27" s="109"/>
      <c r="U27" s="109"/>
      <c r="W27" s="101">
        <f>IF('Enter Data Elements (7)'!D13&gt;0,'Enter Data Elements (7)'!D13, W25)</f>
        <v>78854</v>
      </c>
      <c r="Y27" s="111">
        <f>Q27*W27</f>
        <v>109077.94966000001</v>
      </c>
    </row>
    <row r="28" spans="1:25" ht="12.75" customHeight="1">
      <c r="O28" s="94"/>
      <c r="Q28" s="105"/>
      <c r="S28" s="112"/>
    </row>
    <row r="29" spans="1:25">
      <c r="A29" s="91" t="s">
        <v>195</v>
      </c>
      <c r="C29" s="106">
        <v>0.375</v>
      </c>
      <c r="D29" s="107"/>
      <c r="E29" s="108">
        <f>$W$12*C29</f>
        <v>6.5662500000000001</v>
      </c>
      <c r="G29" s="109"/>
      <c r="I29" s="109"/>
      <c r="K29" s="109"/>
      <c r="M29" s="113">
        <f>E29</f>
        <v>6.5662500000000001</v>
      </c>
      <c r="O29" s="96">
        <f>'Enter Data Elements (7)'!D17</f>
        <v>12.1</v>
      </c>
      <c r="Q29" s="108">
        <f>M29</f>
        <v>6.5662500000000001</v>
      </c>
      <c r="S29" s="109"/>
      <c r="U29" s="110">
        <f>+'Master Budget Sheet'!AW15</f>
        <v>44982</v>
      </c>
      <c r="W29" s="109"/>
      <c r="Y29" s="109"/>
    </row>
    <row r="30" spans="1:25">
      <c r="O30" s="94"/>
    </row>
    <row r="31" spans="1:25">
      <c r="A31" s="91" t="s">
        <v>196</v>
      </c>
      <c r="M31" s="108">
        <f>M23+M25+M27+M29</f>
        <v>27.140499999999999</v>
      </c>
      <c r="O31" s="108">
        <f>O23+O25+O27+O29</f>
        <v>31.1</v>
      </c>
      <c r="Q31" s="108">
        <f>Q23+Q25+Q27+Q29</f>
        <v>27.140499999999999</v>
      </c>
    </row>
    <row r="36" spans="1:27">
      <c r="C36" s="112" t="s">
        <v>195</v>
      </c>
      <c r="G36" s="112" t="s">
        <v>171</v>
      </c>
      <c r="I36" s="112" t="s">
        <v>160</v>
      </c>
      <c r="K36" s="112" t="s">
        <v>174</v>
      </c>
      <c r="M36" s="114" t="s">
        <v>197</v>
      </c>
      <c r="O36" s="112" t="s">
        <v>198</v>
      </c>
      <c r="Q36" s="112" t="s">
        <v>199</v>
      </c>
      <c r="S36" s="112" t="s">
        <v>174</v>
      </c>
      <c r="U36" s="112" t="s">
        <v>200</v>
      </c>
      <c r="W36" s="114" t="s">
        <v>174</v>
      </c>
    </row>
    <row r="37" spans="1:27">
      <c r="C37" s="112" t="s">
        <v>171</v>
      </c>
      <c r="G37" s="112" t="s">
        <v>174</v>
      </c>
      <c r="I37" s="112" t="s">
        <v>170</v>
      </c>
      <c r="K37" s="112" t="s">
        <v>175</v>
      </c>
      <c r="M37" s="115" t="s">
        <v>175</v>
      </c>
      <c r="O37" s="112" t="s">
        <v>164</v>
      </c>
      <c r="Q37" s="112" t="s">
        <v>164</v>
      </c>
      <c r="S37" s="112" t="s">
        <v>175</v>
      </c>
      <c r="U37" s="112" t="s">
        <v>170</v>
      </c>
      <c r="W37" s="115" t="s">
        <v>175</v>
      </c>
    </row>
    <row r="38" spans="1:27">
      <c r="C38" s="112" t="s">
        <v>174</v>
      </c>
      <c r="G38" s="112" t="s">
        <v>175</v>
      </c>
      <c r="K38" s="112" t="s">
        <v>201</v>
      </c>
      <c r="M38" s="116"/>
      <c r="S38" s="112" t="s">
        <v>202</v>
      </c>
      <c r="U38" s="112" t="s">
        <v>175</v>
      </c>
      <c r="W38" s="117"/>
    </row>
    <row r="39" spans="1:27">
      <c r="C39" s="112" t="s">
        <v>175</v>
      </c>
      <c r="G39" s="112"/>
      <c r="K39" s="112" t="s">
        <v>203</v>
      </c>
      <c r="M39" s="116"/>
      <c r="S39" s="118"/>
      <c r="U39" s="105"/>
      <c r="W39" s="117"/>
    </row>
    <row r="40" spans="1:27">
      <c r="C40" s="112" t="s">
        <v>204</v>
      </c>
      <c r="G40" s="112" t="s">
        <v>359</v>
      </c>
      <c r="K40" s="91" t="s">
        <v>358</v>
      </c>
      <c r="M40" s="115" t="str">
        <f>"p x "&amp;I12</f>
        <v>p x 0.2503</v>
      </c>
      <c r="O40" s="112" t="s">
        <v>205</v>
      </c>
      <c r="S40" s="112"/>
      <c r="U40" s="112"/>
      <c r="W40" s="117" t="s">
        <v>357</v>
      </c>
    </row>
    <row r="41" spans="1:27">
      <c r="C41" s="112" t="s">
        <v>206</v>
      </c>
      <c r="G41" s="112" t="s">
        <v>207</v>
      </c>
      <c r="I41" s="112" t="s">
        <v>208</v>
      </c>
      <c r="K41" s="112" t="s">
        <v>356</v>
      </c>
      <c r="M41" s="115" t="s">
        <v>209</v>
      </c>
      <c r="O41" s="112" t="s">
        <v>210</v>
      </c>
      <c r="Q41" s="112" t="s">
        <v>211</v>
      </c>
      <c r="S41" s="112" t="s">
        <v>212</v>
      </c>
      <c r="U41" s="112" t="s">
        <v>213</v>
      </c>
      <c r="W41" s="115" t="s">
        <v>214</v>
      </c>
      <c r="AA41" s="112"/>
    </row>
    <row r="42" spans="1:27">
      <c r="F42" s="94"/>
      <c r="G42" s="94"/>
      <c r="H42" s="94"/>
      <c r="I42" s="94"/>
      <c r="M42" s="116"/>
      <c r="U42" s="112"/>
      <c r="W42" s="115"/>
    </row>
    <row r="43" spans="1:27">
      <c r="A43" s="91" t="s">
        <v>192</v>
      </c>
      <c r="C43" s="109"/>
      <c r="F43" s="94"/>
      <c r="G43" s="119">
        <f>Y23</f>
        <v>106017.00624839999</v>
      </c>
      <c r="H43" s="94"/>
      <c r="I43" s="101">
        <f>'Enter Data Elements (7)'!D18</f>
        <v>208220</v>
      </c>
      <c r="K43" s="120"/>
      <c r="M43" s="121">
        <f>IF($G$51&gt;$I$51,ROUND(G43/$G$51*$M$51,2),ROUND(I43/$I$51*$M$51,2))</f>
        <v>26303.51</v>
      </c>
      <c r="O43" s="122"/>
      <c r="Q43" s="122"/>
      <c r="S43" s="122"/>
      <c r="U43" s="122"/>
      <c r="V43" s="123"/>
      <c r="W43" s="124">
        <f>G43</f>
        <v>106017.00624839999</v>
      </c>
      <c r="AA43" s="111"/>
    </row>
    <row r="44" spans="1:27">
      <c r="F44" s="94"/>
      <c r="G44" s="94"/>
      <c r="H44" s="94"/>
      <c r="I44" s="125"/>
      <c r="M44" s="116"/>
      <c r="S44" s="112"/>
      <c r="U44" s="105"/>
      <c r="W44" s="117"/>
    </row>
    <row r="45" spans="1:27">
      <c r="A45" s="91" t="s">
        <v>193</v>
      </c>
      <c r="C45" s="109"/>
      <c r="F45" s="118"/>
      <c r="G45" s="119">
        <f>Y25</f>
        <v>1307577.3920080001</v>
      </c>
      <c r="H45" s="94"/>
      <c r="I45" s="101">
        <f>'Enter Data Elements (7)'!D19</f>
        <v>1201142.733</v>
      </c>
      <c r="K45" s="120"/>
      <c r="M45" s="121">
        <f>IF($G$51&gt;$I$51,ROUND(G45/$G$51*$M$51,2),ROUND(I45/$I$51*$M$51,2))</f>
        <v>324418.42</v>
      </c>
      <c r="O45" s="122"/>
      <c r="Q45" s="122"/>
      <c r="S45" s="122"/>
      <c r="U45" s="122"/>
      <c r="W45" s="124">
        <f>G45</f>
        <v>1307577.3920080001</v>
      </c>
      <c r="AA45" s="111"/>
    </row>
    <row r="46" spans="1:27">
      <c r="F46" s="118"/>
      <c r="G46" s="119" t="s">
        <v>235</v>
      </c>
      <c r="H46" s="94"/>
      <c r="I46" s="125"/>
      <c r="M46" s="116"/>
      <c r="S46" s="112"/>
      <c r="U46" s="105"/>
      <c r="W46" s="117"/>
    </row>
    <row r="47" spans="1:27">
      <c r="A47" s="91" t="s">
        <v>194</v>
      </c>
      <c r="C47" s="109"/>
      <c r="F47" s="94"/>
      <c r="G47" s="119">
        <f>Y27</f>
        <v>109077.94966000001</v>
      </c>
      <c r="H47" s="94"/>
      <c r="I47" s="101">
        <f>'Enter Data Elements (7)'!D20</f>
        <v>80315.179999999993</v>
      </c>
      <c r="K47" s="120"/>
      <c r="M47" s="121">
        <f>IF($G$51&gt;$I$51,ROUND(G47/$G$51*$M$51,2),ROUND(I47/$I$51*$M$51,2))</f>
        <v>27062.95</v>
      </c>
      <c r="O47" s="122"/>
      <c r="Q47" s="122"/>
      <c r="S47" s="122"/>
      <c r="U47" s="122"/>
      <c r="W47" s="124">
        <f>G47</f>
        <v>109077.94966000001</v>
      </c>
    </row>
    <row r="48" spans="1:27">
      <c r="F48" s="94"/>
      <c r="G48" s="94"/>
      <c r="H48" s="94"/>
      <c r="I48" s="125"/>
      <c r="M48" s="116"/>
      <c r="S48" s="112"/>
      <c r="U48" s="105"/>
      <c r="W48" s="117"/>
    </row>
    <row r="49" spans="1:27">
      <c r="A49" s="91" t="s">
        <v>195</v>
      </c>
      <c r="C49" s="111">
        <f>Q29*U29</f>
        <v>295363.0575</v>
      </c>
      <c r="F49" s="118"/>
      <c r="G49" s="119">
        <f>C49</f>
        <v>295363.0575</v>
      </c>
      <c r="H49" s="94"/>
      <c r="I49" s="101">
        <f>'Enter Data Elements (7)'!D21</f>
        <v>312425</v>
      </c>
      <c r="K49" s="120"/>
      <c r="M49" s="121">
        <f>IF($G$51&gt;$I$51,ROUND(G49/$G$51*$M$51,2),ROUND(I49/$I$51*$M$51,2))</f>
        <v>73281.490000000005</v>
      </c>
      <c r="O49" s="122"/>
      <c r="Q49" s="122"/>
      <c r="S49" s="122"/>
      <c r="U49" s="122"/>
      <c r="W49" s="124">
        <f>G49</f>
        <v>295363.0575</v>
      </c>
      <c r="AA49" s="111"/>
    </row>
    <row r="50" spans="1:27">
      <c r="I50" s="105"/>
      <c r="K50" s="126">
        <f>SUM(K43:K49)</f>
        <v>0</v>
      </c>
      <c r="M50" s="116"/>
      <c r="S50" s="112"/>
      <c r="U50" s="105"/>
      <c r="W50" s="117"/>
    </row>
    <row r="51" spans="1:27">
      <c r="A51" s="91" t="s">
        <v>196</v>
      </c>
      <c r="G51" s="111">
        <f>G43+G45+G47+G49</f>
        <v>1818035.4054164002</v>
      </c>
      <c r="I51" s="111">
        <f>I43+I45+I47+I49</f>
        <v>1802102.9129999999</v>
      </c>
      <c r="K51" s="111">
        <f>MIN(G51,I51)</f>
        <v>1802102.9129999999</v>
      </c>
      <c r="M51" s="127">
        <f>ROUND(K51*$I$12,2)</f>
        <v>451066.36</v>
      </c>
      <c r="O51" s="111"/>
      <c r="Q51" s="111"/>
      <c r="W51" s="127">
        <f>W43+W45+W47+W49</f>
        <v>1818035.4054164002</v>
      </c>
    </row>
    <row r="53" spans="1:27">
      <c r="I53" s="111"/>
    </row>
  </sheetData>
  <mergeCells count="5">
    <mergeCell ref="A1:Y1"/>
    <mergeCell ref="A2:Y2"/>
    <mergeCell ref="A3:Y3"/>
    <mergeCell ref="A4:Y4"/>
    <mergeCell ref="G16:I16"/>
  </mergeCells>
  <pageMargins left="0.25" right="0.25" top="0.75" bottom="0.75" header="0.3" footer="0.3"/>
  <pageSetup scale="68" orientation="landscape" horizontalDpi="1800" verticalDpi="1800"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12"/>
  <dimension ref="A1:J127"/>
  <sheetViews>
    <sheetView workbookViewId="0">
      <selection activeCell="B38" sqref="B38"/>
    </sheetView>
  </sheetViews>
  <sheetFormatPr defaultColWidth="10.44140625" defaultRowHeight="10.95" customHeight="1"/>
  <cols>
    <col min="1" max="1" width="10.44140625" style="139" customWidth="1"/>
    <col min="2" max="5" width="9.21875" style="139" customWidth="1"/>
    <col min="6" max="6" width="10.5546875" style="139" customWidth="1"/>
    <col min="7" max="8" width="9.21875" style="139" customWidth="1"/>
    <col min="9" max="9" width="8.77734375" style="129" customWidth="1"/>
    <col min="10" max="16384" width="10.44140625" style="139"/>
  </cols>
  <sheetData>
    <row r="1" spans="1:8" ht="10.95" customHeight="1">
      <c r="A1" s="128"/>
      <c r="B1" s="128"/>
      <c r="C1" s="128"/>
      <c r="D1" s="128"/>
      <c r="E1" s="128"/>
      <c r="F1" s="128"/>
      <c r="G1" s="128"/>
      <c r="H1" s="128"/>
    </row>
    <row r="2" spans="1:8" ht="10.95" customHeight="1">
      <c r="A2" s="130" t="s">
        <v>361</v>
      </c>
      <c r="B2" s="128"/>
      <c r="C2" s="128"/>
      <c r="D2" s="128"/>
      <c r="E2" s="128"/>
      <c r="F2" s="128"/>
      <c r="G2" s="128"/>
      <c r="H2" s="128"/>
    </row>
    <row r="3" spans="1:8" ht="10.95" customHeight="1">
      <c r="A3" s="130"/>
      <c r="B3" s="128"/>
      <c r="C3" s="128"/>
      <c r="D3" s="128"/>
      <c r="E3" s="128"/>
      <c r="F3" s="128"/>
      <c r="G3" s="128"/>
      <c r="H3" s="128"/>
    </row>
    <row r="4" spans="1:8" ht="10.95" customHeight="1">
      <c r="A4" s="131"/>
      <c r="B4" s="132"/>
      <c r="C4" s="132"/>
      <c r="D4" s="132"/>
      <c r="E4" s="133" t="s">
        <v>215</v>
      </c>
      <c r="F4" s="133" t="s">
        <v>216</v>
      </c>
      <c r="G4" s="133" t="s">
        <v>217</v>
      </c>
      <c r="H4" s="133" t="s">
        <v>218</v>
      </c>
    </row>
    <row r="5" spans="1:8" ht="10.95" customHeight="1">
      <c r="A5" s="134" t="s">
        <v>219</v>
      </c>
      <c r="B5" s="134" t="s">
        <v>220</v>
      </c>
      <c r="C5" s="134" t="s">
        <v>221</v>
      </c>
      <c r="D5" s="134" t="s">
        <v>222</v>
      </c>
      <c r="E5" s="133" t="s">
        <v>223</v>
      </c>
      <c r="F5" s="133" t="s">
        <v>224</v>
      </c>
      <c r="G5" s="133" t="s">
        <v>225</v>
      </c>
      <c r="H5" s="133" t="s">
        <v>226</v>
      </c>
    </row>
    <row r="6" spans="1:8" ht="10.95" customHeight="1">
      <c r="A6" s="133">
        <v>0</v>
      </c>
      <c r="B6" s="135">
        <v>1</v>
      </c>
      <c r="C6" s="135">
        <v>1.0375000000000001</v>
      </c>
      <c r="D6" s="135">
        <v>1.0764</v>
      </c>
      <c r="E6" s="135">
        <v>1.1168</v>
      </c>
      <c r="F6" s="135">
        <v>1.1587000000000001</v>
      </c>
      <c r="G6" s="135">
        <v>1.2021999999999999</v>
      </c>
      <c r="H6" s="135">
        <v>1.2473000000000001</v>
      </c>
    </row>
    <row r="7" spans="1:8" ht="10.95" customHeight="1">
      <c r="A7" s="133">
        <v>1</v>
      </c>
      <c r="B7" s="135">
        <v>1.0375000000000001</v>
      </c>
      <c r="C7" s="135">
        <v>1.0764</v>
      </c>
      <c r="D7" s="135">
        <v>1.1168</v>
      </c>
      <c r="E7" s="135">
        <v>1.1587000000000001</v>
      </c>
      <c r="F7" s="135">
        <v>1.2021999999999999</v>
      </c>
      <c r="G7" s="135">
        <v>1.2473000000000001</v>
      </c>
      <c r="H7" s="135">
        <v>1.2941</v>
      </c>
    </row>
    <row r="8" spans="1:8" ht="10.95" customHeight="1">
      <c r="A8" s="133">
        <v>2</v>
      </c>
      <c r="B8" s="135">
        <v>1.0764</v>
      </c>
      <c r="C8" s="135">
        <v>1.1168</v>
      </c>
      <c r="D8" s="135">
        <v>1.1587000000000001</v>
      </c>
      <c r="E8" s="135">
        <v>1.2021999999999999</v>
      </c>
      <c r="F8" s="135">
        <v>1.2473000000000001</v>
      </c>
      <c r="G8" s="135">
        <v>1.2941</v>
      </c>
      <c r="H8" s="135">
        <v>1.3426</v>
      </c>
    </row>
    <row r="9" spans="1:8" ht="10.95" customHeight="1">
      <c r="A9" s="133">
        <v>3</v>
      </c>
      <c r="B9" s="135">
        <v>1.1168</v>
      </c>
      <c r="C9" s="135">
        <v>1.1587000000000001</v>
      </c>
      <c r="D9" s="135">
        <v>1.2021999999999999</v>
      </c>
      <c r="E9" s="135">
        <v>1.2473000000000001</v>
      </c>
      <c r="F9" s="135">
        <v>1.2941</v>
      </c>
      <c r="G9" s="135">
        <v>1.3426</v>
      </c>
      <c r="H9" s="135">
        <v>1.3929</v>
      </c>
    </row>
    <row r="10" spans="1:8" ht="10.95" customHeight="1">
      <c r="A10" s="133">
        <v>4</v>
      </c>
      <c r="B10" s="135">
        <v>1.1587000000000001</v>
      </c>
      <c r="C10" s="135">
        <v>1.2021999999999999</v>
      </c>
      <c r="D10" s="135">
        <v>1.2473000000000001</v>
      </c>
      <c r="E10" s="135">
        <v>1.2941</v>
      </c>
      <c r="F10" s="135">
        <v>1.3426</v>
      </c>
      <c r="G10" s="135">
        <v>1.3929</v>
      </c>
      <c r="H10" s="135">
        <v>1.4451000000000001</v>
      </c>
    </row>
    <row r="11" spans="1:8" ht="10.95" customHeight="1">
      <c r="A11" s="133">
        <v>5</v>
      </c>
      <c r="B11" s="135">
        <v>1.2021999999999999</v>
      </c>
      <c r="C11" s="135">
        <v>1.2473000000000001</v>
      </c>
      <c r="D11" s="135">
        <v>1.2941</v>
      </c>
      <c r="E11" s="135">
        <v>1.3426</v>
      </c>
      <c r="F11" s="135">
        <v>1.3929</v>
      </c>
      <c r="G11" s="135">
        <v>1.4451000000000001</v>
      </c>
      <c r="H11" s="135">
        <v>1.4993000000000001</v>
      </c>
    </row>
    <row r="12" spans="1:8" ht="10.95" customHeight="1">
      <c r="A12" s="133">
        <v>6</v>
      </c>
      <c r="B12" s="135">
        <v>1.2473000000000001</v>
      </c>
      <c r="C12" s="135">
        <v>1.2941</v>
      </c>
      <c r="D12" s="135">
        <v>1.3426</v>
      </c>
      <c r="E12" s="135">
        <v>1.3929</v>
      </c>
      <c r="F12" s="135">
        <v>1.4451000000000001</v>
      </c>
      <c r="G12" s="135">
        <v>1.4993000000000001</v>
      </c>
      <c r="H12" s="135">
        <v>1.5555000000000001</v>
      </c>
    </row>
    <row r="13" spans="1:8" ht="10.95" customHeight="1">
      <c r="A13" s="133">
        <v>7</v>
      </c>
      <c r="B13" s="135">
        <v>1.2941</v>
      </c>
      <c r="C13" s="135">
        <v>1.3426</v>
      </c>
      <c r="D13" s="135">
        <v>1.3929</v>
      </c>
      <c r="E13" s="135">
        <v>1.4451000000000001</v>
      </c>
      <c r="F13" s="135">
        <v>1.4993000000000001</v>
      </c>
      <c r="G13" s="135">
        <v>1.5555000000000001</v>
      </c>
      <c r="H13" s="135">
        <v>1.6137999999999999</v>
      </c>
    </row>
    <row r="14" spans="1:8" ht="10.95" customHeight="1">
      <c r="A14" s="133">
        <v>8</v>
      </c>
      <c r="B14" s="135">
        <v>1.3426</v>
      </c>
      <c r="C14" s="135">
        <v>1.3929</v>
      </c>
      <c r="D14" s="135">
        <v>1.4451000000000001</v>
      </c>
      <c r="E14" s="135">
        <v>1.4993000000000001</v>
      </c>
      <c r="F14" s="135">
        <v>1.5555000000000001</v>
      </c>
      <c r="G14" s="135">
        <v>1.6137999999999999</v>
      </c>
      <c r="H14" s="135">
        <v>1.6742999999999999</v>
      </c>
    </row>
    <row r="15" spans="1:8" ht="10.95" customHeight="1">
      <c r="A15" s="133">
        <v>9</v>
      </c>
      <c r="B15" s="135">
        <v>1.3929</v>
      </c>
      <c r="C15" s="135">
        <v>1.4451000000000001</v>
      </c>
      <c r="D15" s="135">
        <v>1.4993000000000001</v>
      </c>
      <c r="E15" s="135">
        <v>1.5555000000000001</v>
      </c>
      <c r="F15" s="135">
        <v>1.6137999999999999</v>
      </c>
      <c r="G15" s="135">
        <v>1.6742999999999999</v>
      </c>
      <c r="H15" s="135">
        <v>1.7371000000000001</v>
      </c>
    </row>
    <row r="16" spans="1:8" ht="10.95" customHeight="1">
      <c r="A16" s="133">
        <v>10</v>
      </c>
      <c r="B16" s="135">
        <v>1.3929</v>
      </c>
      <c r="C16" s="135">
        <v>1.4993000000000001</v>
      </c>
      <c r="D16" s="135">
        <v>1.5555000000000001</v>
      </c>
      <c r="E16" s="135">
        <v>1.6137999999999999</v>
      </c>
      <c r="F16" s="135">
        <v>1.6742999999999999</v>
      </c>
      <c r="G16" s="135">
        <v>1.7371000000000001</v>
      </c>
      <c r="H16" s="135">
        <v>1.8022</v>
      </c>
    </row>
    <row r="17" spans="1:8" ht="10.95" customHeight="1">
      <c r="A17" s="133">
        <v>11</v>
      </c>
      <c r="B17" s="135">
        <v>1.3929</v>
      </c>
      <c r="C17" s="135">
        <v>1.4993000000000001</v>
      </c>
      <c r="D17" s="135">
        <v>1.5555000000000001</v>
      </c>
      <c r="E17" s="135">
        <v>1.6137999999999999</v>
      </c>
      <c r="F17" s="135">
        <v>1.7371000000000001</v>
      </c>
      <c r="G17" s="135">
        <v>1.8022</v>
      </c>
      <c r="H17" s="135">
        <v>1.8697999999999999</v>
      </c>
    </row>
    <row r="18" spans="1:8" ht="10.95" customHeight="1">
      <c r="A18" s="133">
        <v>12</v>
      </c>
      <c r="B18" s="135">
        <v>1.3929</v>
      </c>
      <c r="C18" s="135">
        <v>1.4993000000000001</v>
      </c>
      <c r="D18" s="135">
        <v>1.5555000000000001</v>
      </c>
      <c r="E18" s="135">
        <v>1.6137999999999999</v>
      </c>
      <c r="F18" s="135">
        <v>1.7371000000000001</v>
      </c>
      <c r="G18" s="135">
        <v>1.8697999999999999</v>
      </c>
      <c r="H18" s="135">
        <v>1.9399</v>
      </c>
    </row>
    <row r="19" spans="1:8" ht="10.95" customHeight="1">
      <c r="A19" s="133" t="s">
        <v>227</v>
      </c>
      <c r="B19" s="135">
        <v>1.3929</v>
      </c>
      <c r="C19" s="135">
        <v>1.4993000000000001</v>
      </c>
      <c r="D19" s="135">
        <v>1.5555000000000001</v>
      </c>
      <c r="E19" s="135">
        <v>1.6137999999999999</v>
      </c>
      <c r="F19" s="135">
        <v>1.7371000000000001</v>
      </c>
      <c r="G19" s="135">
        <v>1.8697999999999999</v>
      </c>
      <c r="H19" s="135">
        <v>2.0125999999999999</v>
      </c>
    </row>
    <row r="20" spans="1:8" ht="10.95" customHeight="1">
      <c r="A20" s="136"/>
      <c r="B20" s="137"/>
      <c r="C20" s="137"/>
      <c r="D20" s="137"/>
      <c r="E20" s="137"/>
      <c r="F20" s="137"/>
      <c r="G20" s="137"/>
      <c r="H20" s="137"/>
    </row>
    <row r="21" spans="1:8" ht="10.95" customHeight="1">
      <c r="A21" s="136"/>
      <c r="B21" s="129"/>
      <c r="C21" s="129"/>
      <c r="D21" s="129"/>
      <c r="E21" s="129"/>
      <c r="F21" s="129"/>
      <c r="G21" s="129"/>
      <c r="H21" s="129"/>
    </row>
    <row r="22" spans="1:8" ht="10.95" customHeight="1">
      <c r="A22" s="128" t="s">
        <v>228</v>
      </c>
      <c r="B22" s="128"/>
      <c r="C22" s="128"/>
      <c r="D22" s="128"/>
      <c r="E22" s="128"/>
      <c r="F22" s="128"/>
      <c r="G22" s="128"/>
      <c r="H22" s="128"/>
    </row>
    <row r="23" spans="1:8" ht="10.95" customHeight="1">
      <c r="A23" s="131"/>
      <c r="B23" s="132"/>
      <c r="C23" s="132"/>
      <c r="D23" s="132"/>
      <c r="E23" s="133" t="s">
        <v>215</v>
      </c>
      <c r="F23" s="133" t="s">
        <v>216</v>
      </c>
      <c r="G23" s="133" t="s">
        <v>217</v>
      </c>
      <c r="H23" s="133" t="s">
        <v>218</v>
      </c>
    </row>
    <row r="24" spans="1:8" ht="10.95" customHeight="1">
      <c r="A24" s="134" t="s">
        <v>219</v>
      </c>
      <c r="B24" s="134" t="s">
        <v>220</v>
      </c>
      <c r="C24" s="134" t="s">
        <v>221</v>
      </c>
      <c r="D24" s="134" t="s">
        <v>222</v>
      </c>
      <c r="E24" s="133" t="s">
        <v>336</v>
      </c>
      <c r="F24" s="133" t="s">
        <v>337</v>
      </c>
      <c r="G24" s="133" t="s">
        <v>339</v>
      </c>
      <c r="H24" s="133" t="s">
        <v>338</v>
      </c>
    </row>
    <row r="25" spans="1:8" ht="10.95" customHeight="1">
      <c r="A25" s="133">
        <v>0</v>
      </c>
      <c r="B25" s="138">
        <f>SUMIFS('Master Budget Sheet'!$BA$87:$BA$87,'Master Budget Sheet'!$F$87:$F$87,B$24,'Master Budget Sheet'!$E$87:$E$87,$A25-5)</f>
        <v>0</v>
      </c>
      <c r="C25" s="138">
        <f>SUMIFS('Master Budget Sheet'!$BA$87:$BA$87,'Master Budget Sheet'!$F$87:$F$87,C$24,'Master Budget Sheet'!$E$87:$E$87,$A25-5)</f>
        <v>0</v>
      </c>
      <c r="D25" s="138">
        <f>SUMIFS('Master Budget Sheet'!$BA$87:$BA$87,'Master Budget Sheet'!$F$87:$F$87,D$24,'Master Budget Sheet'!$E$87:$E$87,$A25-5)</f>
        <v>0</v>
      </c>
      <c r="E25" s="138">
        <f>SUMIFS('Master Budget Sheet'!$BA$87:$BA$87,'Master Budget Sheet'!$F$87:$F$87,E$24,'Master Budget Sheet'!$E$87:$E$87,$A25-5)</f>
        <v>0</v>
      </c>
      <c r="F25" s="138">
        <f>SUMIFS('Master Budget Sheet'!$BA$87:$BA$87,'Master Budget Sheet'!$F$87:$F$87,F$24,'Master Budget Sheet'!$E$87:$E$87,$A25-5)</f>
        <v>0</v>
      </c>
      <c r="G25" s="138">
        <f>SUMIFS('Master Budget Sheet'!$BA$87:$BA$87,'Master Budget Sheet'!$F$87:$F$87,G$24,'Master Budget Sheet'!$E$87:$E$87,$A25-5)</f>
        <v>0</v>
      </c>
      <c r="H25" s="138">
        <f>SUMIFS('Master Budget Sheet'!$BA$87:$BA$87,'Master Budget Sheet'!$F$87:$F$87,H$24,'Master Budget Sheet'!$E$87:$E$87,$A25-5)</f>
        <v>0</v>
      </c>
    </row>
    <row r="26" spans="1:8" ht="10.95" customHeight="1">
      <c r="A26" s="133">
        <v>1</v>
      </c>
      <c r="B26" s="138">
        <f>SUMIFS('Master Budget Sheet'!$BA$87:$BA$87,'Master Budget Sheet'!$F$87:$F$87,B$24,'Master Budget Sheet'!$E$87:$E$87,$A26-5)</f>
        <v>0</v>
      </c>
      <c r="C26" s="138">
        <f>SUMIFS('Master Budget Sheet'!$BA$87:$BA$87,'Master Budget Sheet'!$F$87:$F$87,C$24,'Master Budget Sheet'!$E$87:$E$87,$A26-5)</f>
        <v>0</v>
      </c>
      <c r="D26" s="138">
        <f>SUMIFS('Master Budget Sheet'!$BA$87:$BA$87,'Master Budget Sheet'!$F$87:$F$87,D$24,'Master Budget Sheet'!$E$87:$E$87,$A26-5)</f>
        <v>0</v>
      </c>
      <c r="E26" s="138">
        <f>SUMIFS('Master Budget Sheet'!$BA$87:$BA$87,'Master Budget Sheet'!$F$87:$F$87,E$24,'Master Budget Sheet'!$E$87:$E$87,$A26-5)</f>
        <v>0</v>
      </c>
      <c r="F26" s="138">
        <f>SUMIFS('Master Budget Sheet'!$BA$87:$BA$87,'Master Budget Sheet'!$F$87:$F$87,F$24,'Master Budget Sheet'!$E$87:$E$87,$A26-5)</f>
        <v>0</v>
      </c>
      <c r="G26" s="138">
        <f>SUMIFS('Master Budget Sheet'!$BA$87:$BA$87,'Master Budget Sheet'!$F$87:$F$87,G$24,'Master Budget Sheet'!$E$87:$E$87,$A26-5)</f>
        <v>0</v>
      </c>
      <c r="H26" s="138">
        <f>SUMIFS('Master Budget Sheet'!$BA$87:$BA$87,'Master Budget Sheet'!$F$87:$F$87,H$24,'Master Budget Sheet'!$E$87:$E$87,$A26-5)</f>
        <v>0</v>
      </c>
    </row>
    <row r="27" spans="1:8" ht="10.95" customHeight="1">
      <c r="A27" s="133">
        <v>2</v>
      </c>
      <c r="B27" s="138">
        <f>SUMIFS('Master Budget Sheet'!$BA$87:$BA$87,'Master Budget Sheet'!$F$87:$F$87,B$24,'Master Budget Sheet'!$E$87:$E$87,$A27-5)</f>
        <v>0</v>
      </c>
      <c r="C27" s="138">
        <f>SUMIFS('Master Budget Sheet'!$BA$87:$BA$87,'Master Budget Sheet'!$F$87:$F$87,C$24,'Master Budget Sheet'!$E$87:$E$87,$A27-5)</f>
        <v>0</v>
      </c>
      <c r="D27" s="138">
        <f>SUMIFS('Master Budget Sheet'!$BA$87:$BA$87,'Master Budget Sheet'!$F$87:$F$87,D$24,'Master Budget Sheet'!$E$87:$E$87,$A27-5)</f>
        <v>0</v>
      </c>
      <c r="E27" s="138">
        <f>SUMIFS('Master Budget Sheet'!$BA$87:$BA$87,'Master Budget Sheet'!$F$87:$F$87,E$24,'Master Budget Sheet'!$E$87:$E$87,$A27-5)</f>
        <v>0</v>
      </c>
      <c r="F27" s="138">
        <f>SUMIFS('Master Budget Sheet'!$BA$87:$BA$87,'Master Budget Sheet'!$F$87:$F$87,F$24,'Master Budget Sheet'!$E$87:$E$87,$A27-5)</f>
        <v>0</v>
      </c>
      <c r="G27" s="138">
        <f>SUMIFS('Master Budget Sheet'!$BA$87:$BA$87,'Master Budget Sheet'!$F$87:$F$87,G$24,'Master Budget Sheet'!$E$87:$E$87,$A27-5)</f>
        <v>0</v>
      </c>
      <c r="H27" s="138">
        <f>SUMIFS('Master Budget Sheet'!$BA$87:$BA$87,'Master Budget Sheet'!$F$87:$F$87,H$24,'Master Budget Sheet'!$E$87:$E$87,$A27-5)</f>
        <v>0</v>
      </c>
    </row>
    <row r="28" spans="1:8" ht="10.95" customHeight="1">
      <c r="A28" s="133">
        <v>3</v>
      </c>
      <c r="B28" s="138">
        <f>SUMIFS('Master Budget Sheet'!$BA$87:$BA$87,'Master Budget Sheet'!$F$87:$F$87,B$24,'Master Budget Sheet'!$E$87:$E$87,$A28-5)</f>
        <v>0</v>
      </c>
      <c r="C28" s="138">
        <f>SUMIFS('Master Budget Sheet'!$BA$87:$BA$87,'Master Budget Sheet'!$F$87:$F$87,C$24,'Master Budget Sheet'!$E$87:$E$87,$A28-5)</f>
        <v>0</v>
      </c>
      <c r="D28" s="138">
        <f>SUMIFS('Master Budget Sheet'!$BA$87:$BA$87,'Master Budget Sheet'!$F$87:$F$87,D$24,'Master Budget Sheet'!$E$87:$E$87,$A28-5)</f>
        <v>0</v>
      </c>
      <c r="E28" s="138">
        <f>SUMIFS('Master Budget Sheet'!$BA$87:$BA$87,'Master Budget Sheet'!$F$87:$F$87,E$24,'Master Budget Sheet'!$E$87:$E$87,$A28-5)</f>
        <v>0</v>
      </c>
      <c r="F28" s="138">
        <f>SUMIFS('Master Budget Sheet'!$BA$87:$BA$87,'Master Budget Sheet'!$F$87:$F$87,F$24,'Master Budget Sheet'!$E$87:$E$87,$A28-5)</f>
        <v>0</v>
      </c>
      <c r="G28" s="138">
        <f>SUMIFS('Master Budget Sheet'!$BA$87:$BA$87,'Master Budget Sheet'!$F$87:$F$87,G$24,'Master Budget Sheet'!$E$87:$E$87,$A28-5)</f>
        <v>0</v>
      </c>
      <c r="H28" s="138">
        <f>SUMIFS('Master Budget Sheet'!$BA$87:$BA$87,'Master Budget Sheet'!$F$87:$F$87,H$24,'Master Budget Sheet'!$E$87:$E$87,$A28-5)</f>
        <v>0</v>
      </c>
    </row>
    <row r="29" spans="1:8" ht="10.95" customHeight="1">
      <c r="A29" s="133">
        <v>4</v>
      </c>
      <c r="B29" s="138">
        <f>SUMIFS('Master Budget Sheet'!$BA$87:$BA$87,'Master Budget Sheet'!$F$87:$F$87,B$24,'Master Budget Sheet'!$E$87:$E$87,$A29-5)</f>
        <v>0</v>
      </c>
      <c r="C29" s="138">
        <f>SUMIFS('Master Budget Sheet'!$BA$87:$BA$87,'Master Budget Sheet'!$F$87:$F$87,C$24,'Master Budget Sheet'!$E$87:$E$87,$A29-5)</f>
        <v>0</v>
      </c>
      <c r="D29" s="138">
        <f>SUMIFS('Master Budget Sheet'!$BA$87:$BA$87,'Master Budget Sheet'!$F$87:$F$87,D$24,'Master Budget Sheet'!$E$87:$E$87,$A29-5)</f>
        <v>0</v>
      </c>
      <c r="E29" s="138">
        <f>SUMIFS('Master Budget Sheet'!$BA$87:$BA$87,'Master Budget Sheet'!$F$87:$F$87,E$24,'Master Budget Sheet'!$E$87:$E$87,$A29-5)</f>
        <v>0</v>
      </c>
      <c r="F29" s="138">
        <f>SUMIFS('Master Budget Sheet'!$BA$87:$BA$87,'Master Budget Sheet'!$F$87:$F$87,F$24,'Master Budget Sheet'!$E$87:$E$87,$A29-5)</f>
        <v>0</v>
      </c>
      <c r="G29" s="138">
        <f>SUMIFS('Master Budget Sheet'!$BA$87:$BA$87,'Master Budget Sheet'!$F$87:$F$87,G$24,'Master Budget Sheet'!$E$87:$E$87,$A29-5)</f>
        <v>0</v>
      </c>
      <c r="H29" s="138">
        <f>SUMIFS('Master Budget Sheet'!$BA$87:$BA$87,'Master Budget Sheet'!$F$87:$F$87,H$24,'Master Budget Sheet'!$E$87:$E$87,$A29-5)</f>
        <v>0</v>
      </c>
    </row>
    <row r="30" spans="1:8" ht="10.95" customHeight="1">
      <c r="A30" s="133">
        <v>5</v>
      </c>
      <c r="B30" s="138">
        <f>SUMIFS('Master Budget Sheet'!$BA$87:$BA$87,'Master Budget Sheet'!$F$87:$F$87,B$24,'Master Budget Sheet'!$E$87:$E$87,$A30-5)</f>
        <v>0</v>
      </c>
      <c r="C30" s="138">
        <f>SUMIFS('Master Budget Sheet'!$BA$87:$BA$87,'Master Budget Sheet'!$F$87:$F$87,C$24,'Master Budget Sheet'!$E$87:$E$87,$A30-5)</f>
        <v>0</v>
      </c>
      <c r="D30" s="138">
        <f>SUMIFS('Master Budget Sheet'!$BA$87:$BA$87,'Master Budget Sheet'!$F$87:$F$87,D$24,'Master Budget Sheet'!$E$87:$E$87,$A30-5)</f>
        <v>0</v>
      </c>
      <c r="E30" s="138">
        <f>SUMIFS('Master Budget Sheet'!$BA$87:$BA$87,'Master Budget Sheet'!$F$87:$F$87,E$24,'Master Budget Sheet'!$E$87:$E$87,$A30-5)</f>
        <v>0</v>
      </c>
      <c r="F30" s="138">
        <f>SUMIFS('Master Budget Sheet'!$BA$87:$BA$87,'Master Budget Sheet'!$F$87:$F$87,F$24,'Master Budget Sheet'!$E$87:$E$87,$A30-5)</f>
        <v>0</v>
      </c>
      <c r="G30" s="138">
        <f>SUMIFS('Master Budget Sheet'!$BA$87:$BA$87,'Master Budget Sheet'!$F$87:$F$87,G$24,'Master Budget Sheet'!$E$87:$E$87,$A30-5)</f>
        <v>0</v>
      </c>
      <c r="H30" s="138">
        <f>SUMIFS('Master Budget Sheet'!$BA$87:$BA$87,'Master Budget Sheet'!$F$87:$F$87,H$24,'Master Budget Sheet'!$E$87:$E$87,$A30-5)</f>
        <v>0</v>
      </c>
    </row>
    <row r="31" spans="1:8" ht="10.95" customHeight="1">
      <c r="A31" s="133">
        <v>6</v>
      </c>
      <c r="B31" s="138">
        <f>SUMIFS('Master Budget Sheet'!$BA$87:$BA$87,'Master Budget Sheet'!$F$87:$F$87,B$24,'Master Budget Sheet'!$E$87:$E$87,$A31-5)</f>
        <v>0</v>
      </c>
      <c r="C31" s="138">
        <f>SUMIFS('Master Budget Sheet'!$BA$87:$BA$87,'Master Budget Sheet'!$F$87:$F$87,C$24,'Master Budget Sheet'!$E$87:$E$87,$A31-5)</f>
        <v>0</v>
      </c>
      <c r="D31" s="138">
        <f>SUMIFS('Master Budget Sheet'!$BA$87:$BA$87,'Master Budget Sheet'!$F$87:$F$87,D$24,'Master Budget Sheet'!$E$87:$E$87,$A31-5)</f>
        <v>0</v>
      </c>
      <c r="E31" s="138">
        <f>SUMIFS('Master Budget Sheet'!$BA$87:$BA$87,'Master Budget Sheet'!$F$87:$F$87,E$24,'Master Budget Sheet'!$E$87:$E$87,$A31-5)</f>
        <v>0</v>
      </c>
      <c r="F31" s="138">
        <f>SUMIFS('Master Budget Sheet'!$BA$87:$BA$87,'Master Budget Sheet'!$F$87:$F$87,F$24,'Master Budget Sheet'!$E$87:$E$87,$A31-5)</f>
        <v>0</v>
      </c>
      <c r="G31" s="138">
        <f>SUMIFS('Master Budget Sheet'!$BA$87:$BA$87,'Master Budget Sheet'!$F$87:$F$87,G$24,'Master Budget Sheet'!$E$87:$E$87,$A31-5)</f>
        <v>0</v>
      </c>
      <c r="H31" s="138">
        <f>SUMIFS('Master Budget Sheet'!$BA$87:$BA$87,'Master Budget Sheet'!$F$87:$F$87,H$24,'Master Budget Sheet'!$E$87:$E$87,$A31-5)</f>
        <v>0</v>
      </c>
    </row>
    <row r="32" spans="1:8" ht="10.95" customHeight="1">
      <c r="A32" s="133">
        <v>7</v>
      </c>
      <c r="B32" s="138">
        <f>SUMIFS('Master Budget Sheet'!$BA$87:$BA$87,'Master Budget Sheet'!$F$87:$F$87,B$24,'Master Budget Sheet'!$E$87:$E$87,$A32-5)</f>
        <v>0</v>
      </c>
      <c r="C32" s="138">
        <f>SUMIFS('Master Budget Sheet'!$BA$87:$BA$87,'Master Budget Sheet'!$F$87:$F$87,C$24,'Master Budget Sheet'!$E$87:$E$87,$A32-5)</f>
        <v>0</v>
      </c>
      <c r="D32" s="138">
        <f>SUMIFS('Master Budget Sheet'!$BA$87:$BA$87,'Master Budget Sheet'!$F$87:$F$87,D$24,'Master Budget Sheet'!$E$87:$E$87,$A32-5)</f>
        <v>0</v>
      </c>
      <c r="E32" s="138">
        <f>SUMIFS('Master Budget Sheet'!$BA$87:$BA$87,'Master Budget Sheet'!$F$87:$F$87,E$24,'Master Budget Sheet'!$E$87:$E$87,$A32-5)</f>
        <v>0</v>
      </c>
      <c r="F32" s="138">
        <f>SUMIFS('Master Budget Sheet'!$BA$87:$BA$87,'Master Budget Sheet'!$F$87:$F$87,F$24,'Master Budget Sheet'!$E$87:$E$87,$A32-5)</f>
        <v>0</v>
      </c>
      <c r="G32" s="138">
        <f>SUMIFS('Master Budget Sheet'!$BA$87:$BA$87,'Master Budget Sheet'!$F$87:$F$87,G$24,'Master Budget Sheet'!$E$87:$E$87,$A32-5)</f>
        <v>0</v>
      </c>
      <c r="H32" s="138">
        <f>SUMIFS('Master Budget Sheet'!$BA$87:$BA$87,'Master Budget Sheet'!$F$87:$F$87,H$24,'Master Budget Sheet'!$E$87:$E$87,$A32-5)</f>
        <v>1</v>
      </c>
    </row>
    <row r="33" spans="1:10" ht="10.95" customHeight="1">
      <c r="A33" s="133">
        <v>8</v>
      </c>
      <c r="B33" s="138">
        <f>SUMIFS('Master Budget Sheet'!$BA$87:$BA$87,'Master Budget Sheet'!$F$87:$F$87,B$24,'Master Budget Sheet'!$E$87:$E$87,$A33-5)</f>
        <v>0</v>
      </c>
      <c r="C33" s="138">
        <f>SUMIFS('Master Budget Sheet'!$BA$87:$BA$87,'Master Budget Sheet'!$F$87:$F$87,C$24,'Master Budget Sheet'!$E$87:$E$87,$A33-5)</f>
        <v>0</v>
      </c>
      <c r="D33" s="138">
        <f>SUMIFS('Master Budget Sheet'!$BA$87:$BA$87,'Master Budget Sheet'!$F$87:$F$87,D$24,'Master Budget Sheet'!$E$87:$E$87,$A33-5)</f>
        <v>0</v>
      </c>
      <c r="E33" s="138">
        <f>SUMIFS('Master Budget Sheet'!$BA$87:$BA$87,'Master Budget Sheet'!$F$87:$F$87,E$24,'Master Budget Sheet'!$E$87:$E$87,$A33-5)</f>
        <v>0</v>
      </c>
      <c r="F33" s="138">
        <f>SUMIFS('Master Budget Sheet'!$BA$87:$BA$87,'Master Budget Sheet'!$F$87:$F$87,F$24,'Master Budget Sheet'!$E$87:$E$87,$A33-5)</f>
        <v>0</v>
      </c>
      <c r="G33" s="138">
        <f>SUMIFS('Master Budget Sheet'!$BA$87:$BA$87,'Master Budget Sheet'!$F$87:$F$87,G$24,'Master Budget Sheet'!$E$87:$E$87,$A33-5)</f>
        <v>0</v>
      </c>
      <c r="H33" s="138">
        <f>SUMIFS('Master Budget Sheet'!$BA$87:$BA$87,'Master Budget Sheet'!$F$87:$F$87,H$24,'Master Budget Sheet'!$E$87:$E$87,$A33-5)</f>
        <v>0</v>
      </c>
    </row>
    <row r="34" spans="1:10" ht="10.95" customHeight="1">
      <c r="A34" s="133">
        <v>9</v>
      </c>
      <c r="B34" s="138">
        <f>SUMIFS('Master Budget Sheet'!$BA$87:$BA$87,'Master Budget Sheet'!$F$87:$F$87,B$24,'Master Budget Sheet'!$E$87:$E$87,$A34-5)</f>
        <v>0</v>
      </c>
      <c r="C34" s="138">
        <f>SUMIFS('Master Budget Sheet'!$BA$87:$BA$87,'Master Budget Sheet'!$F$87:$F$87,C$24,'Master Budget Sheet'!$E$87:$E$87,$A34-5)</f>
        <v>0</v>
      </c>
      <c r="D34" s="138">
        <f>SUMIFS('Master Budget Sheet'!$BA$87:$BA$87,'Master Budget Sheet'!$F$87:$F$87,D$24,'Master Budget Sheet'!$E$87:$E$87,$A34-5)</f>
        <v>0</v>
      </c>
      <c r="E34" s="138">
        <f>SUMIFS('Master Budget Sheet'!$BA$87:$BA$87,'Master Budget Sheet'!$F$87:$F$87,E$24,'Master Budget Sheet'!$E$87:$E$87,$A34-5)</f>
        <v>0</v>
      </c>
      <c r="F34" s="138">
        <f>SUMIFS('Master Budget Sheet'!$BA$87:$BA$87,'Master Budget Sheet'!$F$87:$F$87,F$24,'Master Budget Sheet'!$E$87:$E$87,$A34-5)</f>
        <v>0</v>
      </c>
      <c r="G34" s="138">
        <f>SUMIFS('Master Budget Sheet'!$BA$87:$BA$87,'Master Budget Sheet'!$F$87:$F$87,G$24,'Master Budget Sheet'!$E$87:$E$87,$A34-5)</f>
        <v>0</v>
      </c>
      <c r="H34" s="138">
        <f>SUMIFS('Master Budget Sheet'!$BA$87:$BA$87,'Master Budget Sheet'!$F$87:$F$87,H$24,'Master Budget Sheet'!$E$87:$E$87,$A34-5)</f>
        <v>0</v>
      </c>
    </row>
    <row r="35" spans="1:10" ht="10.95" customHeight="1">
      <c r="A35" s="133">
        <v>10</v>
      </c>
      <c r="B35" s="138">
        <f>SUMIFS('Master Budget Sheet'!$BA$87:$BA$87,'Master Budget Sheet'!$F$87:$F$87,B$24,'Master Budget Sheet'!$E$87:$E$87,$A35-5)</f>
        <v>0</v>
      </c>
      <c r="C35" s="138">
        <f>SUMIFS('Master Budget Sheet'!$BA$87:$BA$87,'Master Budget Sheet'!$F$87:$F$87,C$24,'Master Budget Sheet'!$E$87:$E$87,$A35-5)</f>
        <v>0</v>
      </c>
      <c r="D35" s="138">
        <f>SUMIFS('Master Budget Sheet'!$BA$87:$BA$87,'Master Budget Sheet'!$F$87:$F$87,D$24,'Master Budget Sheet'!$E$87:$E$87,$A35-5)</f>
        <v>0</v>
      </c>
      <c r="E35" s="138">
        <f>SUMIFS('Master Budget Sheet'!$BA$87:$BA$87,'Master Budget Sheet'!$F$87:$F$87,E$24,'Master Budget Sheet'!$E$87:$E$87,$A35-5)</f>
        <v>0</v>
      </c>
      <c r="F35" s="138">
        <f>SUMIFS('Master Budget Sheet'!$BA$87:$BA$87,'Master Budget Sheet'!$F$87:$F$87,F$24,'Master Budget Sheet'!$E$87:$E$87,$A35-5)</f>
        <v>0</v>
      </c>
      <c r="G35" s="138">
        <f>SUMIFS('Master Budget Sheet'!$BA$87:$BA$87,'Master Budget Sheet'!$F$87:$F$87,G$24,'Master Budget Sheet'!$E$87:$E$87,$A35-5)</f>
        <v>0</v>
      </c>
      <c r="H35" s="138">
        <f>SUMIFS('Master Budget Sheet'!$BA$87:$BA$87,'Master Budget Sheet'!$F$87:$F$87,H$24,'Master Budget Sheet'!$E$87:$E$87,$A35-5)</f>
        <v>0</v>
      </c>
    </row>
    <row r="36" spans="1:10" ht="10.95" customHeight="1">
      <c r="A36" s="133">
        <v>11</v>
      </c>
      <c r="B36" s="138">
        <f>SUMIFS('Master Budget Sheet'!$BA$87:$BA$87,'Master Budget Sheet'!$F$87:$F$87,B$24,'Master Budget Sheet'!$E$87:$E$87,$A36-5)</f>
        <v>0</v>
      </c>
      <c r="C36" s="138">
        <f>SUMIFS('Master Budget Sheet'!$BA$87:$BA$87,'Master Budget Sheet'!$F$87:$F$87,C$24,'Master Budget Sheet'!$E$87:$E$87,$A36-5)</f>
        <v>0</v>
      </c>
      <c r="D36" s="138">
        <f>SUMIFS('Master Budget Sheet'!$BA$87:$BA$87,'Master Budget Sheet'!$F$87:$F$87,D$24,'Master Budget Sheet'!$E$87:$E$87,$A36-5)</f>
        <v>0</v>
      </c>
      <c r="E36" s="138">
        <f>SUMIFS('Master Budget Sheet'!$BA$87:$BA$87,'Master Budget Sheet'!$F$87:$F$87,E$24,'Master Budget Sheet'!$E$87:$E$87,$A36-5)</f>
        <v>0</v>
      </c>
      <c r="F36" s="138">
        <f>SUMIFS('Master Budget Sheet'!$BA$87:$BA$87,'Master Budget Sheet'!$F$87:$F$87,F$24,'Master Budget Sheet'!$E$87:$E$87,$A36-5)</f>
        <v>0</v>
      </c>
      <c r="G36" s="138">
        <f>SUMIFS('Master Budget Sheet'!$BA$87:$BA$87,'Master Budget Sheet'!$F$87:$F$87,G$24,'Master Budget Sheet'!$E$87:$E$87,$A36-5)</f>
        <v>0</v>
      </c>
      <c r="H36" s="138">
        <f>SUMIFS('Master Budget Sheet'!$BA$87:$BA$87,'Master Budget Sheet'!$F$87:$F$87,H$24,'Master Budget Sheet'!$E$87:$E$87,$A36-5)</f>
        <v>0</v>
      </c>
    </row>
    <row r="37" spans="1:10" ht="10.95" customHeight="1">
      <c r="A37" s="133">
        <v>12</v>
      </c>
      <c r="B37" s="138">
        <f>SUMIFS('Master Budget Sheet'!$BA$87:$BA$87,'Master Budget Sheet'!$F$87:$F$87,B$24,'Master Budget Sheet'!$E$87:$E$87,$A37-5)</f>
        <v>0</v>
      </c>
      <c r="C37" s="138">
        <f>SUMIFS('Master Budget Sheet'!$BA$87:$BA$87,'Master Budget Sheet'!$F$87:$F$87,C$24,'Master Budget Sheet'!$E$87:$E$87,$A37-5)</f>
        <v>0</v>
      </c>
      <c r="D37" s="138">
        <f>SUMIFS('Master Budget Sheet'!$BA$87:$BA$87,'Master Budget Sheet'!$F$87:$F$87,D$24,'Master Budget Sheet'!$E$87:$E$87,$A37-5)</f>
        <v>0</v>
      </c>
      <c r="E37" s="138">
        <f>SUMIFS('Master Budget Sheet'!$BA$87:$BA$87,'Master Budget Sheet'!$F$87:$F$87,E$24,'Master Budget Sheet'!$E$87:$E$87,$A37-5)</f>
        <v>0</v>
      </c>
      <c r="F37" s="138">
        <f>SUMIFS('Master Budget Sheet'!$BA$87:$BA$87,'Master Budget Sheet'!$F$87:$F$87,F$24,'Master Budget Sheet'!$E$87:$E$87,$A37-5)</f>
        <v>0</v>
      </c>
      <c r="G37" s="138">
        <f>SUMIFS('Master Budget Sheet'!$BA$87:$BA$87,'Master Budget Sheet'!$F$87:$F$87,G$24,'Master Budget Sheet'!$E$87:$E$87,$A37-5)</f>
        <v>0</v>
      </c>
      <c r="H37" s="138">
        <f>SUMIFS('Master Budget Sheet'!$BA$87:$BA$87,'Master Budget Sheet'!$F$87:$F$87,H$24,'Master Budget Sheet'!$E$87:$E$87,$A37-5)</f>
        <v>0</v>
      </c>
    </row>
    <row r="38" spans="1:10" ht="10.95" customHeight="1">
      <c r="A38" s="133" t="s">
        <v>227</v>
      </c>
      <c r="B38" s="138">
        <f>SUMIFS('Master Budget Sheet'!$AV$87:$AV$87,'Master Budget Sheet'!$F$87:$F$87,B$24,'Master Budget Sheet'!$E$87:$E$87,"&gt;7")</f>
        <v>0</v>
      </c>
      <c r="C38" s="138">
        <f>SUMIFS('Master Budget Sheet'!$AV$87:$AV$87,'Master Budget Sheet'!$F$87:$F$87,C$24,'Master Budget Sheet'!$E$87:$E$87,"&gt;7")</f>
        <v>0</v>
      </c>
      <c r="D38" s="138">
        <f>SUMIFS('Master Budget Sheet'!$AV$87:$AV$87,'Master Budget Sheet'!$F$87:$F$87,D$24,'Master Budget Sheet'!$E$87:$E$87,"&gt;7")</f>
        <v>0</v>
      </c>
      <c r="E38" s="138">
        <f>SUMIFS('Master Budget Sheet'!$AV$87:$AV$87,'Master Budget Sheet'!$F$87:$F$87,E$24,'Master Budget Sheet'!$E$87:$E$87,"&gt;7")</f>
        <v>0</v>
      </c>
      <c r="F38" s="138">
        <f>SUMIFS('Master Budget Sheet'!$AV$87:$AV$87,'Master Budget Sheet'!$F$87:$F$87,F$24,'Master Budget Sheet'!$E$87:$E$87,"&gt;7")</f>
        <v>0</v>
      </c>
      <c r="G38" s="138">
        <f>SUMIFS('Master Budget Sheet'!$AV$87:$AV$87,'Master Budget Sheet'!$F$87:$F$87,G$24,'Master Budget Sheet'!$E$87:$E$87,"&gt;7")</f>
        <v>0</v>
      </c>
      <c r="H38" s="138">
        <f>SUMIFS('Master Budget Sheet'!$AV$87:$AV$87,'Master Budget Sheet'!$F$87:$F$87,H$24,'Master Budget Sheet'!$E$87:$E$87,"&gt;7")</f>
        <v>0</v>
      </c>
    </row>
    <row r="39" spans="1:10" s="143" customFormat="1" ht="10.95" customHeight="1">
      <c r="A39" s="140" t="s">
        <v>229</v>
      </c>
      <c r="B39" s="141">
        <f t="shared" ref="B39:H39" si="0">ROUND(SUM(B25:B38),5)</f>
        <v>0</v>
      </c>
      <c r="C39" s="141">
        <f t="shared" si="0"/>
        <v>0</v>
      </c>
      <c r="D39" s="141">
        <f t="shared" si="0"/>
        <v>0</v>
      </c>
      <c r="E39" s="141">
        <f t="shared" si="0"/>
        <v>0</v>
      </c>
      <c r="F39" s="141">
        <f t="shared" si="0"/>
        <v>0</v>
      </c>
      <c r="G39" s="141">
        <f t="shared" si="0"/>
        <v>0</v>
      </c>
      <c r="H39" s="141">
        <f t="shared" si="0"/>
        <v>1</v>
      </c>
      <c r="I39" s="142"/>
    </row>
    <row r="40" spans="1:10" ht="10.95" customHeight="1">
      <c r="A40" s="136"/>
      <c r="B40" s="129"/>
      <c r="C40" s="129"/>
      <c r="D40" s="129"/>
      <c r="E40" s="129"/>
      <c r="F40" s="144" t="s">
        <v>230</v>
      </c>
      <c r="G40" s="145" t="s">
        <v>231</v>
      </c>
      <c r="H40" s="146">
        <f>ROUND(SUM(B39:H39),5)</f>
        <v>1</v>
      </c>
    </row>
    <row r="41" spans="1:10" ht="10.95" customHeight="1">
      <c r="A41" s="136"/>
      <c r="B41" s="129"/>
      <c r="C41" s="129"/>
      <c r="D41" s="129"/>
      <c r="E41" s="147"/>
      <c r="F41" s="148"/>
      <c r="G41" s="149"/>
      <c r="H41" s="150"/>
      <c r="I41" s="147"/>
    </row>
    <row r="42" spans="1:10" ht="10.95" customHeight="1">
      <c r="A42" s="128" t="s">
        <v>232</v>
      </c>
      <c r="B42" s="128"/>
      <c r="C42" s="128"/>
      <c r="D42" s="128"/>
      <c r="E42" s="128"/>
      <c r="F42" s="128"/>
      <c r="G42" s="128"/>
      <c r="H42" s="128"/>
    </row>
    <row r="43" spans="1:10" ht="10.95" customHeight="1">
      <c r="A43" s="133"/>
      <c r="B43" s="151"/>
      <c r="C43" s="151"/>
      <c r="D43" s="151"/>
      <c r="E43" s="133" t="s">
        <v>215</v>
      </c>
      <c r="F43" s="133" t="s">
        <v>216</v>
      </c>
      <c r="G43" s="133" t="s">
        <v>217</v>
      </c>
      <c r="H43" s="133" t="s">
        <v>218</v>
      </c>
    </row>
    <row r="44" spans="1:10" ht="10.95" customHeight="1">
      <c r="A44" s="133" t="s">
        <v>219</v>
      </c>
      <c r="B44" s="133" t="s">
        <v>220</v>
      </c>
      <c r="C44" s="133" t="s">
        <v>221</v>
      </c>
      <c r="D44" s="133" t="s">
        <v>222</v>
      </c>
      <c r="E44" s="133" t="s">
        <v>223</v>
      </c>
      <c r="F44" s="133" t="s">
        <v>224</v>
      </c>
      <c r="G44" s="133" t="s">
        <v>225</v>
      </c>
      <c r="H44" s="133" t="s">
        <v>226</v>
      </c>
    </row>
    <row r="45" spans="1:10" ht="10.95" customHeight="1">
      <c r="A45" s="133">
        <v>0</v>
      </c>
      <c r="B45" s="141">
        <f t="shared" ref="B45:H58" si="1">ROUND((+B6*B25),5)</f>
        <v>0</v>
      </c>
      <c r="C45" s="141">
        <f t="shared" si="1"/>
        <v>0</v>
      </c>
      <c r="D45" s="141">
        <f t="shared" si="1"/>
        <v>0</v>
      </c>
      <c r="E45" s="141">
        <f t="shared" si="1"/>
        <v>0</v>
      </c>
      <c r="F45" s="141">
        <f t="shared" si="1"/>
        <v>0</v>
      </c>
      <c r="G45" s="141">
        <f t="shared" si="1"/>
        <v>0</v>
      </c>
      <c r="H45" s="141">
        <f t="shared" si="1"/>
        <v>0</v>
      </c>
      <c r="I45" s="142"/>
      <c r="J45" s="136"/>
    </row>
    <row r="46" spans="1:10" ht="10.95" customHeight="1">
      <c r="A46" s="133">
        <v>1</v>
      </c>
      <c r="B46" s="141">
        <f t="shared" si="1"/>
        <v>0</v>
      </c>
      <c r="C46" s="141">
        <f t="shared" si="1"/>
        <v>0</v>
      </c>
      <c r="D46" s="141">
        <f t="shared" si="1"/>
        <v>0</v>
      </c>
      <c r="E46" s="141">
        <f t="shared" si="1"/>
        <v>0</v>
      </c>
      <c r="F46" s="141">
        <f t="shared" si="1"/>
        <v>0</v>
      </c>
      <c r="G46" s="141">
        <f t="shared" si="1"/>
        <v>0</v>
      </c>
      <c r="H46" s="141">
        <f t="shared" si="1"/>
        <v>0</v>
      </c>
      <c r="I46" s="142"/>
      <c r="J46" s="136"/>
    </row>
    <row r="47" spans="1:10" ht="10.95" customHeight="1">
      <c r="A47" s="133">
        <v>2</v>
      </c>
      <c r="B47" s="141">
        <f t="shared" si="1"/>
        <v>0</v>
      </c>
      <c r="C47" s="141">
        <f t="shared" si="1"/>
        <v>0</v>
      </c>
      <c r="D47" s="141">
        <f t="shared" si="1"/>
        <v>0</v>
      </c>
      <c r="E47" s="141">
        <f t="shared" si="1"/>
        <v>0</v>
      </c>
      <c r="F47" s="141">
        <f t="shared" si="1"/>
        <v>0</v>
      </c>
      <c r="G47" s="141">
        <f t="shared" si="1"/>
        <v>0</v>
      </c>
      <c r="H47" s="141">
        <f t="shared" si="1"/>
        <v>0</v>
      </c>
      <c r="I47" s="142"/>
      <c r="J47" s="136"/>
    </row>
    <row r="48" spans="1:10" ht="10.95" customHeight="1">
      <c r="A48" s="133">
        <v>3</v>
      </c>
      <c r="B48" s="141">
        <f t="shared" si="1"/>
        <v>0</v>
      </c>
      <c r="C48" s="141">
        <f t="shared" si="1"/>
        <v>0</v>
      </c>
      <c r="D48" s="141">
        <f t="shared" si="1"/>
        <v>0</v>
      </c>
      <c r="E48" s="141">
        <f t="shared" si="1"/>
        <v>0</v>
      </c>
      <c r="F48" s="141">
        <f t="shared" si="1"/>
        <v>0</v>
      </c>
      <c r="G48" s="141">
        <f t="shared" si="1"/>
        <v>0</v>
      </c>
      <c r="H48" s="141">
        <f t="shared" si="1"/>
        <v>0</v>
      </c>
      <c r="I48" s="142"/>
      <c r="J48" s="136"/>
    </row>
    <row r="49" spans="1:10" ht="10.95" customHeight="1">
      <c r="A49" s="133">
        <v>4</v>
      </c>
      <c r="B49" s="141">
        <f t="shared" si="1"/>
        <v>0</v>
      </c>
      <c r="C49" s="141">
        <f t="shared" si="1"/>
        <v>0</v>
      </c>
      <c r="D49" s="141">
        <f t="shared" si="1"/>
        <v>0</v>
      </c>
      <c r="E49" s="141">
        <f t="shared" si="1"/>
        <v>0</v>
      </c>
      <c r="F49" s="141">
        <f t="shared" si="1"/>
        <v>0</v>
      </c>
      <c r="G49" s="141">
        <f t="shared" si="1"/>
        <v>0</v>
      </c>
      <c r="H49" s="141">
        <f t="shared" si="1"/>
        <v>0</v>
      </c>
      <c r="I49" s="142"/>
      <c r="J49" s="136"/>
    </row>
    <row r="50" spans="1:10" ht="10.95" customHeight="1">
      <c r="A50" s="133">
        <v>5</v>
      </c>
      <c r="B50" s="141">
        <f t="shared" si="1"/>
        <v>0</v>
      </c>
      <c r="C50" s="141">
        <f t="shared" si="1"/>
        <v>0</v>
      </c>
      <c r="D50" s="141">
        <f t="shared" si="1"/>
        <v>0</v>
      </c>
      <c r="E50" s="141">
        <f t="shared" si="1"/>
        <v>0</v>
      </c>
      <c r="F50" s="141">
        <f t="shared" si="1"/>
        <v>0</v>
      </c>
      <c r="G50" s="141">
        <f t="shared" si="1"/>
        <v>0</v>
      </c>
      <c r="H50" s="141">
        <f t="shared" si="1"/>
        <v>0</v>
      </c>
      <c r="I50" s="142"/>
      <c r="J50" s="136"/>
    </row>
    <row r="51" spans="1:10" ht="10.95" customHeight="1">
      <c r="A51" s="133">
        <v>6</v>
      </c>
      <c r="B51" s="141">
        <f t="shared" si="1"/>
        <v>0</v>
      </c>
      <c r="C51" s="141">
        <f t="shared" si="1"/>
        <v>0</v>
      </c>
      <c r="D51" s="141">
        <f t="shared" si="1"/>
        <v>0</v>
      </c>
      <c r="E51" s="141">
        <f t="shared" si="1"/>
        <v>0</v>
      </c>
      <c r="F51" s="141">
        <f t="shared" si="1"/>
        <v>0</v>
      </c>
      <c r="G51" s="141">
        <f t="shared" si="1"/>
        <v>0</v>
      </c>
      <c r="H51" s="141">
        <f t="shared" si="1"/>
        <v>0</v>
      </c>
      <c r="I51" s="142"/>
      <c r="J51" s="136"/>
    </row>
    <row r="52" spans="1:10" ht="10.95" customHeight="1">
      <c r="A52" s="133">
        <v>7</v>
      </c>
      <c r="B52" s="141">
        <f t="shared" si="1"/>
        <v>0</v>
      </c>
      <c r="C52" s="141">
        <f t="shared" si="1"/>
        <v>0</v>
      </c>
      <c r="D52" s="141">
        <f t="shared" si="1"/>
        <v>0</v>
      </c>
      <c r="E52" s="141">
        <f t="shared" si="1"/>
        <v>0</v>
      </c>
      <c r="F52" s="141">
        <f t="shared" si="1"/>
        <v>0</v>
      </c>
      <c r="G52" s="141">
        <f t="shared" si="1"/>
        <v>0</v>
      </c>
      <c r="H52" s="141">
        <f t="shared" si="1"/>
        <v>1.6137999999999999</v>
      </c>
      <c r="I52" s="142"/>
      <c r="J52" s="136"/>
    </row>
    <row r="53" spans="1:10" ht="10.95" customHeight="1">
      <c r="A53" s="133">
        <v>8</v>
      </c>
      <c r="B53" s="141">
        <f t="shared" si="1"/>
        <v>0</v>
      </c>
      <c r="C53" s="141">
        <f t="shared" si="1"/>
        <v>0</v>
      </c>
      <c r="D53" s="141">
        <f t="shared" si="1"/>
        <v>0</v>
      </c>
      <c r="E53" s="141">
        <f t="shared" si="1"/>
        <v>0</v>
      </c>
      <c r="F53" s="141">
        <f t="shared" si="1"/>
        <v>0</v>
      </c>
      <c r="G53" s="141">
        <f t="shared" si="1"/>
        <v>0</v>
      </c>
      <c r="H53" s="141">
        <f t="shared" si="1"/>
        <v>0</v>
      </c>
      <c r="I53" s="142"/>
      <c r="J53" s="136"/>
    </row>
    <row r="54" spans="1:10" ht="10.95" customHeight="1">
      <c r="A54" s="133">
        <v>9</v>
      </c>
      <c r="B54" s="141">
        <f t="shared" si="1"/>
        <v>0</v>
      </c>
      <c r="C54" s="141">
        <f t="shared" si="1"/>
        <v>0</v>
      </c>
      <c r="D54" s="141">
        <f t="shared" si="1"/>
        <v>0</v>
      </c>
      <c r="E54" s="141">
        <f t="shared" si="1"/>
        <v>0</v>
      </c>
      <c r="F54" s="141">
        <f t="shared" si="1"/>
        <v>0</v>
      </c>
      <c r="G54" s="141">
        <f t="shared" si="1"/>
        <v>0</v>
      </c>
      <c r="H54" s="141">
        <f t="shared" si="1"/>
        <v>0</v>
      </c>
      <c r="I54" s="142"/>
      <c r="J54" s="136"/>
    </row>
    <row r="55" spans="1:10" ht="10.95" customHeight="1">
      <c r="A55" s="133">
        <v>10</v>
      </c>
      <c r="B55" s="141">
        <f t="shared" si="1"/>
        <v>0</v>
      </c>
      <c r="C55" s="141">
        <f t="shared" si="1"/>
        <v>0</v>
      </c>
      <c r="D55" s="141">
        <f t="shared" si="1"/>
        <v>0</v>
      </c>
      <c r="E55" s="141">
        <f t="shared" si="1"/>
        <v>0</v>
      </c>
      <c r="F55" s="141">
        <f t="shared" si="1"/>
        <v>0</v>
      </c>
      <c r="G55" s="141">
        <f t="shared" si="1"/>
        <v>0</v>
      </c>
      <c r="H55" s="141">
        <f t="shared" si="1"/>
        <v>0</v>
      </c>
      <c r="I55" s="142"/>
      <c r="J55" s="136"/>
    </row>
    <row r="56" spans="1:10" ht="10.95" customHeight="1">
      <c r="A56" s="133">
        <v>11</v>
      </c>
      <c r="B56" s="141">
        <f t="shared" si="1"/>
        <v>0</v>
      </c>
      <c r="C56" s="141">
        <f t="shared" si="1"/>
        <v>0</v>
      </c>
      <c r="D56" s="141">
        <f t="shared" si="1"/>
        <v>0</v>
      </c>
      <c r="E56" s="141">
        <f t="shared" si="1"/>
        <v>0</v>
      </c>
      <c r="F56" s="141">
        <f t="shared" si="1"/>
        <v>0</v>
      </c>
      <c r="G56" s="141">
        <f t="shared" si="1"/>
        <v>0</v>
      </c>
      <c r="H56" s="141">
        <f t="shared" si="1"/>
        <v>0</v>
      </c>
      <c r="I56" s="142"/>
      <c r="J56" s="136"/>
    </row>
    <row r="57" spans="1:10" ht="10.95" customHeight="1">
      <c r="A57" s="133">
        <v>12</v>
      </c>
      <c r="B57" s="141">
        <f t="shared" si="1"/>
        <v>0</v>
      </c>
      <c r="C57" s="141">
        <f t="shared" si="1"/>
        <v>0</v>
      </c>
      <c r="D57" s="141">
        <f t="shared" si="1"/>
        <v>0</v>
      </c>
      <c r="E57" s="141">
        <f t="shared" si="1"/>
        <v>0</v>
      </c>
      <c r="F57" s="141">
        <f t="shared" si="1"/>
        <v>0</v>
      </c>
      <c r="G57" s="141">
        <f t="shared" si="1"/>
        <v>0</v>
      </c>
      <c r="H57" s="141">
        <f t="shared" si="1"/>
        <v>0</v>
      </c>
      <c r="I57" s="142"/>
      <c r="J57" s="136"/>
    </row>
    <row r="58" spans="1:10" ht="10.95" customHeight="1">
      <c r="A58" s="133" t="s">
        <v>227</v>
      </c>
      <c r="B58" s="141">
        <f t="shared" si="1"/>
        <v>0</v>
      </c>
      <c r="C58" s="141">
        <f t="shared" si="1"/>
        <v>0</v>
      </c>
      <c r="D58" s="141">
        <f t="shared" si="1"/>
        <v>0</v>
      </c>
      <c r="E58" s="141">
        <f t="shared" si="1"/>
        <v>0</v>
      </c>
      <c r="F58" s="141">
        <f t="shared" si="1"/>
        <v>0</v>
      </c>
      <c r="G58" s="141">
        <f t="shared" si="1"/>
        <v>0</v>
      </c>
      <c r="H58" s="141">
        <f t="shared" si="1"/>
        <v>0</v>
      </c>
      <c r="I58" s="142"/>
      <c r="J58" s="136"/>
    </row>
    <row r="59" spans="1:10" s="153" customFormat="1" ht="10.95" customHeight="1">
      <c r="A59" s="133" t="s">
        <v>229</v>
      </c>
      <c r="B59" s="141">
        <f t="shared" ref="B59:H59" si="2">ROUND(SUM(B45:B58),5)</f>
        <v>0</v>
      </c>
      <c r="C59" s="141">
        <f t="shared" si="2"/>
        <v>0</v>
      </c>
      <c r="D59" s="141">
        <f t="shared" si="2"/>
        <v>0</v>
      </c>
      <c r="E59" s="141">
        <f t="shared" si="2"/>
        <v>0</v>
      </c>
      <c r="F59" s="141">
        <f t="shared" si="2"/>
        <v>0</v>
      </c>
      <c r="G59" s="141">
        <f t="shared" si="2"/>
        <v>0</v>
      </c>
      <c r="H59" s="141">
        <f t="shared" si="2"/>
        <v>1.6137999999999999</v>
      </c>
      <c r="I59" s="152"/>
    </row>
    <row r="60" spans="1:10" ht="16.95" customHeight="1">
      <c r="A60" s="136"/>
      <c r="B60" s="154"/>
      <c r="C60" s="154"/>
      <c r="D60" s="154"/>
      <c r="E60" s="154"/>
      <c r="F60" s="155" t="s">
        <v>233</v>
      </c>
      <c r="G60" s="156" t="s">
        <v>234</v>
      </c>
      <c r="H60" s="157">
        <f>ROUND(SUM(B59:H59),5)</f>
        <v>1.6137999999999999</v>
      </c>
    </row>
    <row r="61" spans="1:10" ht="10.95" customHeight="1">
      <c r="A61" s="136"/>
      <c r="B61" s="158"/>
      <c r="C61" s="158"/>
      <c r="D61" s="158"/>
      <c r="E61" s="158"/>
      <c r="F61" s="159" t="s">
        <v>235</v>
      </c>
      <c r="G61" s="160" t="s">
        <v>236</v>
      </c>
      <c r="H61" s="161">
        <f>IF(H40=0,0,ROUND(H60/H40,6))</f>
        <v>1.6137999999999999</v>
      </c>
    </row>
    <row r="62" spans="1:10" ht="10.95" customHeight="1">
      <c r="A62" s="136"/>
      <c r="B62" s="129"/>
      <c r="C62" s="129"/>
      <c r="D62" s="129"/>
      <c r="E62" s="129"/>
      <c r="F62" s="129"/>
      <c r="G62" s="129"/>
      <c r="H62" s="129"/>
    </row>
    <row r="63" spans="1:10" ht="10.95" customHeight="1">
      <c r="A63" s="162"/>
      <c r="B63" s="129"/>
      <c r="C63" s="129"/>
      <c r="D63" s="129"/>
      <c r="E63" s="129"/>
      <c r="F63" s="129"/>
      <c r="G63" s="129"/>
      <c r="H63" s="129"/>
    </row>
    <row r="64" spans="1:10" ht="10.95" customHeight="1">
      <c r="A64" s="162"/>
    </row>
    <row r="65" spans="1:1" ht="10.95" customHeight="1">
      <c r="A65" s="162"/>
    </row>
    <row r="66" spans="1:1" ht="10.95" customHeight="1">
      <c r="A66" s="162"/>
    </row>
    <row r="67" spans="1:1" ht="10.95" customHeight="1">
      <c r="A67" s="162"/>
    </row>
    <row r="68" spans="1:1" ht="10.95" customHeight="1">
      <c r="A68" s="162"/>
    </row>
    <row r="69" spans="1:1" ht="10.95" customHeight="1">
      <c r="A69" s="162"/>
    </row>
    <row r="70" spans="1:1" ht="10.95" customHeight="1">
      <c r="A70" s="162"/>
    </row>
    <row r="71" spans="1:1" ht="10.95" customHeight="1">
      <c r="A71" s="162"/>
    </row>
    <row r="72" spans="1:1" ht="10.95" customHeight="1">
      <c r="A72" s="162"/>
    </row>
    <row r="73" spans="1:1" ht="10.95" customHeight="1">
      <c r="A73" s="162"/>
    </row>
    <row r="74" spans="1:1" ht="10.95" customHeight="1">
      <c r="A74" s="162"/>
    </row>
    <row r="75" spans="1:1" ht="10.95" customHeight="1">
      <c r="A75" s="162"/>
    </row>
    <row r="76" spans="1:1" ht="10.95" customHeight="1">
      <c r="A76" s="162"/>
    </row>
    <row r="77" spans="1:1" ht="10.95" customHeight="1">
      <c r="A77" s="162"/>
    </row>
    <row r="78" spans="1:1" ht="10.95" customHeight="1">
      <c r="A78" s="162"/>
    </row>
    <row r="79" spans="1:1" ht="10.95" customHeight="1">
      <c r="A79" s="162"/>
    </row>
    <row r="80" spans="1:1" ht="10.95" customHeight="1">
      <c r="A80" s="162"/>
    </row>
    <row r="81" spans="1:1" ht="10.95" customHeight="1">
      <c r="A81" s="162"/>
    </row>
    <row r="82" spans="1:1" ht="10.95" customHeight="1">
      <c r="A82" s="162"/>
    </row>
    <row r="83" spans="1:1" ht="10.95" customHeight="1">
      <c r="A83" s="162"/>
    </row>
    <row r="84" spans="1:1" ht="10.95" customHeight="1">
      <c r="A84" s="162"/>
    </row>
    <row r="85" spans="1:1" ht="10.95" customHeight="1">
      <c r="A85" s="162"/>
    </row>
    <row r="86" spans="1:1" ht="10.95" customHeight="1">
      <c r="A86" s="162"/>
    </row>
    <row r="87" spans="1:1" ht="10.95" customHeight="1">
      <c r="A87" s="162"/>
    </row>
    <row r="88" spans="1:1" ht="10.95" customHeight="1">
      <c r="A88" s="162"/>
    </row>
    <row r="89" spans="1:1" ht="10.95" customHeight="1">
      <c r="A89" s="162"/>
    </row>
    <row r="90" spans="1:1" ht="10.95" customHeight="1">
      <c r="A90" s="162"/>
    </row>
    <row r="91" spans="1:1" ht="10.95" customHeight="1">
      <c r="A91" s="162"/>
    </row>
    <row r="92" spans="1:1" ht="10.95" customHeight="1">
      <c r="A92" s="162"/>
    </row>
    <row r="93" spans="1:1" ht="10.95" customHeight="1">
      <c r="A93" s="162"/>
    </row>
    <row r="94" spans="1:1" ht="10.95" customHeight="1">
      <c r="A94" s="162"/>
    </row>
    <row r="95" spans="1:1" ht="10.95" customHeight="1">
      <c r="A95" s="162"/>
    </row>
    <row r="96" spans="1:1" ht="10.95" customHeight="1">
      <c r="A96" s="162"/>
    </row>
    <row r="97" spans="1:1" ht="10.95" customHeight="1">
      <c r="A97" s="162"/>
    </row>
    <row r="98" spans="1:1" ht="10.95" customHeight="1">
      <c r="A98" s="162"/>
    </row>
    <row r="99" spans="1:1" ht="10.95" customHeight="1">
      <c r="A99" s="162"/>
    </row>
    <row r="100" spans="1:1" ht="10.95" customHeight="1">
      <c r="A100" s="162"/>
    </row>
    <row r="101" spans="1:1" ht="10.95" customHeight="1">
      <c r="A101" s="162"/>
    </row>
    <row r="102" spans="1:1" ht="10.95" customHeight="1">
      <c r="A102" s="162"/>
    </row>
    <row r="103" spans="1:1" ht="10.95" customHeight="1">
      <c r="A103" s="162"/>
    </row>
    <row r="104" spans="1:1" ht="10.95" customHeight="1">
      <c r="A104" s="162"/>
    </row>
    <row r="105" spans="1:1" ht="10.95" customHeight="1">
      <c r="A105" s="162"/>
    </row>
    <row r="106" spans="1:1" ht="10.95" customHeight="1">
      <c r="A106" s="162"/>
    </row>
    <row r="107" spans="1:1" ht="10.95" customHeight="1">
      <c r="A107" s="162"/>
    </row>
    <row r="108" spans="1:1" ht="10.95" customHeight="1">
      <c r="A108" s="162"/>
    </row>
    <row r="109" spans="1:1" ht="10.95" customHeight="1">
      <c r="A109" s="162"/>
    </row>
    <row r="110" spans="1:1" ht="10.95" customHeight="1">
      <c r="A110" s="162"/>
    </row>
    <row r="111" spans="1:1" ht="10.95" customHeight="1">
      <c r="A111" s="162"/>
    </row>
    <row r="112" spans="1:1" ht="10.95" customHeight="1">
      <c r="A112" s="162"/>
    </row>
    <row r="113" spans="1:1" ht="10.95" customHeight="1">
      <c r="A113" s="162"/>
    </row>
    <row r="114" spans="1:1" ht="10.95" customHeight="1">
      <c r="A114" s="162"/>
    </row>
    <row r="115" spans="1:1" ht="10.95" customHeight="1">
      <c r="A115" s="162"/>
    </row>
    <row r="116" spans="1:1" ht="10.95" customHeight="1">
      <c r="A116" s="162"/>
    </row>
    <row r="117" spans="1:1" ht="10.95" customHeight="1">
      <c r="A117" s="162"/>
    </row>
    <row r="118" spans="1:1" ht="10.95" customHeight="1">
      <c r="A118" s="162"/>
    </row>
    <row r="119" spans="1:1" ht="10.95" customHeight="1">
      <c r="A119" s="162"/>
    </row>
    <row r="120" spans="1:1" ht="10.95" customHeight="1">
      <c r="A120" s="162"/>
    </row>
    <row r="121" spans="1:1" ht="10.95" customHeight="1">
      <c r="A121" s="162"/>
    </row>
    <row r="122" spans="1:1" ht="10.95" customHeight="1">
      <c r="A122" s="162"/>
    </row>
    <row r="123" spans="1:1" ht="10.95" customHeight="1">
      <c r="A123" s="162"/>
    </row>
    <row r="124" spans="1:1" ht="10.95" customHeight="1">
      <c r="A124" s="162"/>
    </row>
    <row r="125" spans="1:1" ht="10.95" customHeight="1">
      <c r="A125" s="162"/>
    </row>
    <row r="126" spans="1:1" ht="10.95" customHeight="1">
      <c r="A126" s="162"/>
    </row>
    <row r="127" spans="1:1" ht="10.95" customHeight="1">
      <c r="A127" s="162"/>
    </row>
  </sheetData>
  <pageMargins left="0.7" right="0.7" top="0.75" bottom="0.75" header="0.3" footer="0.3"/>
  <pageSetup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14"/>
  <dimension ref="A1:M45"/>
  <sheetViews>
    <sheetView showGridLines="0" workbookViewId="0">
      <selection activeCell="A13" sqref="A13:A25"/>
    </sheetView>
  </sheetViews>
  <sheetFormatPr defaultColWidth="10.44140625" defaultRowHeight="13.2"/>
  <cols>
    <col min="1" max="1" width="11" style="268" customWidth="1"/>
    <col min="2" max="2" width="12.21875" style="268" customWidth="1"/>
    <col min="3" max="3" width="11.77734375" style="268" customWidth="1"/>
    <col min="4" max="4" width="16.77734375" style="268" customWidth="1"/>
    <col min="5" max="5" width="14.44140625" style="268" customWidth="1"/>
    <col min="6" max="6" width="12.77734375" style="268" customWidth="1"/>
    <col min="7" max="7" width="6.77734375" style="268" customWidth="1"/>
    <col min="8" max="9" width="5.77734375" style="268" customWidth="1"/>
    <col min="10" max="10" width="8.77734375" style="268" customWidth="1"/>
    <col min="11" max="11" width="7.21875" style="268" customWidth="1"/>
    <col min="12" max="12" width="10.44140625" style="272"/>
    <col min="13" max="13" width="13.5546875" style="268" customWidth="1"/>
    <col min="14" max="16384" width="10.44140625" style="268"/>
  </cols>
  <sheetData>
    <row r="1" spans="1:13" ht="13.8">
      <c r="A1" s="336"/>
      <c r="E1" s="181"/>
      <c r="F1" s="181"/>
      <c r="G1" s="181"/>
      <c r="H1" s="181"/>
      <c r="I1" s="181"/>
      <c r="J1" s="181"/>
      <c r="K1" s="181"/>
    </row>
    <row r="2" spans="1:13" s="333" customFormat="1" ht="19.2" customHeight="1">
      <c r="A2" s="335" t="s">
        <v>257</v>
      </c>
      <c r="B2" s="335"/>
      <c r="C2" s="268"/>
      <c r="D2" s="268"/>
      <c r="E2" s="181"/>
      <c r="F2" s="181"/>
      <c r="G2" s="181"/>
      <c r="H2" s="181"/>
      <c r="I2" s="181"/>
      <c r="J2" s="181"/>
      <c r="K2" s="181"/>
      <c r="L2" s="334"/>
    </row>
    <row r="3" spans="1:13" s="175" customFormat="1" ht="16.2" customHeight="1">
      <c r="A3" s="329">
        <v>1</v>
      </c>
      <c r="B3" s="332" t="s">
        <v>381</v>
      </c>
      <c r="C3" s="330"/>
      <c r="D3" s="329"/>
      <c r="E3" s="181"/>
      <c r="F3" s="181"/>
      <c r="G3" s="181"/>
      <c r="H3" s="181"/>
      <c r="I3" s="181"/>
      <c r="J3" s="181"/>
      <c r="K3" s="181"/>
      <c r="L3" s="275"/>
    </row>
    <row r="4" spans="1:13" s="175" customFormat="1" ht="16.2" customHeight="1">
      <c r="A4" s="329">
        <v>2</v>
      </c>
      <c r="B4" s="331" t="s">
        <v>380</v>
      </c>
      <c r="C4" s="330"/>
      <c r="D4" s="329"/>
      <c r="E4" s="181"/>
      <c r="F4" s="181"/>
      <c r="G4" s="181"/>
      <c r="H4" s="181"/>
      <c r="I4" s="181"/>
      <c r="J4" s="181"/>
      <c r="K4" s="181"/>
      <c r="L4" s="275"/>
    </row>
    <row r="5" spans="1:13" s="175" customFormat="1" ht="16.2" customHeight="1">
      <c r="A5" s="174">
        <v>3</v>
      </c>
      <c r="B5" s="331" t="s">
        <v>379</v>
      </c>
      <c r="C5" s="330"/>
      <c r="D5" s="329"/>
      <c r="E5" s="181"/>
      <c r="F5" s="181"/>
      <c r="G5" s="181"/>
      <c r="H5" s="181"/>
      <c r="I5" s="181"/>
      <c r="J5" s="181"/>
      <c r="K5" s="181"/>
      <c r="L5" s="275"/>
    </row>
    <row r="6" spans="1:13" s="175" customFormat="1" ht="16.2" customHeight="1">
      <c r="A6" s="174">
        <v>4</v>
      </c>
      <c r="B6" s="328" t="s">
        <v>378</v>
      </c>
      <c r="C6" s="327"/>
      <c r="D6" s="174"/>
      <c r="E6" s="181"/>
      <c r="F6" s="181"/>
      <c r="G6" s="181"/>
      <c r="H6" s="181"/>
      <c r="I6" s="181"/>
      <c r="J6" s="181"/>
      <c r="K6" s="181"/>
      <c r="L6" s="275"/>
    </row>
    <row r="7" spans="1:13" s="175" customFormat="1" ht="16.2" customHeight="1">
      <c r="A7" s="174">
        <v>5</v>
      </c>
      <c r="B7" s="326" t="s">
        <v>258</v>
      </c>
      <c r="C7" s="325"/>
      <c r="D7" s="324"/>
      <c r="E7" s="181"/>
      <c r="F7" s="181"/>
      <c r="G7" s="181"/>
      <c r="H7" s="181"/>
      <c r="I7" s="181"/>
      <c r="J7" s="181"/>
      <c r="K7" s="181"/>
      <c r="L7" s="275"/>
    </row>
    <row r="8" spans="1:13" s="175" customFormat="1" ht="12.6" customHeight="1">
      <c r="E8" s="181"/>
      <c r="F8" s="181"/>
      <c r="G8" s="181"/>
      <c r="H8" s="181"/>
      <c r="I8" s="181"/>
      <c r="L8" s="275"/>
    </row>
    <row r="9" spans="1:13" customFormat="1" ht="14.4"/>
    <row r="10" spans="1:13" customFormat="1" ht="14.4"/>
    <row r="11" spans="1:13" customFormat="1" ht="14.4"/>
    <row r="12" spans="1:13" s="177" customFormat="1" ht="43.95" customHeight="1">
      <c r="A12" s="320" t="s">
        <v>240</v>
      </c>
      <c r="B12" s="321" t="s">
        <v>377</v>
      </c>
      <c r="C12" s="320" t="s">
        <v>117</v>
      </c>
      <c r="D12" s="319" t="s">
        <v>376</v>
      </c>
      <c r="E12" s="181"/>
      <c r="F12" s="181"/>
      <c r="G12" s="181"/>
      <c r="H12" s="181"/>
      <c r="I12" s="181"/>
      <c r="L12" s="306"/>
    </row>
    <row r="13" spans="1:13" s="177" customFormat="1" ht="15" customHeight="1">
      <c r="A13" s="318" t="s">
        <v>241</v>
      </c>
      <c r="B13" s="317">
        <f>+'Master Budget Sheet'!AV146</f>
        <v>0</v>
      </c>
      <c r="C13" s="316">
        <f>+'Master Budget Sheet'!BO168</f>
        <v>53657</v>
      </c>
      <c r="D13" s="315">
        <f t="shared" ref="D13:D25" si="0">B13*C13</f>
        <v>0</v>
      </c>
      <c r="E13" s="181"/>
      <c r="F13" s="181"/>
      <c r="G13" s="181"/>
      <c r="H13" s="181"/>
      <c r="I13" s="181"/>
      <c r="L13" s="306"/>
    </row>
    <row r="14" spans="1:13" s="177" customFormat="1" ht="13.8">
      <c r="A14" s="312" t="s">
        <v>460</v>
      </c>
      <c r="B14" s="317">
        <f>+'Master Budget Sheet'!AV147</f>
        <v>0</v>
      </c>
      <c r="C14" s="303">
        <f>+'Master Budget Sheet'!BO169</f>
        <v>54783</v>
      </c>
      <c r="D14" s="313">
        <f t="shared" si="0"/>
        <v>0</v>
      </c>
      <c r="E14" s="181"/>
      <c r="F14" s="181"/>
      <c r="G14" s="181"/>
      <c r="H14" s="181"/>
      <c r="I14" s="181"/>
      <c r="L14" s="306"/>
    </row>
    <row r="15" spans="1:13" s="181" customFormat="1" ht="13.8">
      <c r="A15" s="314" t="s">
        <v>461</v>
      </c>
      <c r="B15" s="317">
        <f>+'Master Budget Sheet'!AV148</f>
        <v>0</v>
      </c>
      <c r="C15" s="303">
        <f>+'Master Budget Sheet'!BO170</f>
        <v>55908</v>
      </c>
      <c r="D15" s="313">
        <f t="shared" si="0"/>
        <v>0</v>
      </c>
      <c r="J15" s="177"/>
      <c r="K15" s="177"/>
      <c r="L15" s="306"/>
      <c r="M15" s="177"/>
    </row>
    <row r="16" spans="1:13" s="181" customFormat="1" ht="13.8">
      <c r="A16" s="312" t="s">
        <v>246</v>
      </c>
      <c r="B16" s="317">
        <f>+'Master Budget Sheet'!AV149</f>
        <v>0</v>
      </c>
      <c r="C16" s="303">
        <f>+'Master Budget Sheet'!BO171</f>
        <v>57034</v>
      </c>
      <c r="D16" s="313">
        <f t="shared" si="0"/>
        <v>0</v>
      </c>
      <c r="J16" s="177"/>
      <c r="K16" s="177"/>
      <c r="L16" s="306"/>
      <c r="M16" s="177"/>
    </row>
    <row r="17" spans="1:12" s="177" customFormat="1" ht="13.8">
      <c r="A17" s="312" t="s">
        <v>247</v>
      </c>
      <c r="B17" s="317">
        <f>+'Master Budget Sheet'!AV150</f>
        <v>0</v>
      </c>
      <c r="C17" s="303">
        <f>+'Master Budget Sheet'!BO172</f>
        <v>59005</v>
      </c>
      <c r="D17" s="313">
        <f t="shared" si="0"/>
        <v>0</v>
      </c>
      <c r="H17" s="181"/>
      <c r="I17" s="181"/>
      <c r="L17" s="306"/>
    </row>
    <row r="18" spans="1:12" s="177" customFormat="1" ht="13.8">
      <c r="A18" s="312" t="s">
        <v>248</v>
      </c>
      <c r="B18" s="317">
        <f>+'Master Budget Sheet'!AV151</f>
        <v>1</v>
      </c>
      <c r="C18" s="303">
        <f>+'Master Budget Sheet'!BO173</f>
        <v>60973</v>
      </c>
      <c r="D18" s="313">
        <f t="shared" si="0"/>
        <v>60973</v>
      </c>
      <c r="H18" s="181"/>
      <c r="I18" s="181"/>
      <c r="L18" s="306"/>
    </row>
    <row r="19" spans="1:12" s="177" customFormat="1" ht="13.8">
      <c r="A19" s="312" t="s">
        <v>249</v>
      </c>
      <c r="B19" s="317">
        <f>+'Master Budget Sheet'!AV152</f>
        <v>1.5</v>
      </c>
      <c r="C19" s="303">
        <f>+'Master Budget Sheet'!BO174</f>
        <v>62943</v>
      </c>
      <c r="D19" s="313">
        <f t="shared" si="0"/>
        <v>94414.5</v>
      </c>
      <c r="H19" s="181"/>
      <c r="I19" s="181"/>
      <c r="L19" s="306"/>
    </row>
    <row r="20" spans="1:12" s="177" customFormat="1" ht="13.95" customHeight="1">
      <c r="A20" s="312" t="s">
        <v>250</v>
      </c>
      <c r="B20" s="317">
        <f>+'Master Budget Sheet'!AV153</f>
        <v>3</v>
      </c>
      <c r="C20" s="303">
        <f>+'Master Budget Sheet'!BO175</f>
        <v>64913</v>
      </c>
      <c r="D20" s="313">
        <f t="shared" si="0"/>
        <v>194739</v>
      </c>
      <c r="E20" s="175"/>
      <c r="F20" s="175"/>
      <c r="G20" s="175"/>
      <c r="H20" s="181"/>
      <c r="I20" s="181"/>
      <c r="L20" s="306"/>
    </row>
    <row r="21" spans="1:12" s="177" customFormat="1" ht="13.8">
      <c r="A21" s="312" t="s">
        <v>440</v>
      </c>
      <c r="B21" s="317">
        <f>+'Master Budget Sheet'!AV154</f>
        <v>1.2</v>
      </c>
      <c r="C21" s="303">
        <f>+'Master Budget Sheet'!BO176</f>
        <v>68851</v>
      </c>
      <c r="D21" s="313">
        <f t="shared" si="0"/>
        <v>82621.2</v>
      </c>
      <c r="H21" s="181"/>
      <c r="I21" s="181"/>
      <c r="L21" s="306"/>
    </row>
    <row r="22" spans="1:12" s="177" customFormat="1" ht="13.8">
      <c r="A22" s="312" t="s">
        <v>441</v>
      </c>
      <c r="B22" s="317">
        <f>+'Master Budget Sheet'!AV155</f>
        <v>1.3</v>
      </c>
      <c r="C22" s="303">
        <f>+'Master Budget Sheet'!BO177</f>
        <v>71103</v>
      </c>
      <c r="D22" s="313">
        <f t="shared" si="0"/>
        <v>92433.900000000009</v>
      </c>
      <c r="H22" s="181"/>
      <c r="I22" s="181"/>
      <c r="L22" s="306"/>
    </row>
    <row r="23" spans="1:12" s="177" customFormat="1" ht="13.8">
      <c r="A23" s="312" t="s">
        <v>442</v>
      </c>
      <c r="B23" s="317">
        <f>+'Master Budget Sheet'!AV156</f>
        <v>1</v>
      </c>
      <c r="C23" s="303">
        <f>+'Master Budget Sheet'!BO178</f>
        <v>73354</v>
      </c>
      <c r="D23" s="313">
        <f t="shared" si="0"/>
        <v>73354</v>
      </c>
      <c r="H23" s="181"/>
      <c r="I23" s="181"/>
      <c r="L23" s="306"/>
    </row>
    <row r="24" spans="1:12" s="177" customFormat="1" ht="13.8">
      <c r="A24" s="312" t="s">
        <v>443</v>
      </c>
      <c r="B24" s="317">
        <f>+'Master Budget Sheet'!AV157</f>
        <v>2</v>
      </c>
      <c r="C24" s="303">
        <f>+'Master Budget Sheet'!BO179</f>
        <v>75605</v>
      </c>
      <c r="D24" s="313">
        <f t="shared" si="0"/>
        <v>151210</v>
      </c>
      <c r="H24" s="181"/>
      <c r="I24" s="181"/>
      <c r="L24" s="306"/>
    </row>
    <row r="25" spans="1:12" s="177" customFormat="1" ht="13.8">
      <c r="A25" s="312" t="s">
        <v>444</v>
      </c>
      <c r="B25" s="317">
        <f>+'Master Budget Sheet'!AV158</f>
        <v>6</v>
      </c>
      <c r="C25" s="303">
        <f>+'Master Budget Sheet'!BO180</f>
        <v>77856</v>
      </c>
      <c r="D25" s="311">
        <f t="shared" si="0"/>
        <v>467136</v>
      </c>
      <c r="H25" s="181"/>
      <c r="I25" s="181"/>
      <c r="L25" s="306"/>
    </row>
    <row r="26" spans="1:12" s="177" customFormat="1" ht="14.4" thickBot="1">
      <c r="A26" s="271" t="s">
        <v>375</v>
      </c>
      <c r="B26" s="310">
        <f>SUM(B13:B25)</f>
        <v>17</v>
      </c>
      <c r="D26" s="309" t="s">
        <v>374</v>
      </c>
      <c r="E26" s="308">
        <f>SUM(D13:D25)</f>
        <v>1216881.6000000001</v>
      </c>
      <c r="H26" s="181"/>
      <c r="I26" s="181"/>
      <c r="L26" s="306"/>
    </row>
    <row r="27" spans="1:12" s="177" customFormat="1" ht="14.4" thickTop="1">
      <c r="E27" s="307"/>
      <c r="H27" s="181"/>
      <c r="I27" s="181"/>
      <c r="L27" s="306"/>
    </row>
    <row r="28" spans="1:12" s="175" customFormat="1" ht="13.8">
      <c r="A28" s="283" t="s">
        <v>260</v>
      </c>
      <c r="B28" s="283"/>
      <c r="C28" s="275"/>
      <c r="D28" s="275"/>
      <c r="E28" s="300"/>
      <c r="F28" s="275"/>
      <c r="G28" s="275"/>
      <c r="H28" s="275"/>
      <c r="I28" s="275"/>
      <c r="J28" s="182"/>
      <c r="L28" s="275"/>
    </row>
    <row r="29" spans="1:12" s="175" customFormat="1" ht="21" customHeight="1">
      <c r="A29" s="286" t="s">
        <v>373</v>
      </c>
      <c r="B29" s="286"/>
      <c r="C29" s="286"/>
      <c r="D29" s="286"/>
      <c r="E29" s="300"/>
      <c r="F29" s="275"/>
      <c r="G29" s="275"/>
      <c r="H29" s="275"/>
      <c r="I29" s="275"/>
      <c r="L29" s="275"/>
    </row>
    <row r="30" spans="1:12" s="175" customFormat="1" ht="13.8">
      <c r="A30" s="286" t="s">
        <v>261</v>
      </c>
      <c r="B30" s="285" t="s">
        <v>168</v>
      </c>
      <c r="C30" s="283" t="s">
        <v>372</v>
      </c>
      <c r="D30" s="305" t="s">
        <v>259</v>
      </c>
      <c r="E30" s="290"/>
      <c r="F30" s="283"/>
      <c r="G30" s="283"/>
      <c r="H30" s="283"/>
      <c r="I30" s="283"/>
      <c r="L30" s="275"/>
    </row>
    <row r="31" spans="1:12" s="179" customFormat="1" ht="13.8">
      <c r="A31" s="304" t="s">
        <v>262</v>
      </c>
      <c r="B31" s="317">
        <f>+'Master Budget Sheet'!AV160</f>
        <v>3</v>
      </c>
      <c r="C31" s="303">
        <f>+'Master Budget Sheet'!BO182</f>
        <v>2000</v>
      </c>
      <c r="D31" s="302">
        <f>B31*C31</f>
        <v>6000</v>
      </c>
      <c r="E31" s="300"/>
      <c r="F31" s="275"/>
      <c r="G31" s="275"/>
      <c r="H31" s="275"/>
      <c r="I31" s="275"/>
      <c r="L31" s="275"/>
    </row>
    <row r="32" spans="1:12" s="175" customFormat="1" ht="13.8">
      <c r="A32" s="304" t="s">
        <v>263</v>
      </c>
      <c r="B32" s="317">
        <f>+'Master Budget Sheet'!AV161</f>
        <v>5</v>
      </c>
      <c r="C32" s="303">
        <f>+'Master Budget Sheet'!BO183</f>
        <v>3500</v>
      </c>
      <c r="D32" s="302">
        <f>B32*C32</f>
        <v>17500</v>
      </c>
      <c r="E32" s="300"/>
      <c r="F32" s="275"/>
      <c r="G32" s="275"/>
      <c r="H32" s="275"/>
      <c r="I32" s="275"/>
      <c r="L32" s="275"/>
    </row>
    <row r="33" spans="1:12" s="175" customFormat="1" ht="13.8">
      <c r="A33" s="275"/>
      <c r="C33" s="275"/>
      <c r="D33" s="279" t="s">
        <v>264</v>
      </c>
      <c r="E33" s="277">
        <f>SUM(D31:D32)</f>
        <v>23500</v>
      </c>
      <c r="F33" s="275"/>
      <c r="G33" s="275"/>
      <c r="H33" s="275"/>
      <c r="I33" s="275"/>
      <c r="L33" s="275"/>
    </row>
    <row r="34" spans="1:12" s="175" customFormat="1" ht="23.55" customHeight="1">
      <c r="A34" s="301" t="s">
        <v>362</v>
      </c>
      <c r="C34" s="275"/>
      <c r="D34" s="275"/>
      <c r="E34" s="300"/>
      <c r="F34" s="275"/>
      <c r="G34" s="275"/>
      <c r="H34" s="275"/>
      <c r="I34" s="275"/>
      <c r="L34" s="275"/>
    </row>
    <row r="35" spans="1:12" s="175" customFormat="1" ht="13.8">
      <c r="A35" s="299" t="s">
        <v>371</v>
      </c>
      <c r="B35" s="299"/>
      <c r="C35" s="298"/>
      <c r="D35" s="298"/>
      <c r="E35" s="297"/>
      <c r="F35" s="275"/>
      <c r="G35" s="275"/>
      <c r="H35" s="275"/>
      <c r="I35" s="275"/>
      <c r="J35" s="182"/>
      <c r="L35" s="275"/>
    </row>
    <row r="36" spans="1:12" s="175" customFormat="1" ht="25.2" customHeight="1">
      <c r="A36" s="1237" t="s">
        <v>370</v>
      </c>
      <c r="B36" s="1238"/>
      <c r="C36" s="1238"/>
      <c r="D36" s="1238"/>
      <c r="E36" s="1238"/>
      <c r="F36" s="275"/>
      <c r="G36" s="275"/>
      <c r="H36" s="275"/>
      <c r="I36" s="275"/>
      <c r="L36" s="275"/>
    </row>
    <row r="37" spans="1:12" s="175" customFormat="1" ht="13.8">
      <c r="A37" s="296" t="s">
        <v>235</v>
      </c>
      <c r="B37" s="294" t="s">
        <v>168</v>
      </c>
      <c r="C37" s="295" t="s">
        <v>369</v>
      </c>
      <c r="D37" s="294" t="s">
        <v>259</v>
      </c>
      <c r="E37" s="290"/>
      <c r="F37" s="283"/>
      <c r="G37" s="283"/>
      <c r="H37" s="283"/>
      <c r="I37" s="283"/>
      <c r="L37" s="275"/>
    </row>
    <row r="38" spans="1:12" s="175" customFormat="1" ht="13.8">
      <c r="A38" s="293" t="s">
        <v>368</v>
      </c>
      <c r="B38" s="317">
        <f>+'Master Budget Sheet'!AV162</f>
        <v>1</v>
      </c>
      <c r="C38" s="303">
        <f>+'Master Budget Sheet'!BO184</f>
        <v>3000</v>
      </c>
      <c r="D38" s="291">
        <f>B38*C38</f>
        <v>3000</v>
      </c>
      <c r="E38" s="290"/>
      <c r="F38" s="283"/>
      <c r="G38" s="283"/>
      <c r="H38" s="283"/>
      <c r="I38" s="283"/>
      <c r="L38" s="275"/>
    </row>
    <row r="39" spans="1:12" s="175" customFormat="1" ht="13.8">
      <c r="A39" s="286"/>
      <c r="B39" s="285"/>
      <c r="C39" s="289"/>
      <c r="D39" s="288" t="s">
        <v>367</v>
      </c>
      <c r="E39" s="287">
        <f>D38</f>
        <v>3000</v>
      </c>
      <c r="F39" s="283"/>
      <c r="G39" s="283"/>
      <c r="H39" s="283"/>
      <c r="I39" s="283"/>
      <c r="L39" s="275"/>
    </row>
    <row r="40" spans="1:12" s="175" customFormat="1" ht="13.8">
      <c r="A40" s="286"/>
      <c r="B40" s="285"/>
      <c r="C40" s="284"/>
      <c r="D40" s="279"/>
      <c r="E40" s="277"/>
      <c r="F40" s="283"/>
      <c r="G40" s="283"/>
      <c r="H40" s="283"/>
      <c r="I40" s="283"/>
      <c r="L40" s="275"/>
    </row>
    <row r="41" spans="1:12" ht="13.8">
      <c r="A41" s="175"/>
      <c r="B41" s="175"/>
      <c r="C41" s="282" t="s">
        <v>366</v>
      </c>
      <c r="D41" s="281"/>
      <c r="E41" s="280">
        <v>0</v>
      </c>
      <c r="F41" s="270" t="s">
        <v>365</v>
      </c>
      <c r="G41" s="270"/>
      <c r="H41" s="270"/>
      <c r="I41" s="175"/>
      <c r="J41" s="175"/>
      <c r="K41" s="175"/>
      <c r="L41" s="275"/>
    </row>
    <row r="42" spans="1:12" s="175" customFormat="1" ht="13.8">
      <c r="A42" s="275"/>
      <c r="B42" s="275"/>
      <c r="C42" s="279" t="s">
        <v>364</v>
      </c>
      <c r="D42" s="278"/>
      <c r="E42" s="277">
        <f>SUM(E26:E41)</f>
        <v>1243381.6000000001</v>
      </c>
      <c r="F42" s="275"/>
      <c r="G42" s="275"/>
      <c r="H42" s="275"/>
      <c r="I42" s="275"/>
      <c r="L42" s="275"/>
    </row>
    <row r="43" spans="1:12" s="175" customFormat="1" ht="14.4" thickBot="1">
      <c r="A43" s="272"/>
      <c r="B43" s="272"/>
      <c r="D43" s="275" t="s">
        <v>363</v>
      </c>
      <c r="E43" s="276">
        <f>E42/B26</f>
        <v>73140.094117647066</v>
      </c>
      <c r="F43" s="275"/>
      <c r="G43" s="275"/>
      <c r="H43" s="275"/>
      <c r="I43" s="275"/>
      <c r="L43" s="275"/>
    </row>
    <row r="44" spans="1:12" s="175" customFormat="1" ht="15" customHeight="1" thickTop="1">
      <c r="A44" s="268"/>
      <c r="B44" s="268"/>
      <c r="L44" s="275"/>
    </row>
    <row r="45" spans="1:12" s="273" customFormat="1" ht="67.95" customHeight="1">
      <c r="A45"/>
      <c r="B45"/>
      <c r="C45"/>
      <c r="D45"/>
      <c r="E45"/>
      <c r="F45"/>
      <c r="L45" s="274"/>
    </row>
  </sheetData>
  <mergeCells count="1">
    <mergeCell ref="A36:E36"/>
  </mergeCells>
  <pageMargins left="0.75" right="0.25" top="0" bottom="0" header="0.3" footer="0.3"/>
  <pageSetup orientation="portrait" horizontalDpi="1800" verticalDpi="1800"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16">
    <tabColor rgb="FF002060"/>
    <pageSetUpPr fitToPage="1"/>
  </sheetPr>
  <dimension ref="A1:O56"/>
  <sheetViews>
    <sheetView topLeftCell="A19" workbookViewId="0">
      <selection activeCell="K29" sqref="K29:K43"/>
    </sheetView>
  </sheetViews>
  <sheetFormatPr defaultColWidth="10.44140625" defaultRowHeight="10.199999999999999"/>
  <cols>
    <col min="1" max="1" width="6.21875" style="185" customWidth="1"/>
    <col min="2" max="2" width="6.77734375" style="185" customWidth="1"/>
    <col min="3" max="3" width="7.44140625" style="185" customWidth="1"/>
    <col min="4" max="4" width="9.21875" style="185" customWidth="1"/>
    <col min="5" max="5" width="7.44140625" style="185" customWidth="1"/>
    <col min="6" max="6" width="8.5546875" style="185" customWidth="1"/>
    <col min="7" max="7" width="8.21875" style="185" customWidth="1"/>
    <col min="8" max="8" width="8.5546875" style="185" customWidth="1"/>
    <col min="9" max="9" width="1.44140625" style="185" customWidth="1"/>
    <col min="10" max="10" width="13.77734375" style="185" customWidth="1"/>
    <col min="11" max="11" width="11" style="185" customWidth="1"/>
    <col min="12" max="12" width="13.5546875" style="185" customWidth="1"/>
    <col min="13" max="14" width="12.77734375" style="185" customWidth="1"/>
    <col min="15" max="15" width="10.44140625" style="185"/>
    <col min="16" max="16" width="3.77734375" style="185" customWidth="1"/>
    <col min="17" max="16384" width="10.44140625" style="185"/>
  </cols>
  <sheetData>
    <row r="1" spans="1:13" s="455" customFormat="1" ht="18">
      <c r="E1" s="455" t="s">
        <v>400</v>
      </c>
      <c r="L1" s="456" t="s">
        <v>362</v>
      </c>
    </row>
    <row r="2" spans="1:13" s="172" customFormat="1" ht="18" customHeight="1">
      <c r="A2" s="172" t="s">
        <v>399</v>
      </c>
      <c r="C2" s="171"/>
    </row>
    <row r="3" spans="1:13" s="454" customFormat="1" ht="15" customHeight="1">
      <c r="A3" s="453" t="s">
        <v>398</v>
      </c>
      <c r="B3" s="1242" t="s">
        <v>397</v>
      </c>
      <c r="C3" s="1243"/>
      <c r="D3" s="1243"/>
      <c r="E3" s="1243"/>
      <c r="F3" s="1243"/>
      <c r="G3" s="173"/>
    </row>
    <row r="4" spans="1:13" s="454" customFormat="1" ht="31.95" customHeight="1">
      <c r="A4" s="453" t="s">
        <v>396</v>
      </c>
      <c r="B4" s="1242" t="s">
        <v>395</v>
      </c>
      <c r="C4" s="1243"/>
      <c r="D4" s="1243"/>
      <c r="E4" s="1243"/>
      <c r="F4" s="1243"/>
      <c r="G4" s="173"/>
    </row>
    <row r="5" spans="1:13" s="454" customFormat="1" ht="15" customHeight="1">
      <c r="A5" s="453" t="s">
        <v>394</v>
      </c>
      <c r="B5" s="1242" t="s">
        <v>237</v>
      </c>
      <c r="C5" s="1244"/>
      <c r="D5" s="1244"/>
      <c r="E5" s="1244"/>
      <c r="F5" s="1244"/>
      <c r="G5" s="173"/>
    </row>
    <row r="6" spans="1:13" ht="19.95" customHeight="1">
      <c r="A6" s="453" t="s">
        <v>393</v>
      </c>
      <c r="B6" s="452" t="s">
        <v>392</v>
      </c>
      <c r="C6" s="451"/>
      <c r="D6" s="451"/>
      <c r="E6" s="451"/>
      <c r="F6" s="451"/>
      <c r="G6" s="450"/>
    </row>
    <row r="9" spans="1:13" s="184" customFormat="1" ht="12">
      <c r="A9" s="371"/>
      <c r="B9" s="371"/>
      <c r="C9" s="371"/>
      <c r="D9" s="371"/>
      <c r="E9" s="371" t="s">
        <v>391</v>
      </c>
      <c r="F9" s="371"/>
      <c r="G9" s="371"/>
      <c r="H9" s="371"/>
      <c r="I9" s="371"/>
      <c r="J9" s="371"/>
      <c r="K9" s="371"/>
      <c r="L9" s="371"/>
      <c r="M9" s="371"/>
    </row>
    <row r="10" spans="1:13" s="421" customFormat="1" ht="12" customHeight="1">
      <c r="A10" s="449" t="s">
        <v>390</v>
      </c>
      <c r="B10" s="170"/>
      <c r="C10" s="170"/>
      <c r="D10" s="448"/>
      <c r="E10" s="374" t="s">
        <v>215</v>
      </c>
      <c r="F10" s="374" t="s">
        <v>216</v>
      </c>
      <c r="G10" s="374" t="s">
        <v>217</v>
      </c>
      <c r="H10" s="374" t="s">
        <v>218</v>
      </c>
      <c r="I10" s="444"/>
      <c r="J10" s="445" t="s">
        <v>304</v>
      </c>
      <c r="K10" s="445" t="s">
        <v>238</v>
      </c>
      <c r="L10" s="447" t="s">
        <v>386</v>
      </c>
      <c r="M10" s="446"/>
    </row>
    <row r="11" spans="1:13" s="421" customFormat="1" ht="24.6" customHeight="1">
      <c r="A11" s="166" t="s">
        <v>239</v>
      </c>
      <c r="B11" s="374" t="s">
        <v>220</v>
      </c>
      <c r="C11" s="374" t="s">
        <v>221</v>
      </c>
      <c r="D11" s="374" t="s">
        <v>222</v>
      </c>
      <c r="E11" s="374" t="s">
        <v>223</v>
      </c>
      <c r="F11" s="374" t="s">
        <v>224</v>
      </c>
      <c r="G11" s="374" t="s">
        <v>225</v>
      </c>
      <c r="H11" s="374" t="s">
        <v>226</v>
      </c>
      <c r="I11" s="444"/>
      <c r="J11" s="167" t="s">
        <v>240</v>
      </c>
      <c r="K11" s="167" t="s">
        <v>169</v>
      </c>
      <c r="L11" s="445" t="s">
        <v>389</v>
      </c>
      <c r="M11" s="419"/>
    </row>
    <row r="12" spans="1:13" s="421" customFormat="1" ht="12">
      <c r="A12" s="164"/>
      <c r="B12" s="164"/>
      <c r="C12" s="164"/>
      <c r="D12" s="164"/>
      <c r="E12" s="164"/>
      <c r="F12" s="164"/>
      <c r="G12" s="164"/>
      <c r="H12" s="164"/>
      <c r="I12" s="444"/>
      <c r="J12" s="443" t="s">
        <v>241</v>
      </c>
      <c r="K12" s="443" t="s">
        <v>242</v>
      </c>
      <c r="L12" s="442">
        <v>33400</v>
      </c>
      <c r="M12" s="419"/>
    </row>
    <row r="13" spans="1:13" s="421" customFormat="1" ht="12">
      <c r="A13" s="166">
        <v>0</v>
      </c>
      <c r="B13" s="430" t="s">
        <v>243</v>
      </c>
      <c r="C13" s="430" t="s">
        <v>243</v>
      </c>
      <c r="D13" s="430" t="s">
        <v>243</v>
      </c>
      <c r="E13" s="430" t="s">
        <v>243</v>
      </c>
      <c r="F13" s="430" t="s">
        <v>243</v>
      </c>
      <c r="G13" s="430" t="s">
        <v>243</v>
      </c>
      <c r="H13" s="430" t="s">
        <v>243</v>
      </c>
      <c r="I13" s="165"/>
      <c r="J13" s="441"/>
      <c r="K13" s="440">
        <v>1</v>
      </c>
      <c r="L13" s="439"/>
      <c r="M13" s="419"/>
    </row>
    <row r="14" spans="1:13" s="421" customFormat="1" ht="12">
      <c r="A14" s="166">
        <v>1</v>
      </c>
      <c r="B14" s="430" t="s">
        <v>243</v>
      </c>
      <c r="C14" s="430" t="s">
        <v>243</v>
      </c>
      <c r="D14" s="430" t="s">
        <v>243</v>
      </c>
      <c r="E14" s="430" t="s">
        <v>243</v>
      </c>
      <c r="F14" s="430" t="s">
        <v>243</v>
      </c>
      <c r="G14" s="430" t="s">
        <v>243</v>
      </c>
      <c r="H14" s="430" t="s">
        <v>243</v>
      </c>
      <c r="I14" s="165"/>
      <c r="J14" s="438" t="s">
        <v>243</v>
      </c>
      <c r="K14" s="437" t="s">
        <v>244</v>
      </c>
      <c r="L14" s="436">
        <v>34250</v>
      </c>
      <c r="M14" s="419"/>
    </row>
    <row r="15" spans="1:13" s="421" customFormat="1" ht="12">
      <c r="A15" s="166">
        <v>2</v>
      </c>
      <c r="B15" s="430" t="s">
        <v>243</v>
      </c>
      <c r="C15" s="430" t="s">
        <v>243</v>
      </c>
      <c r="D15" s="430" t="s">
        <v>243</v>
      </c>
      <c r="E15" s="430" t="s">
        <v>243</v>
      </c>
      <c r="F15" s="430" t="s">
        <v>243</v>
      </c>
      <c r="G15" s="430" t="s">
        <v>243</v>
      </c>
      <c r="H15" s="430" t="s">
        <v>243</v>
      </c>
      <c r="I15" s="165"/>
      <c r="J15" s="168" t="s">
        <v>235</v>
      </c>
      <c r="K15" s="435">
        <v>1.3426</v>
      </c>
      <c r="L15" s="168"/>
      <c r="M15" s="419"/>
    </row>
    <row r="16" spans="1:13" s="421" customFormat="1" ht="12">
      <c r="A16" s="166">
        <v>3</v>
      </c>
      <c r="B16" s="430" t="s">
        <v>243</v>
      </c>
      <c r="C16" s="430" t="s">
        <v>243</v>
      </c>
      <c r="D16" s="430" t="s">
        <v>243</v>
      </c>
      <c r="E16" s="430" t="s">
        <v>243</v>
      </c>
      <c r="F16" s="430" t="s">
        <v>243</v>
      </c>
      <c r="G16" s="430" t="s">
        <v>245</v>
      </c>
      <c r="H16" s="423" t="s">
        <v>245</v>
      </c>
      <c r="I16" s="165"/>
      <c r="J16" s="398" t="s">
        <v>245</v>
      </c>
      <c r="K16" s="434">
        <v>1.3929</v>
      </c>
      <c r="L16" s="398">
        <v>35117</v>
      </c>
      <c r="M16" s="419"/>
    </row>
    <row r="17" spans="1:13" s="421" customFormat="1" ht="12">
      <c r="A17" s="166">
        <v>4</v>
      </c>
      <c r="B17" s="430" t="s">
        <v>243</v>
      </c>
      <c r="C17" s="430" t="s">
        <v>243</v>
      </c>
      <c r="D17" s="430" t="s">
        <v>243</v>
      </c>
      <c r="E17" s="430" t="s">
        <v>243</v>
      </c>
      <c r="F17" s="430" t="s">
        <v>243</v>
      </c>
      <c r="G17" s="423" t="s">
        <v>245</v>
      </c>
      <c r="H17" s="391" t="s">
        <v>246</v>
      </c>
      <c r="I17" s="165"/>
      <c r="J17" s="391" t="s">
        <v>246</v>
      </c>
      <c r="K17" s="429">
        <v>1.4451000000000001</v>
      </c>
      <c r="L17" s="391">
        <v>37249</v>
      </c>
      <c r="M17" s="419"/>
    </row>
    <row r="18" spans="1:13" s="421" customFormat="1" ht="12">
      <c r="A18" s="166">
        <v>5</v>
      </c>
      <c r="B18" s="430" t="s">
        <v>243</v>
      </c>
      <c r="C18" s="430" t="s">
        <v>243</v>
      </c>
      <c r="D18" s="430" t="s">
        <v>243</v>
      </c>
      <c r="E18" s="430" t="s">
        <v>243</v>
      </c>
      <c r="F18" s="423" t="s">
        <v>245</v>
      </c>
      <c r="G18" s="391" t="s">
        <v>246</v>
      </c>
      <c r="H18" s="396" t="s">
        <v>247</v>
      </c>
      <c r="I18" s="165"/>
      <c r="J18" s="396" t="s">
        <v>247</v>
      </c>
      <c r="K18" s="433">
        <v>1.4993000000000001</v>
      </c>
      <c r="L18" s="396">
        <v>38758</v>
      </c>
      <c r="M18" s="419"/>
    </row>
    <row r="19" spans="1:13" s="421" customFormat="1" ht="12">
      <c r="A19" s="166">
        <v>6</v>
      </c>
      <c r="B19" s="430" t="s">
        <v>243</v>
      </c>
      <c r="C19" s="430" t="s">
        <v>243</v>
      </c>
      <c r="D19" s="430" t="s">
        <v>243</v>
      </c>
      <c r="E19" s="423" t="s">
        <v>245</v>
      </c>
      <c r="F19" s="391" t="s">
        <v>246</v>
      </c>
      <c r="G19" s="396" t="s">
        <v>247</v>
      </c>
      <c r="H19" s="395" t="s">
        <v>248</v>
      </c>
      <c r="I19" s="165"/>
      <c r="J19" s="395" t="s">
        <v>248</v>
      </c>
      <c r="K19" s="432">
        <v>1.5555000000000001</v>
      </c>
      <c r="L19" s="395">
        <v>39546</v>
      </c>
      <c r="M19" s="419"/>
    </row>
    <row r="20" spans="1:13" s="421" customFormat="1" ht="12">
      <c r="A20" s="166">
        <v>7</v>
      </c>
      <c r="B20" s="430" t="s">
        <v>243</v>
      </c>
      <c r="C20" s="430" t="s">
        <v>243</v>
      </c>
      <c r="D20" s="423" t="s">
        <v>245</v>
      </c>
      <c r="E20" s="391" t="s">
        <v>246</v>
      </c>
      <c r="F20" s="396" t="s">
        <v>247</v>
      </c>
      <c r="G20" s="395" t="s">
        <v>248</v>
      </c>
      <c r="H20" s="394" t="s">
        <v>249</v>
      </c>
      <c r="I20" s="165"/>
      <c r="J20" s="394" t="s">
        <v>249</v>
      </c>
      <c r="K20" s="431">
        <v>1.6137999999999999</v>
      </c>
      <c r="L20" s="394">
        <v>41113</v>
      </c>
      <c r="M20" s="419"/>
    </row>
    <row r="21" spans="1:13" s="421" customFormat="1" ht="12">
      <c r="A21" s="166">
        <v>8</v>
      </c>
      <c r="B21" s="430" t="s">
        <v>243</v>
      </c>
      <c r="C21" s="423" t="s">
        <v>245</v>
      </c>
      <c r="D21" s="391" t="s">
        <v>246</v>
      </c>
      <c r="E21" s="396" t="s">
        <v>247</v>
      </c>
      <c r="F21" s="395" t="s">
        <v>248</v>
      </c>
      <c r="G21" s="394" t="s">
        <v>249</v>
      </c>
      <c r="H21" s="427" t="s">
        <v>250</v>
      </c>
      <c r="I21" s="165"/>
      <c r="J21" s="391" t="s">
        <v>250</v>
      </c>
      <c r="K21" s="429">
        <v>1.6742999999999999</v>
      </c>
      <c r="L21" s="391">
        <v>41961</v>
      </c>
      <c r="M21" s="419"/>
    </row>
    <row r="22" spans="1:13" s="421" customFormat="1" ht="12">
      <c r="A22" s="166">
        <v>9</v>
      </c>
      <c r="B22" s="423" t="s">
        <v>245</v>
      </c>
      <c r="C22" s="391" t="s">
        <v>246</v>
      </c>
      <c r="D22" s="396" t="s">
        <v>247</v>
      </c>
      <c r="E22" s="395" t="s">
        <v>248</v>
      </c>
      <c r="F22" s="394" t="s">
        <v>249</v>
      </c>
      <c r="G22" s="427" t="s">
        <v>250</v>
      </c>
      <c r="H22" s="390" t="s">
        <v>251</v>
      </c>
      <c r="I22" s="165"/>
      <c r="J22" s="390" t="s">
        <v>251</v>
      </c>
      <c r="K22" s="428">
        <v>1.7371000000000001</v>
      </c>
      <c r="L22" s="390">
        <v>43591</v>
      </c>
      <c r="M22" s="419"/>
    </row>
    <row r="23" spans="1:13" s="421" customFormat="1" ht="12">
      <c r="A23" s="166">
        <v>10</v>
      </c>
      <c r="B23" s="423" t="s">
        <v>245</v>
      </c>
      <c r="C23" s="396" t="s">
        <v>247</v>
      </c>
      <c r="D23" s="395" t="s">
        <v>248</v>
      </c>
      <c r="E23" s="394" t="s">
        <v>249</v>
      </c>
      <c r="F23" s="427" t="s">
        <v>250</v>
      </c>
      <c r="G23" s="390" t="s">
        <v>251</v>
      </c>
      <c r="H23" s="391" t="s">
        <v>252</v>
      </c>
      <c r="I23" s="165"/>
      <c r="J23" s="388" t="s">
        <v>252</v>
      </c>
      <c r="K23" s="426">
        <v>1.8022</v>
      </c>
      <c r="L23" s="388">
        <v>44503</v>
      </c>
      <c r="M23" s="419"/>
    </row>
    <row r="24" spans="1:13" s="421" customFormat="1" ht="12">
      <c r="A24" s="166">
        <v>11</v>
      </c>
      <c r="B24" s="423" t="s">
        <v>245</v>
      </c>
      <c r="C24" s="396" t="s">
        <v>247</v>
      </c>
      <c r="D24" s="395" t="s">
        <v>248</v>
      </c>
      <c r="E24" s="394" t="s">
        <v>249</v>
      </c>
      <c r="F24" s="390" t="s">
        <v>251</v>
      </c>
      <c r="G24" s="391" t="s">
        <v>252</v>
      </c>
      <c r="H24" s="386" t="s">
        <v>253</v>
      </c>
      <c r="I24" s="165"/>
      <c r="J24" s="386" t="s">
        <v>253</v>
      </c>
      <c r="K24" s="425">
        <v>1.8697999999999999</v>
      </c>
      <c r="L24" s="386">
        <v>46201</v>
      </c>
      <c r="M24" s="419"/>
    </row>
    <row r="25" spans="1:13" s="421" customFormat="1" ht="12">
      <c r="A25" s="166">
        <v>12</v>
      </c>
      <c r="B25" s="423" t="s">
        <v>245</v>
      </c>
      <c r="C25" s="396" t="s">
        <v>247</v>
      </c>
      <c r="D25" s="395" t="s">
        <v>248</v>
      </c>
      <c r="E25" s="394" t="s">
        <v>249</v>
      </c>
      <c r="F25" s="390" t="s">
        <v>251</v>
      </c>
      <c r="G25" s="386" t="s">
        <v>253</v>
      </c>
      <c r="H25" s="384" t="s">
        <v>254</v>
      </c>
      <c r="I25" s="165"/>
      <c r="J25" s="384" t="s">
        <v>254</v>
      </c>
      <c r="K25" s="424">
        <v>1.9399</v>
      </c>
      <c r="L25" s="384">
        <v>47183</v>
      </c>
      <c r="M25" s="419"/>
    </row>
    <row r="26" spans="1:13" s="421" customFormat="1" ht="12">
      <c r="A26" s="166" t="s">
        <v>255</v>
      </c>
      <c r="B26" s="423" t="s">
        <v>245</v>
      </c>
      <c r="C26" s="396" t="s">
        <v>247</v>
      </c>
      <c r="D26" s="395" t="s">
        <v>248</v>
      </c>
      <c r="E26" s="394" t="s">
        <v>249</v>
      </c>
      <c r="F26" s="390" t="s">
        <v>251</v>
      </c>
      <c r="G26" s="386" t="s">
        <v>253</v>
      </c>
      <c r="H26" s="376" t="s">
        <v>256</v>
      </c>
      <c r="I26" s="165"/>
      <c r="J26" s="376" t="s">
        <v>256</v>
      </c>
      <c r="K26" s="422">
        <v>2.0125999999999999</v>
      </c>
      <c r="L26" s="376">
        <v>48202</v>
      </c>
      <c r="M26" s="419"/>
    </row>
    <row r="27" spans="1:13" ht="6" customHeight="1">
      <c r="A27" s="420"/>
      <c r="B27" s="163"/>
      <c r="C27" s="163"/>
      <c r="D27" s="163"/>
      <c r="E27" s="163"/>
      <c r="F27" s="163"/>
      <c r="G27" s="163"/>
      <c r="H27" s="163"/>
      <c r="I27" s="163"/>
      <c r="J27" s="163"/>
      <c r="K27" s="163"/>
      <c r="L27" s="419"/>
      <c r="M27" s="419"/>
    </row>
    <row r="28" spans="1:13" ht="34.950000000000003" customHeight="1" thickBot="1">
      <c r="A28" s="169" t="s">
        <v>388</v>
      </c>
      <c r="B28" s="170"/>
      <c r="C28" s="418"/>
      <c r="D28" s="417"/>
      <c r="E28" s="374" t="s">
        <v>215</v>
      </c>
      <c r="F28" s="374" t="s">
        <v>216</v>
      </c>
      <c r="G28" s="374" t="s">
        <v>217</v>
      </c>
      <c r="H28" s="374" t="s">
        <v>218</v>
      </c>
      <c r="I28" s="163"/>
      <c r="J28" s="416" t="s">
        <v>387</v>
      </c>
      <c r="K28" s="414" t="s">
        <v>409</v>
      </c>
      <c r="L28" s="415" t="s">
        <v>410</v>
      </c>
      <c r="M28" s="414" t="s">
        <v>409</v>
      </c>
    </row>
    <row r="29" spans="1:13" ht="12.6" customHeight="1" thickBot="1">
      <c r="A29" s="166" t="s">
        <v>239</v>
      </c>
      <c r="B29" s="374" t="s">
        <v>220</v>
      </c>
      <c r="C29" s="374" t="s">
        <v>221</v>
      </c>
      <c r="D29" s="374" t="s">
        <v>222</v>
      </c>
      <c r="E29" s="374" t="s">
        <v>223</v>
      </c>
      <c r="F29" s="374" t="s">
        <v>224</v>
      </c>
      <c r="G29" s="374" t="s">
        <v>225</v>
      </c>
      <c r="H29" s="374" t="s">
        <v>226</v>
      </c>
      <c r="I29" s="163"/>
      <c r="J29" s="413" t="s">
        <v>265</v>
      </c>
      <c r="K29" s="316">
        <f>+'Master Budget Sheet'!BO168</f>
        <v>53657</v>
      </c>
      <c r="L29" s="411">
        <f>+'Master Budget Sheet'!AV174</f>
        <v>0</v>
      </c>
      <c r="M29" s="410">
        <f>K29*L29</f>
        <v>0</v>
      </c>
    </row>
    <row r="30" spans="1:13" s="405" customFormat="1" ht="15.6" customHeight="1" thickBot="1">
      <c r="A30" s="393">
        <v>0</v>
      </c>
      <c r="B30" s="392"/>
      <c r="C30" s="392"/>
      <c r="D30" s="392"/>
      <c r="E30" s="392"/>
      <c r="F30" s="392"/>
      <c r="G30" s="392"/>
      <c r="H30" s="392"/>
      <c r="I30" s="163"/>
      <c r="J30" s="409"/>
      <c r="K30" s="408"/>
      <c r="L30" s="407"/>
      <c r="M30" s="406"/>
    </row>
    <row r="31" spans="1:13" ht="12.6" thickBot="1">
      <c r="A31" s="393">
        <v>1</v>
      </c>
      <c r="B31" s="392"/>
      <c r="C31" s="392"/>
      <c r="D31" s="392"/>
      <c r="E31" s="392"/>
      <c r="F31" s="392"/>
      <c r="G31" s="392"/>
      <c r="H31" s="392"/>
      <c r="I31" s="163"/>
      <c r="J31" s="404" t="s">
        <v>243</v>
      </c>
      <c r="K31" s="403">
        <f>+'Master Budget Sheet'!BO169</f>
        <v>54783</v>
      </c>
      <c r="L31" s="411">
        <f>+'Master Budget Sheet'!AV175</f>
        <v>0</v>
      </c>
      <c r="M31" s="402">
        <f>K31*L31</f>
        <v>0</v>
      </c>
    </row>
    <row r="32" spans="1:13" ht="12.6" thickBot="1">
      <c r="A32" s="393">
        <v>2</v>
      </c>
      <c r="B32" s="392"/>
      <c r="C32" s="392"/>
      <c r="D32" s="392"/>
      <c r="E32" s="392"/>
      <c r="F32" s="392"/>
      <c r="G32" s="392"/>
      <c r="H32" s="392"/>
      <c r="I32" s="163"/>
      <c r="J32" s="400"/>
      <c r="K32" s="401"/>
      <c r="L32" s="400"/>
      <c r="M32" s="399"/>
    </row>
    <row r="33" spans="1:14" ht="12.6" thickBot="1">
      <c r="A33" s="393">
        <v>3</v>
      </c>
      <c r="B33" s="392"/>
      <c r="C33" s="392"/>
      <c r="D33" s="392"/>
      <c r="E33" s="392"/>
      <c r="F33" s="392"/>
      <c r="G33" s="392"/>
      <c r="H33" s="383"/>
      <c r="I33" s="163"/>
      <c r="J33" s="398" t="s">
        <v>245</v>
      </c>
      <c r="K33" s="398">
        <f>+'Master Budget Sheet'!BO170</f>
        <v>55908</v>
      </c>
      <c r="L33" s="411">
        <f>+'Master Budget Sheet'!AV176</f>
        <v>0</v>
      </c>
      <c r="M33" s="397">
        <f t="shared" ref="M33:M43" si="0">K33*L33</f>
        <v>0</v>
      </c>
    </row>
    <row r="34" spans="1:14" ht="12.6" thickBot="1">
      <c r="A34" s="393">
        <v>4</v>
      </c>
      <c r="B34" s="392"/>
      <c r="C34" s="392"/>
      <c r="D34" s="392"/>
      <c r="E34" s="392"/>
      <c r="F34" s="392"/>
      <c r="G34" s="383"/>
      <c r="H34" s="387"/>
      <c r="I34" s="163"/>
      <c r="J34" s="391" t="s">
        <v>246</v>
      </c>
      <c r="K34" s="391">
        <f>+'Master Budget Sheet'!BO171</f>
        <v>57034</v>
      </c>
      <c r="L34" s="411">
        <f>+'Master Budget Sheet'!AV177</f>
        <v>0</v>
      </c>
      <c r="M34" s="375">
        <f t="shared" si="0"/>
        <v>0</v>
      </c>
    </row>
    <row r="35" spans="1:14" ht="12.6" thickBot="1">
      <c r="A35" s="393">
        <v>5</v>
      </c>
      <c r="B35" s="392"/>
      <c r="C35" s="392"/>
      <c r="D35" s="392"/>
      <c r="E35" s="392"/>
      <c r="F35" s="383"/>
      <c r="G35" s="387"/>
      <c r="H35" s="382"/>
      <c r="I35" s="163"/>
      <c r="J35" s="396" t="s">
        <v>247</v>
      </c>
      <c r="K35" s="396">
        <f>+'Master Budget Sheet'!BO172</f>
        <v>59005</v>
      </c>
      <c r="L35" s="411">
        <f>+'Master Budget Sheet'!AV178</f>
        <v>0</v>
      </c>
      <c r="M35" s="375">
        <f t="shared" si="0"/>
        <v>0</v>
      </c>
    </row>
    <row r="36" spans="1:14" ht="12.6" thickBot="1">
      <c r="A36" s="393">
        <v>6</v>
      </c>
      <c r="B36" s="392"/>
      <c r="C36" s="392"/>
      <c r="D36" s="392"/>
      <c r="E36" s="383"/>
      <c r="F36" s="387"/>
      <c r="G36" s="382"/>
      <c r="H36" s="381"/>
      <c r="I36" s="163"/>
      <c r="J36" s="395" t="s">
        <v>248</v>
      </c>
      <c r="K36" s="395">
        <f>+'Master Budget Sheet'!BO173</f>
        <v>60973</v>
      </c>
      <c r="L36" s="411">
        <f>+'Master Budget Sheet'!AV179</f>
        <v>0</v>
      </c>
      <c r="M36" s="375">
        <f t="shared" si="0"/>
        <v>0</v>
      </c>
    </row>
    <row r="37" spans="1:14" ht="12.6" thickBot="1">
      <c r="A37" s="393">
        <v>7</v>
      </c>
      <c r="B37" s="392"/>
      <c r="C37" s="392"/>
      <c r="D37" s="383"/>
      <c r="E37" s="387"/>
      <c r="F37" s="382"/>
      <c r="G37" s="381"/>
      <c r="H37" s="380"/>
      <c r="I37" s="163"/>
      <c r="J37" s="394" t="s">
        <v>249</v>
      </c>
      <c r="K37" s="394">
        <f>+'Master Budget Sheet'!BO174</f>
        <v>62943</v>
      </c>
      <c r="L37" s="411">
        <f>+'Master Budget Sheet'!AV180</f>
        <v>0</v>
      </c>
      <c r="M37" s="375">
        <f t="shared" si="0"/>
        <v>0</v>
      </c>
    </row>
    <row r="38" spans="1:14" ht="12.6" thickBot="1">
      <c r="A38" s="393">
        <v>8</v>
      </c>
      <c r="B38" s="392"/>
      <c r="C38" s="383"/>
      <c r="D38" s="387"/>
      <c r="E38" s="382"/>
      <c r="F38" s="381"/>
      <c r="G38" s="380">
        <v>0</v>
      </c>
      <c r="H38" s="389"/>
      <c r="I38" s="163"/>
      <c r="J38" s="391" t="s">
        <v>250</v>
      </c>
      <c r="K38" s="391">
        <f>+'Master Budget Sheet'!BO175</f>
        <v>64913</v>
      </c>
      <c r="L38" s="411">
        <f>+'Master Budget Sheet'!AV181</f>
        <v>0</v>
      </c>
      <c r="M38" s="375">
        <f t="shared" si="0"/>
        <v>0</v>
      </c>
    </row>
    <row r="39" spans="1:14" ht="12.6" thickBot="1">
      <c r="A39" s="166">
        <v>9</v>
      </c>
      <c r="B39" s="383"/>
      <c r="C39" s="387"/>
      <c r="D39" s="382"/>
      <c r="E39" s="381"/>
      <c r="F39" s="380"/>
      <c r="G39" s="389"/>
      <c r="H39" s="379"/>
      <c r="I39" s="163"/>
      <c r="J39" s="390" t="s">
        <v>251</v>
      </c>
      <c r="K39" s="390">
        <f>+'Master Budget Sheet'!BO176</f>
        <v>68851</v>
      </c>
      <c r="L39" s="411">
        <f>+'Master Budget Sheet'!AV182</f>
        <v>0</v>
      </c>
      <c r="M39" s="375">
        <f t="shared" si="0"/>
        <v>0</v>
      </c>
    </row>
    <row r="40" spans="1:14" ht="12.6" thickBot="1">
      <c r="A40" s="166">
        <v>10</v>
      </c>
      <c r="B40" s="383"/>
      <c r="C40" s="382"/>
      <c r="D40" s="381"/>
      <c r="E40" s="380"/>
      <c r="F40" s="389"/>
      <c r="G40" s="379"/>
      <c r="H40" s="387"/>
      <c r="I40" s="163"/>
      <c r="J40" s="388" t="s">
        <v>252</v>
      </c>
      <c r="K40" s="388">
        <f>+'Master Budget Sheet'!BO177</f>
        <v>71103</v>
      </c>
      <c r="L40" s="411">
        <f>+'Master Budget Sheet'!AV183</f>
        <v>0</v>
      </c>
      <c r="M40" s="375">
        <f t="shared" si="0"/>
        <v>0</v>
      </c>
    </row>
    <row r="41" spans="1:14" ht="12.6" thickBot="1">
      <c r="A41" s="166">
        <v>11</v>
      </c>
      <c r="B41" s="383"/>
      <c r="C41" s="382"/>
      <c r="D41" s="381"/>
      <c r="E41" s="380"/>
      <c r="F41" s="379"/>
      <c r="G41" s="387"/>
      <c r="H41" s="378"/>
      <c r="I41" s="163"/>
      <c r="J41" s="386" t="s">
        <v>253</v>
      </c>
      <c r="K41" s="386">
        <f>+'Master Budget Sheet'!BO178</f>
        <v>73354</v>
      </c>
      <c r="L41" s="411">
        <f>+'Master Budget Sheet'!AV184</f>
        <v>1</v>
      </c>
      <c r="M41" s="375">
        <f t="shared" si="0"/>
        <v>73354</v>
      </c>
    </row>
    <row r="42" spans="1:14" ht="12.6" thickBot="1">
      <c r="A42" s="166">
        <v>12</v>
      </c>
      <c r="B42" s="383"/>
      <c r="C42" s="382"/>
      <c r="D42" s="381"/>
      <c r="E42" s="380"/>
      <c r="F42" s="379"/>
      <c r="G42" s="378"/>
      <c r="H42" s="385"/>
      <c r="I42" s="163"/>
      <c r="J42" s="384" t="s">
        <v>254</v>
      </c>
      <c r="K42" s="384">
        <f>+'Master Budget Sheet'!BO179</f>
        <v>75605</v>
      </c>
      <c r="L42" s="411">
        <f>+'Master Budget Sheet'!AV185</f>
        <v>0</v>
      </c>
      <c r="M42" s="375">
        <f t="shared" si="0"/>
        <v>0</v>
      </c>
    </row>
    <row r="43" spans="1:14" ht="12.6" thickBot="1">
      <c r="A43" s="166" t="s">
        <v>255</v>
      </c>
      <c r="B43" s="383"/>
      <c r="C43" s="382"/>
      <c r="D43" s="381"/>
      <c r="E43" s="380"/>
      <c r="F43" s="379"/>
      <c r="G43" s="378">
        <v>0</v>
      </c>
      <c r="H43" s="377"/>
      <c r="I43" s="163"/>
      <c r="J43" s="376" t="s">
        <v>256</v>
      </c>
      <c r="K43" s="376">
        <f>+'Master Budget Sheet'!BO180</f>
        <v>77856</v>
      </c>
      <c r="L43" s="411">
        <f>+'Master Budget Sheet'!AV186</f>
        <v>0</v>
      </c>
      <c r="M43" s="375">
        <f t="shared" si="0"/>
        <v>0</v>
      </c>
    </row>
    <row r="44" spans="1:14" s="184" customFormat="1" ht="12.6" thickBot="1">
      <c r="B44" s="163"/>
      <c r="C44" s="163"/>
      <c r="D44" s="163"/>
      <c r="E44" s="163"/>
      <c r="F44" s="163"/>
      <c r="G44" s="374" t="s">
        <v>53</v>
      </c>
      <c r="H44" s="373">
        <f>SUM(B30:H43)</f>
        <v>0</v>
      </c>
      <c r="I44" s="372"/>
      <c r="J44" s="371"/>
      <c r="K44" s="163"/>
      <c r="L44" s="370">
        <f>SUM(L29:L43)</f>
        <v>1</v>
      </c>
      <c r="M44" s="369">
        <f>SUM(M29:M43)</f>
        <v>73354</v>
      </c>
    </row>
    <row r="45" spans="1:14" ht="4.95" customHeight="1" thickTop="1" thickBot="1">
      <c r="A45" s="163"/>
      <c r="B45" s="163"/>
      <c r="C45" s="163"/>
      <c r="D45" s="163"/>
      <c r="E45" s="163"/>
      <c r="F45" s="163"/>
      <c r="G45" s="350"/>
      <c r="H45" s="163"/>
      <c r="I45" s="163"/>
      <c r="J45" s="163"/>
      <c r="K45" s="163"/>
      <c r="L45" s="163"/>
      <c r="M45" s="163"/>
    </row>
    <row r="46" spans="1:14" s="344" customFormat="1" ht="9.6" customHeight="1">
      <c r="A46" s="163"/>
      <c r="B46" s="163"/>
      <c r="C46" s="163"/>
      <c r="D46" s="163"/>
      <c r="E46" s="163"/>
      <c r="F46" s="163"/>
      <c r="G46" s="368"/>
      <c r="H46" s="163"/>
      <c r="J46" s="367" t="s">
        <v>260</v>
      </c>
      <c r="K46" s="366"/>
      <c r="L46" s="365"/>
      <c r="M46" s="364"/>
      <c r="N46" s="338"/>
    </row>
    <row r="47" spans="1:14" s="344" customFormat="1" ht="12">
      <c r="A47" s="163"/>
      <c r="B47" s="362"/>
      <c r="C47" s="362"/>
      <c r="D47" s="362"/>
      <c r="E47" s="362"/>
      <c r="F47" s="362"/>
      <c r="G47" s="350"/>
      <c r="H47" s="362"/>
      <c r="J47" s="348" t="s">
        <v>385</v>
      </c>
      <c r="K47" s="343"/>
      <c r="L47" s="343"/>
      <c r="M47" s="363"/>
      <c r="N47" s="338"/>
    </row>
    <row r="48" spans="1:14" s="356" customFormat="1" ht="12">
      <c r="A48" s="362"/>
      <c r="B48" s="163"/>
      <c r="C48" s="163"/>
      <c r="D48" s="163"/>
      <c r="E48" s="163"/>
      <c r="F48" s="163"/>
      <c r="G48" s="350"/>
      <c r="H48" s="163"/>
      <c r="J48" s="361" t="s">
        <v>261</v>
      </c>
      <c r="K48" s="360" t="s">
        <v>168</v>
      </c>
      <c r="L48" s="359" t="s">
        <v>372</v>
      </c>
      <c r="M48" s="358" t="s">
        <v>259</v>
      </c>
      <c r="N48" s="357"/>
    </row>
    <row r="49" spans="1:15" s="344" customFormat="1" ht="12">
      <c r="A49" s="163"/>
      <c r="B49" s="163"/>
      <c r="C49" s="163"/>
      <c r="D49" s="163"/>
      <c r="E49" s="163"/>
      <c r="F49" s="163"/>
      <c r="G49" s="350"/>
      <c r="H49" s="163"/>
      <c r="J49" s="355" t="s">
        <v>262</v>
      </c>
      <c r="K49" s="354">
        <f>+'Master Budget Sheet'!AV188</f>
        <v>1</v>
      </c>
      <c r="L49" s="353">
        <v>2000</v>
      </c>
      <c r="M49" s="352">
        <f>K49*L49</f>
        <v>2000</v>
      </c>
      <c r="N49" s="338"/>
    </row>
    <row r="50" spans="1:15" s="344" customFormat="1" ht="12">
      <c r="A50" s="163"/>
      <c r="B50" s="163"/>
      <c r="C50" s="163"/>
      <c r="D50" s="163"/>
      <c r="E50" s="163"/>
      <c r="F50" s="163"/>
      <c r="G50" s="350"/>
      <c r="H50" s="163"/>
      <c r="J50" s="355" t="s">
        <v>263</v>
      </c>
      <c r="K50" s="354">
        <f>+'Master Budget Sheet'!AV189</f>
        <v>1</v>
      </c>
      <c r="L50" s="353">
        <v>3500</v>
      </c>
      <c r="M50" s="352">
        <f>K50*L50</f>
        <v>3500</v>
      </c>
      <c r="N50" s="338"/>
    </row>
    <row r="51" spans="1:15" s="344" customFormat="1" ht="12">
      <c r="A51" s="163"/>
      <c r="B51" s="163"/>
      <c r="C51" s="163"/>
      <c r="D51" s="163"/>
      <c r="E51" s="163"/>
      <c r="F51" s="163"/>
      <c r="G51" s="350"/>
      <c r="H51" s="163"/>
      <c r="I51" s="343"/>
      <c r="J51" s="349"/>
      <c r="K51" s="351"/>
      <c r="L51" s="346" t="s">
        <v>264</v>
      </c>
      <c r="M51" s="345">
        <f>SUM(M49:M50)</f>
        <v>5500</v>
      </c>
      <c r="N51" s="338"/>
    </row>
    <row r="52" spans="1:15" s="344" customFormat="1" ht="13.8">
      <c r="A52" s="163"/>
      <c r="B52" s="163"/>
      <c r="C52" s="163"/>
      <c r="D52" s="163"/>
      <c r="E52" s="163"/>
      <c r="F52" s="163"/>
      <c r="G52" s="350"/>
      <c r="H52" s="163"/>
      <c r="I52" s="343"/>
      <c r="J52" s="349"/>
      <c r="K52" s="282" t="s">
        <v>366</v>
      </c>
      <c r="L52" s="346"/>
      <c r="M52" s="345"/>
      <c r="N52" s="270" t="s">
        <v>384</v>
      </c>
    </row>
    <row r="53" spans="1:15" s="344" customFormat="1" ht="12">
      <c r="A53" s="163"/>
      <c r="B53" s="163"/>
      <c r="C53" s="163"/>
      <c r="D53" s="163"/>
      <c r="E53" s="163"/>
      <c r="F53" s="163"/>
      <c r="G53" s="163"/>
      <c r="H53" s="163"/>
      <c r="I53" s="343"/>
      <c r="J53" s="348"/>
      <c r="K53" s="347"/>
      <c r="L53" s="346" t="s">
        <v>383</v>
      </c>
      <c r="M53" s="345">
        <f>M44+M51</f>
        <v>78854</v>
      </c>
      <c r="N53" s="338"/>
    </row>
    <row r="54" spans="1:15" ht="12.6" thickBot="1">
      <c r="A54" s="163"/>
      <c r="B54" s="163"/>
      <c r="C54" s="163"/>
      <c r="D54" s="163"/>
      <c r="E54" s="163"/>
      <c r="F54" s="163"/>
      <c r="G54" s="163"/>
      <c r="H54" s="163"/>
      <c r="I54" s="343"/>
      <c r="J54" s="342"/>
      <c r="K54" s="341"/>
      <c r="L54" s="340" t="s">
        <v>363</v>
      </c>
      <c r="M54" s="339">
        <f>IF(L44&gt;0, M53/L44,0)</f>
        <v>78854</v>
      </c>
      <c r="N54" s="338"/>
    </row>
    <row r="55" spans="1:15" ht="10.199999999999999" customHeight="1" thickBot="1">
      <c r="A55" s="163"/>
      <c r="I55" s="163"/>
      <c r="J55" s="163"/>
      <c r="K55" s="163"/>
      <c r="L55" s="163"/>
      <c r="M55" s="163"/>
    </row>
    <row r="56" spans="1:15" s="337" customFormat="1" ht="47.55" customHeight="1" thickBot="1">
      <c r="A56" s="1239" t="s">
        <v>382</v>
      </c>
      <c r="B56" s="1240"/>
      <c r="C56" s="1240"/>
      <c r="D56" s="1240"/>
      <c r="E56" s="1240"/>
      <c r="F56" s="1240"/>
      <c r="G56" s="1240"/>
      <c r="H56" s="1240"/>
      <c r="I56" s="1240"/>
      <c r="J56" s="1240"/>
      <c r="K56" s="1240"/>
      <c r="L56" s="1240"/>
      <c r="M56" s="1240"/>
      <c r="N56" s="1240"/>
      <c r="O56" s="1241"/>
    </row>
  </sheetData>
  <mergeCells count="4">
    <mergeCell ref="B3:F3"/>
    <mergeCell ref="B4:F4"/>
    <mergeCell ref="B5:F5"/>
    <mergeCell ref="A56:O56"/>
  </mergeCells>
  <pageMargins left="0.75" right="0.25" top="0" bottom="0" header="0.3" footer="0.3"/>
  <pageSetup scale="76" orientation="landscape"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118">
    <tabColor rgb="FFFFFF00"/>
    <pageSetUpPr fitToPage="1"/>
  </sheetPr>
  <dimension ref="C1:M27"/>
  <sheetViews>
    <sheetView showGridLines="0" zoomScale="85" workbookViewId="0">
      <selection activeCell="D22" sqref="D22"/>
    </sheetView>
  </sheetViews>
  <sheetFormatPr defaultColWidth="10.44140625" defaultRowHeight="13.2"/>
  <cols>
    <col min="1" max="2" width="5.44140625" style="260" customWidth="1"/>
    <col min="3" max="3" width="33.44140625" style="63" customWidth="1"/>
    <col min="4" max="4" width="24.5546875" style="64" customWidth="1"/>
    <col min="5" max="5" width="10.44140625" style="63"/>
    <col min="6" max="10" width="10.44140625" style="260"/>
    <col min="11" max="11" width="11.5546875" style="260" customWidth="1"/>
    <col min="12" max="12" width="12.44140625" style="260" customWidth="1"/>
    <col min="13" max="16384" width="10.44140625" style="260"/>
  </cols>
  <sheetData>
    <row r="1" spans="3:13" ht="13.8" thickBot="1"/>
    <row r="2" spans="3:13">
      <c r="C2" s="65"/>
      <c r="D2" s="66"/>
      <c r="E2" s="67"/>
      <c r="F2" s="267"/>
      <c r="G2" s="267"/>
      <c r="H2" s="267"/>
      <c r="I2" s="267"/>
      <c r="J2" s="267"/>
      <c r="K2" s="267"/>
      <c r="L2" s="267"/>
      <c r="M2" s="266"/>
    </row>
    <row r="3" spans="3:13">
      <c r="C3" s="68" t="s">
        <v>119</v>
      </c>
      <c r="D3" s="69"/>
      <c r="E3" s="70"/>
      <c r="F3" s="264"/>
      <c r="G3" s="264"/>
      <c r="H3" s="264"/>
      <c r="I3" s="264"/>
      <c r="J3" s="264"/>
      <c r="K3" s="264"/>
      <c r="M3" s="263"/>
    </row>
    <row r="4" spans="3:13">
      <c r="C4" s="68" t="s">
        <v>120</v>
      </c>
      <c r="D4" s="69"/>
      <c r="E4" s="70"/>
      <c r="F4" s="264"/>
      <c r="G4" s="264"/>
      <c r="H4" s="264"/>
      <c r="I4" s="264"/>
      <c r="J4" s="264"/>
      <c r="K4" s="264"/>
      <c r="M4" s="263"/>
    </row>
    <row r="5" spans="3:13">
      <c r="C5" s="68" t="s">
        <v>355</v>
      </c>
      <c r="D5" s="71"/>
      <c r="E5" s="72"/>
      <c r="F5" s="265"/>
      <c r="G5" s="265"/>
      <c r="H5" s="265"/>
      <c r="I5" s="264"/>
      <c r="J5" s="264"/>
      <c r="K5" s="264"/>
      <c r="M5" s="263"/>
    </row>
    <row r="6" spans="3:13">
      <c r="C6" s="68"/>
      <c r="D6" s="69"/>
      <c r="E6" s="70"/>
      <c r="F6" s="264"/>
      <c r="G6" s="264"/>
      <c r="H6" s="264"/>
      <c r="I6" s="264"/>
      <c r="J6" s="264"/>
      <c r="K6" s="264"/>
      <c r="M6" s="263"/>
    </row>
    <row r="7" spans="3:13" ht="25.05" customHeight="1">
      <c r="C7" s="73" t="s">
        <v>121</v>
      </c>
      <c r="D7" s="74"/>
      <c r="E7" s="64" t="s">
        <v>122</v>
      </c>
      <c r="M7" s="263"/>
    </row>
    <row r="8" spans="3:13" ht="25.05" customHeight="1">
      <c r="C8" s="73" t="s">
        <v>123</v>
      </c>
      <c r="D8" s="74"/>
      <c r="E8" s="64" t="s">
        <v>122</v>
      </c>
      <c r="M8" s="263"/>
    </row>
    <row r="9" spans="3:13" ht="25.05" customHeight="1">
      <c r="C9" s="73" t="s">
        <v>124</v>
      </c>
      <c r="D9" s="75">
        <f>+'Master Budget Sheet'!BB19</f>
        <v>20.329999999999998</v>
      </c>
      <c r="E9" s="64" t="s">
        <v>125</v>
      </c>
      <c r="M9" s="263"/>
    </row>
    <row r="10" spans="3:13" ht="25.05" customHeight="1">
      <c r="C10" s="76" t="s">
        <v>126</v>
      </c>
      <c r="D10" s="77" t="s">
        <v>127</v>
      </c>
      <c r="E10" s="78" t="s">
        <v>128</v>
      </c>
      <c r="M10" s="263"/>
    </row>
    <row r="11" spans="3:13" ht="25.05" customHeight="1">
      <c r="C11" s="73" t="s">
        <v>129</v>
      </c>
      <c r="D11" s="79">
        <f>'AdminIndex (8)'!H61</f>
        <v>1.6742999999999999</v>
      </c>
      <c r="E11" s="80" t="s">
        <v>130</v>
      </c>
      <c r="M11" s="263"/>
    </row>
    <row r="12" spans="3:13" ht="25.05" customHeight="1">
      <c r="C12" s="73" t="s">
        <v>131</v>
      </c>
      <c r="D12" s="81">
        <f>'Instructional fte (8)'!E43</f>
        <v>76915.688235294117</v>
      </c>
      <c r="E12" s="80" t="s">
        <v>353</v>
      </c>
      <c r="M12" s="263"/>
    </row>
    <row r="13" spans="3:13" ht="25.05" customHeight="1">
      <c r="C13" s="73" t="s">
        <v>354</v>
      </c>
      <c r="D13" s="269">
        <f>'Pupil Services fte (8)'!M54</f>
        <v>83373</v>
      </c>
      <c r="E13" s="80" t="s">
        <v>352</v>
      </c>
      <c r="M13" s="263"/>
    </row>
    <row r="14" spans="3:13" ht="25.05" customHeight="1">
      <c r="C14" s="73" t="s">
        <v>132</v>
      </c>
      <c r="D14" s="79">
        <f>'AdminIndex (8)'!H40</f>
        <v>1</v>
      </c>
      <c r="E14" s="80" t="s">
        <v>130</v>
      </c>
      <c r="M14" s="263"/>
    </row>
    <row r="15" spans="3:13" ht="22.2" customHeight="1">
      <c r="C15" s="73" t="s">
        <v>133</v>
      </c>
      <c r="D15" s="82">
        <f>'Instructional fte (8)'!B26</f>
        <v>17</v>
      </c>
      <c r="E15" s="80" t="s">
        <v>353</v>
      </c>
      <c r="M15" s="263"/>
    </row>
    <row r="16" spans="3:13" ht="25.05" customHeight="1">
      <c r="C16" s="73" t="s">
        <v>134</v>
      </c>
      <c r="D16" s="79">
        <f>'Pupil Services fte (8)'!L44</f>
        <v>1</v>
      </c>
      <c r="E16" s="80" t="s">
        <v>352</v>
      </c>
      <c r="M16" s="263"/>
    </row>
    <row r="17" spans="3:13" ht="25.05" customHeight="1">
      <c r="C17" s="73" t="s">
        <v>135</v>
      </c>
      <c r="D17" s="83">
        <f>+'Master Budget Sheet'!BA193</f>
        <v>12.1</v>
      </c>
      <c r="E17" s="64" t="s">
        <v>122</v>
      </c>
      <c r="M17" s="263"/>
    </row>
    <row r="18" spans="3:13" ht="25.05" customHeight="1">
      <c r="C18" s="73" t="s">
        <v>136</v>
      </c>
      <c r="D18" s="84">
        <f>+'Master Budget Sheet'!BB90</f>
        <v>214466</v>
      </c>
      <c r="E18" s="64" t="s">
        <v>122</v>
      </c>
      <c r="M18" s="263"/>
    </row>
    <row r="19" spans="3:13" ht="25.05" customHeight="1">
      <c r="C19" s="73" t="s">
        <v>137</v>
      </c>
      <c r="D19" s="84">
        <f>+'Master Budget Sheet'!BB163</f>
        <v>1264675.7109999999</v>
      </c>
      <c r="E19" s="64" t="s">
        <v>122</v>
      </c>
      <c r="M19" s="263"/>
    </row>
    <row r="20" spans="3:13" ht="25.05" customHeight="1">
      <c r="C20" s="73" t="s">
        <v>138</v>
      </c>
      <c r="D20" s="84">
        <f>+'Master Budget Sheet'!BB191</f>
        <v>82724.639999999999</v>
      </c>
      <c r="E20" s="64" t="s">
        <v>122</v>
      </c>
      <c r="M20" s="263"/>
    </row>
    <row r="21" spans="3:13" ht="25.05" customHeight="1">
      <c r="C21" s="73" t="s">
        <v>139</v>
      </c>
      <c r="D21" s="84">
        <f>+'Master Budget Sheet'!BB193</f>
        <v>321796</v>
      </c>
      <c r="E21" s="64" t="s">
        <v>122</v>
      </c>
      <c r="M21" s="263"/>
    </row>
    <row r="22" spans="3:13" ht="20.100000000000001" customHeight="1">
      <c r="C22" s="73" t="s">
        <v>140</v>
      </c>
      <c r="D22" s="85"/>
      <c r="M22" s="263"/>
    </row>
    <row r="23" spans="3:13" ht="20.100000000000001" customHeight="1">
      <c r="C23" s="86" t="s">
        <v>141</v>
      </c>
      <c r="M23" s="263"/>
    </row>
    <row r="24" spans="3:13" ht="20.100000000000001" customHeight="1">
      <c r="C24" s="87" t="s">
        <v>142</v>
      </c>
      <c r="M24" s="263"/>
    </row>
    <row r="25" spans="3:13" ht="20.100000000000001" customHeight="1">
      <c r="C25" s="87"/>
      <c r="M25" s="263"/>
    </row>
    <row r="26" spans="3:13" ht="20.100000000000001" customHeight="1">
      <c r="C26" s="73" t="s">
        <v>143</v>
      </c>
      <c r="M26" s="263"/>
    </row>
    <row r="27" spans="3:13" ht="13.8" thickBot="1">
      <c r="C27" s="88" t="s">
        <v>144</v>
      </c>
      <c r="D27" s="89"/>
      <c r="E27" s="90"/>
      <c r="F27" s="262"/>
      <c r="G27" s="262"/>
      <c r="H27" s="262"/>
      <c r="I27" s="262"/>
      <c r="J27" s="262"/>
      <c r="K27" s="262"/>
      <c r="L27" s="262"/>
      <c r="M27" s="261"/>
    </row>
  </sheetData>
  <printOptions horizontalCentered="1" verticalCentered="1"/>
  <pageMargins left="0.47" right="0.2" top="0.52" bottom="0.25" header="0.5" footer="0.22"/>
  <pageSetup scale="81" orientation="landscape"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119">
    <pageSetUpPr fitToPage="1"/>
  </sheetPr>
  <dimension ref="A1:AA53"/>
  <sheetViews>
    <sheetView zoomScale="70" zoomScaleNormal="70" workbookViewId="0">
      <selection activeCell="I12" sqref="I12"/>
    </sheetView>
  </sheetViews>
  <sheetFormatPr defaultColWidth="10.44140625" defaultRowHeight="13.8"/>
  <cols>
    <col min="1" max="1" width="8.21875" style="91" customWidth="1"/>
    <col min="2" max="2" width="4.44140625" style="91" customWidth="1"/>
    <col min="3" max="3" width="13.77734375" style="91" customWidth="1"/>
    <col min="4" max="4" width="2" style="91" customWidth="1"/>
    <col min="5" max="5" width="13.77734375" style="91" customWidth="1"/>
    <col min="6" max="6" width="2" style="91" customWidth="1"/>
    <col min="7" max="7" width="13.77734375" style="91" customWidth="1"/>
    <col min="8" max="8" width="1.21875" style="91" customWidth="1"/>
    <col min="9" max="9" width="13.77734375" style="91" customWidth="1"/>
    <col min="10" max="10" width="2.21875" style="91" customWidth="1"/>
    <col min="11" max="11" width="13.77734375" style="91" customWidth="1"/>
    <col min="12" max="12" width="1.21875" style="91" customWidth="1"/>
    <col min="13" max="13" width="14.77734375" style="91" customWidth="1"/>
    <col min="14" max="14" width="1.21875" style="91" customWidth="1"/>
    <col min="15" max="15" width="13.77734375" style="91" customWidth="1"/>
    <col min="16" max="16" width="1.21875" style="91" customWidth="1"/>
    <col min="17" max="17" width="13.77734375" style="91" customWidth="1"/>
    <col min="18" max="18" width="1.21875" style="91" customWidth="1"/>
    <col min="19" max="19" width="13.77734375" style="91" customWidth="1"/>
    <col min="20" max="20" width="1.21875" style="91" customWidth="1"/>
    <col min="21" max="21" width="13.77734375" style="91" customWidth="1"/>
    <col min="22" max="22" width="1.21875" style="91" customWidth="1"/>
    <col min="23" max="23" width="13.77734375" style="91" customWidth="1"/>
    <col min="24" max="24" width="1.21875" style="91" customWidth="1"/>
    <col min="25" max="25" width="13.77734375" style="91" customWidth="1"/>
    <col min="26" max="26" width="1.21875" style="91" customWidth="1"/>
    <col min="27" max="16384" width="10.44140625" style="91"/>
  </cols>
  <sheetData>
    <row r="1" spans="1:25">
      <c r="A1" s="1233"/>
      <c r="B1" s="1233"/>
      <c r="C1" s="1233"/>
      <c r="D1" s="1233"/>
      <c r="E1" s="1233"/>
      <c r="F1" s="1233"/>
      <c r="G1" s="1233"/>
      <c r="H1" s="1233"/>
      <c r="I1" s="1233"/>
      <c r="J1" s="1233"/>
      <c r="K1" s="1233"/>
      <c r="L1" s="1233"/>
      <c r="M1" s="1233"/>
      <c r="N1" s="1233"/>
      <c r="O1" s="1233"/>
      <c r="P1" s="1233"/>
      <c r="Q1" s="1233"/>
      <c r="R1" s="1233"/>
      <c r="S1" s="1233"/>
      <c r="T1" s="1233"/>
      <c r="U1" s="1233"/>
      <c r="V1" s="1233"/>
      <c r="W1" s="1233"/>
      <c r="X1" s="1233"/>
      <c r="Y1" s="1233"/>
    </row>
    <row r="2" spans="1:25">
      <c r="A2" s="1233" t="s">
        <v>145</v>
      </c>
      <c r="B2" s="1233"/>
      <c r="C2" s="1233"/>
      <c r="D2" s="1233"/>
      <c r="E2" s="1233"/>
      <c r="F2" s="1233"/>
      <c r="G2" s="1233"/>
      <c r="H2" s="1233"/>
      <c r="I2" s="1233"/>
      <c r="J2" s="1233"/>
      <c r="K2" s="1233"/>
      <c r="L2" s="1233"/>
      <c r="M2" s="1233"/>
      <c r="N2" s="1233"/>
      <c r="O2" s="1233"/>
      <c r="P2" s="1233"/>
      <c r="Q2" s="1233"/>
      <c r="R2" s="1233"/>
      <c r="S2" s="1233"/>
      <c r="T2" s="1233"/>
      <c r="U2" s="1233"/>
      <c r="V2" s="1233"/>
      <c r="W2" s="1233"/>
      <c r="X2" s="1233"/>
      <c r="Y2" s="1233"/>
    </row>
    <row r="3" spans="1:25">
      <c r="A3" s="1233" t="s">
        <v>146</v>
      </c>
      <c r="B3" s="1233"/>
      <c r="C3" s="1233"/>
      <c r="D3" s="1233"/>
      <c r="E3" s="1233"/>
      <c r="F3" s="1233"/>
      <c r="G3" s="1233"/>
      <c r="H3" s="1233"/>
      <c r="I3" s="1233"/>
      <c r="J3" s="1233"/>
      <c r="K3" s="1233"/>
      <c r="L3" s="1233"/>
      <c r="M3" s="1233"/>
      <c r="N3" s="1233"/>
      <c r="O3" s="1233"/>
      <c r="P3" s="1233"/>
      <c r="Q3" s="1233"/>
      <c r="R3" s="1233"/>
      <c r="S3" s="1233"/>
      <c r="T3" s="1233"/>
      <c r="U3" s="1233"/>
      <c r="V3" s="1233"/>
      <c r="W3" s="1233"/>
      <c r="X3" s="1233"/>
      <c r="Y3" s="1233"/>
    </row>
    <row r="4" spans="1:25">
      <c r="A4" s="1233" t="s">
        <v>147</v>
      </c>
      <c r="B4" s="1233"/>
      <c r="C4" s="1233"/>
      <c r="D4" s="1233"/>
      <c r="E4" s="1233"/>
      <c r="F4" s="1233"/>
      <c r="G4" s="1233"/>
      <c r="H4" s="1233"/>
      <c r="I4" s="1233"/>
      <c r="J4" s="1233"/>
      <c r="K4" s="1233"/>
      <c r="L4" s="1233"/>
      <c r="M4" s="1233"/>
      <c r="N4" s="1233"/>
      <c r="O4" s="1233"/>
      <c r="P4" s="1233"/>
      <c r="Q4" s="1233"/>
      <c r="R4" s="1233"/>
      <c r="S4" s="1233"/>
      <c r="T4" s="1233"/>
      <c r="U4" s="1233"/>
      <c r="V4" s="1233"/>
      <c r="W4" s="1233"/>
      <c r="X4" s="1233"/>
      <c r="Y4" s="1233"/>
    </row>
    <row r="5" spans="1:25">
      <c r="A5" s="91" t="s">
        <v>360</v>
      </c>
    </row>
    <row r="7" spans="1:25">
      <c r="A7" s="91" t="s">
        <v>148</v>
      </c>
      <c r="B7" s="92">
        <f>'Enter Data Elements (8)'!D7</f>
        <v>0</v>
      </c>
      <c r="C7" s="93">
        <f>'Enter Data Elements (8)'!D8</f>
        <v>0</v>
      </c>
      <c r="D7" s="94"/>
      <c r="E7" s="94"/>
    </row>
    <row r="9" spans="1:25">
      <c r="A9" s="91" t="s">
        <v>149</v>
      </c>
      <c r="P9" s="91" t="s">
        <v>150</v>
      </c>
      <c r="W9" s="94"/>
    </row>
    <row r="10" spans="1:25">
      <c r="A10" s="91" t="s">
        <v>151</v>
      </c>
      <c r="I10" s="95">
        <v>1.84399</v>
      </c>
      <c r="J10" s="95"/>
      <c r="P10" s="91" t="s">
        <v>151</v>
      </c>
      <c r="W10" s="96">
        <f>'Enter Data Elements (8)'!D11</f>
        <v>1.6742999999999999</v>
      </c>
    </row>
    <row r="11" spans="1:25">
      <c r="A11" s="91" t="s">
        <v>152</v>
      </c>
      <c r="I11" s="97">
        <v>1.86643</v>
      </c>
      <c r="J11" s="95"/>
      <c r="K11" s="98">
        <f>IF(I10&gt;I11,ROUND(I11/I10,4),1)</f>
        <v>1</v>
      </c>
      <c r="P11" s="91" t="s">
        <v>153</v>
      </c>
      <c r="W11" s="99">
        <f>W10*K11</f>
        <v>1.6742999999999999</v>
      </c>
    </row>
    <row r="12" spans="1:25">
      <c r="A12" s="91" t="s">
        <v>154</v>
      </c>
      <c r="I12" s="100">
        <f>0.0765+0.1738</f>
        <v>0.25030000000000002</v>
      </c>
      <c r="P12" s="91" t="s">
        <v>155</v>
      </c>
      <c r="W12" s="101">
        <f>'Enter Data Elements (8)'!D9</f>
        <v>20.329999999999998</v>
      </c>
    </row>
    <row r="13" spans="1:25">
      <c r="I13" s="97"/>
      <c r="J13" s="95"/>
      <c r="K13" s="98"/>
    </row>
    <row r="14" spans="1:25">
      <c r="J14" s="102"/>
      <c r="W14" s="103"/>
    </row>
    <row r="16" spans="1:25" ht="16.2" customHeight="1">
      <c r="C16" s="112" t="s">
        <v>156</v>
      </c>
      <c r="D16" s="112"/>
      <c r="E16" s="112" t="s">
        <v>156</v>
      </c>
      <c r="F16" s="112"/>
      <c r="G16" s="1234" t="s">
        <v>157</v>
      </c>
      <c r="H16" s="1235"/>
      <c r="I16" s="1236"/>
      <c r="J16" s="104"/>
      <c r="K16" s="112" t="s">
        <v>158</v>
      </c>
      <c r="L16" s="112"/>
      <c r="M16" s="112" t="s">
        <v>159</v>
      </c>
      <c r="N16" s="112"/>
      <c r="O16" s="112" t="s">
        <v>160</v>
      </c>
      <c r="P16" s="112"/>
      <c r="Q16" s="112" t="s">
        <v>156</v>
      </c>
      <c r="R16" s="112"/>
      <c r="S16" s="112" t="s">
        <v>156</v>
      </c>
      <c r="T16" s="112"/>
      <c r="U16" s="112" t="s">
        <v>161</v>
      </c>
      <c r="V16" s="112"/>
      <c r="W16" s="112" t="s">
        <v>162</v>
      </c>
      <c r="Y16" s="112" t="s">
        <v>163</v>
      </c>
    </row>
    <row r="17" spans="1:25">
      <c r="C17" s="112" t="s">
        <v>164</v>
      </c>
      <c r="D17" s="112"/>
      <c r="E17" s="112" t="s">
        <v>164</v>
      </c>
      <c r="F17" s="112"/>
      <c r="G17" s="104" t="s">
        <v>165</v>
      </c>
      <c r="H17" s="104"/>
      <c r="I17" s="104" t="s">
        <v>166</v>
      </c>
      <c r="J17" s="112"/>
      <c r="K17" s="112" t="s">
        <v>167</v>
      </c>
      <c r="L17" s="112"/>
      <c r="M17" s="112" t="s">
        <v>156</v>
      </c>
      <c r="N17" s="112"/>
      <c r="O17" s="112" t="s">
        <v>168</v>
      </c>
      <c r="P17" s="112"/>
      <c r="Q17" s="112" t="s">
        <v>164</v>
      </c>
      <c r="S17" s="112" t="s">
        <v>169</v>
      </c>
      <c r="U17" s="112" t="s">
        <v>170</v>
      </c>
      <c r="V17" s="112"/>
      <c r="W17" s="112" t="s">
        <v>170</v>
      </c>
      <c r="Y17" s="112" t="s">
        <v>171</v>
      </c>
    </row>
    <row r="18" spans="1:25">
      <c r="C18" s="112" t="s">
        <v>172</v>
      </c>
      <c r="E18" s="112" t="s">
        <v>168</v>
      </c>
      <c r="G18" s="112" t="s">
        <v>173</v>
      </c>
      <c r="H18" s="112"/>
      <c r="I18" s="112" t="s">
        <v>173</v>
      </c>
      <c r="K18" s="112" t="s">
        <v>164</v>
      </c>
      <c r="L18" s="112"/>
      <c r="M18" s="112" t="s">
        <v>164</v>
      </c>
      <c r="Q18" s="112" t="s">
        <v>168</v>
      </c>
      <c r="Y18" s="112" t="s">
        <v>174</v>
      </c>
    </row>
    <row r="19" spans="1:25">
      <c r="G19" s="112"/>
      <c r="I19" s="112"/>
      <c r="K19" s="112" t="s">
        <v>168</v>
      </c>
      <c r="L19" s="112"/>
      <c r="M19" s="112" t="s">
        <v>168</v>
      </c>
      <c r="Y19" s="112" t="s">
        <v>175</v>
      </c>
    </row>
    <row r="20" spans="1:25">
      <c r="E20" s="112" t="s">
        <v>176</v>
      </c>
      <c r="F20" s="112"/>
      <c r="L20" s="112"/>
      <c r="M20" s="112" t="s">
        <v>177</v>
      </c>
      <c r="Q20" s="105" t="s">
        <v>178</v>
      </c>
      <c r="W20" s="112" t="s">
        <v>179</v>
      </c>
      <c r="Y20" s="112" t="s">
        <v>180</v>
      </c>
    </row>
    <row r="21" spans="1:25">
      <c r="C21" s="112" t="s">
        <v>181</v>
      </c>
      <c r="D21" s="112"/>
      <c r="E21" s="112" t="s">
        <v>182</v>
      </c>
      <c r="F21" s="112"/>
      <c r="G21" s="112" t="s">
        <v>183</v>
      </c>
      <c r="H21" s="112"/>
      <c r="I21" s="112" t="s">
        <v>184</v>
      </c>
      <c r="J21" s="112"/>
      <c r="K21" s="112" t="s">
        <v>185</v>
      </c>
      <c r="L21" s="112"/>
      <c r="M21" s="112" t="s">
        <v>186</v>
      </c>
      <c r="N21" s="112"/>
      <c r="O21" s="112" t="s">
        <v>187</v>
      </c>
      <c r="P21" s="112"/>
      <c r="Q21" s="112" t="s">
        <v>188</v>
      </c>
      <c r="R21" s="112"/>
      <c r="S21" s="104" t="str">
        <f>LOWER("I")</f>
        <v>i</v>
      </c>
      <c r="T21" s="112"/>
      <c r="U21" s="112" t="s">
        <v>189</v>
      </c>
      <c r="V21" s="112"/>
      <c r="W21" s="112" t="s">
        <v>190</v>
      </c>
      <c r="X21" s="112"/>
      <c r="Y21" s="112" t="s">
        <v>191</v>
      </c>
    </row>
    <row r="22" spans="1:25">
      <c r="O22" s="94"/>
    </row>
    <row r="23" spans="1:25">
      <c r="A23" s="91" t="s">
        <v>192</v>
      </c>
      <c r="C23" s="106">
        <v>7.4999999999999997E-2</v>
      </c>
      <c r="D23" s="107"/>
      <c r="E23" s="108">
        <f>$W$12*C23</f>
        <v>1.5247499999999998</v>
      </c>
      <c r="G23" s="109"/>
      <c r="I23" s="109"/>
      <c r="K23" s="109"/>
      <c r="M23" s="108">
        <f>E23+G23</f>
        <v>1.5247499999999998</v>
      </c>
      <c r="O23" s="96">
        <f>'Enter Data Elements (8)'!D14</f>
        <v>1</v>
      </c>
      <c r="Q23" s="108">
        <f>M23</f>
        <v>1.5247499999999998</v>
      </c>
      <c r="S23" s="108">
        <f>W11</f>
        <v>1.6742999999999999</v>
      </c>
      <c r="U23" s="110">
        <f>+'Master Budget Sheet'!BB13</f>
        <v>51525</v>
      </c>
      <c r="W23" s="111">
        <f>S23*U23</f>
        <v>86268.307499999995</v>
      </c>
      <c r="Y23" s="111">
        <f>Q23*W23</f>
        <v>131537.60186062497</v>
      </c>
    </row>
    <row r="24" spans="1:25">
      <c r="O24" s="94"/>
      <c r="Q24" s="105"/>
    </row>
    <row r="25" spans="1:25">
      <c r="A25" s="91" t="s">
        <v>193</v>
      </c>
      <c r="C25" s="106">
        <v>1.0209999999999999</v>
      </c>
      <c r="D25" s="107"/>
      <c r="E25" s="108">
        <f>$W$12*C25</f>
        <v>20.756929999999997</v>
      </c>
      <c r="G25" s="109"/>
      <c r="I25" s="109"/>
      <c r="K25" s="109"/>
      <c r="M25" s="108">
        <f>E25+G25+I25+K25</f>
        <v>20.756929999999997</v>
      </c>
      <c r="O25" s="96">
        <f>'Enter Data Elements (8)'!D15</f>
        <v>17</v>
      </c>
      <c r="Q25" s="108">
        <f>M25</f>
        <v>20.756929999999997</v>
      </c>
      <c r="S25" s="109"/>
      <c r="U25" s="109"/>
      <c r="W25" s="101">
        <f>'Enter Data Elements (8)'!D12</f>
        <v>76915.688235294117</v>
      </c>
      <c r="Y25" s="111">
        <f>Q25*W25</f>
        <v>1596533.5566018233</v>
      </c>
    </row>
    <row r="26" spans="1:25" ht="12.75" customHeight="1">
      <c r="O26" s="94"/>
      <c r="Q26" s="105"/>
      <c r="S26" s="112"/>
    </row>
    <row r="27" spans="1:25">
      <c r="A27" s="91" t="s">
        <v>194</v>
      </c>
      <c r="C27" s="106">
        <v>7.9000000000000001E-2</v>
      </c>
      <c r="D27" s="107"/>
      <c r="E27" s="108">
        <f>$W$12*C27</f>
        <v>1.6060699999999999</v>
      </c>
      <c r="G27" s="109"/>
      <c r="I27" s="109"/>
      <c r="K27" s="109"/>
      <c r="M27" s="108">
        <f>E27+G27+I27+K27</f>
        <v>1.6060699999999999</v>
      </c>
      <c r="O27" s="96">
        <f>'Enter Data Elements (8)'!D16</f>
        <v>1</v>
      </c>
      <c r="Q27" s="108">
        <f>M27</f>
        <v>1.6060699999999999</v>
      </c>
      <c r="S27" s="109"/>
      <c r="U27" s="109"/>
      <c r="W27" s="101">
        <f>IF('Enter Data Elements (8)'!D13&gt;0,'Enter Data Elements (8)'!D13, W25)</f>
        <v>83373</v>
      </c>
      <c r="Y27" s="111">
        <f>Q27*W27</f>
        <v>133902.87411</v>
      </c>
    </row>
    <row r="28" spans="1:25" ht="12.75" customHeight="1">
      <c r="O28" s="94"/>
      <c r="Q28" s="105"/>
      <c r="S28" s="112"/>
    </row>
    <row r="29" spans="1:25">
      <c r="A29" s="91" t="s">
        <v>195</v>
      </c>
      <c r="C29" s="106">
        <v>0.375</v>
      </c>
      <c r="D29" s="107"/>
      <c r="E29" s="108">
        <f>$W$12*C29</f>
        <v>7.6237499999999994</v>
      </c>
      <c r="G29" s="109"/>
      <c r="I29" s="109"/>
      <c r="K29" s="109"/>
      <c r="M29" s="113">
        <f>E29</f>
        <v>7.6237499999999994</v>
      </c>
      <c r="O29" s="96">
        <f>'Enter Data Elements (8)'!D17</f>
        <v>12.1</v>
      </c>
      <c r="Q29" s="108">
        <f>M29</f>
        <v>7.6237499999999994</v>
      </c>
      <c r="S29" s="109"/>
      <c r="U29" s="110">
        <f>+'Master Budget Sheet'!BB15</f>
        <v>46331</v>
      </c>
      <c r="W29" s="109"/>
      <c r="Y29" s="109"/>
    </row>
    <row r="30" spans="1:25">
      <c r="O30" s="94"/>
    </row>
    <row r="31" spans="1:25">
      <c r="A31" s="91" t="s">
        <v>196</v>
      </c>
      <c r="M31" s="108">
        <f>M23+M25+M27+M29</f>
        <v>31.511499999999998</v>
      </c>
      <c r="O31" s="108">
        <f>O23+O25+O27+O29</f>
        <v>31.1</v>
      </c>
      <c r="Q31" s="108">
        <f>Q23+Q25+Q27+Q29</f>
        <v>31.511499999999998</v>
      </c>
    </row>
    <row r="36" spans="1:27">
      <c r="C36" s="112" t="s">
        <v>195</v>
      </c>
      <c r="G36" s="112" t="s">
        <v>171</v>
      </c>
      <c r="I36" s="112" t="s">
        <v>160</v>
      </c>
      <c r="K36" s="112" t="s">
        <v>174</v>
      </c>
      <c r="M36" s="114" t="s">
        <v>197</v>
      </c>
      <c r="O36" s="112" t="s">
        <v>198</v>
      </c>
      <c r="Q36" s="112" t="s">
        <v>199</v>
      </c>
      <c r="S36" s="112" t="s">
        <v>174</v>
      </c>
      <c r="U36" s="112" t="s">
        <v>200</v>
      </c>
      <c r="W36" s="114" t="s">
        <v>174</v>
      </c>
    </row>
    <row r="37" spans="1:27">
      <c r="C37" s="112" t="s">
        <v>171</v>
      </c>
      <c r="G37" s="112" t="s">
        <v>174</v>
      </c>
      <c r="I37" s="112" t="s">
        <v>170</v>
      </c>
      <c r="K37" s="112" t="s">
        <v>175</v>
      </c>
      <c r="M37" s="115" t="s">
        <v>175</v>
      </c>
      <c r="O37" s="112" t="s">
        <v>164</v>
      </c>
      <c r="Q37" s="112" t="s">
        <v>164</v>
      </c>
      <c r="S37" s="112" t="s">
        <v>175</v>
      </c>
      <c r="U37" s="112" t="s">
        <v>170</v>
      </c>
      <c r="W37" s="115" t="s">
        <v>175</v>
      </c>
    </row>
    <row r="38" spans="1:27">
      <c r="C38" s="112" t="s">
        <v>174</v>
      </c>
      <c r="G38" s="112" t="s">
        <v>175</v>
      </c>
      <c r="K38" s="112" t="s">
        <v>201</v>
      </c>
      <c r="M38" s="116"/>
      <c r="S38" s="112" t="s">
        <v>202</v>
      </c>
      <c r="U38" s="112" t="s">
        <v>175</v>
      </c>
      <c r="W38" s="117"/>
    </row>
    <row r="39" spans="1:27">
      <c r="C39" s="112" t="s">
        <v>175</v>
      </c>
      <c r="G39" s="112"/>
      <c r="K39" s="112" t="s">
        <v>203</v>
      </c>
      <c r="M39" s="116"/>
      <c r="S39" s="118"/>
      <c r="U39" s="105"/>
      <c r="W39" s="117"/>
    </row>
    <row r="40" spans="1:27">
      <c r="C40" s="112" t="s">
        <v>204</v>
      </c>
      <c r="G40" s="112" t="s">
        <v>359</v>
      </c>
      <c r="K40" s="91" t="s">
        <v>358</v>
      </c>
      <c r="M40" s="115" t="str">
        <f>"p x "&amp;I12</f>
        <v>p x 0.2503</v>
      </c>
      <c r="O40" s="112" t="s">
        <v>205</v>
      </c>
      <c r="S40" s="112"/>
      <c r="U40" s="112"/>
      <c r="W40" s="117" t="s">
        <v>357</v>
      </c>
    </row>
    <row r="41" spans="1:27">
      <c r="C41" s="112" t="s">
        <v>206</v>
      </c>
      <c r="G41" s="112" t="s">
        <v>207</v>
      </c>
      <c r="I41" s="112" t="s">
        <v>208</v>
      </c>
      <c r="K41" s="112" t="s">
        <v>356</v>
      </c>
      <c r="M41" s="115" t="s">
        <v>209</v>
      </c>
      <c r="O41" s="112" t="s">
        <v>210</v>
      </c>
      <c r="Q41" s="112" t="s">
        <v>211</v>
      </c>
      <c r="S41" s="112" t="s">
        <v>212</v>
      </c>
      <c r="U41" s="112" t="s">
        <v>213</v>
      </c>
      <c r="W41" s="115" t="s">
        <v>214</v>
      </c>
      <c r="AA41" s="112"/>
    </row>
    <row r="42" spans="1:27">
      <c r="F42" s="94"/>
      <c r="G42" s="94"/>
      <c r="H42" s="94"/>
      <c r="I42" s="94"/>
      <c r="M42" s="116"/>
      <c r="U42" s="112"/>
      <c r="W42" s="115"/>
    </row>
    <row r="43" spans="1:27">
      <c r="A43" s="91" t="s">
        <v>192</v>
      </c>
      <c r="C43" s="109"/>
      <c r="F43" s="94"/>
      <c r="G43" s="119">
        <f>Y23</f>
        <v>131537.60186062497</v>
      </c>
      <c r="H43" s="94"/>
      <c r="I43" s="101">
        <f>'Enter Data Elements (8)'!D18</f>
        <v>214466</v>
      </c>
      <c r="K43" s="120"/>
      <c r="M43" s="121">
        <f>IF($G$51&gt;$I$51,ROUND(G43/$G$51*$M$51,2),ROUND(I43/$I$51*$M$51,2))</f>
        <v>27996.44</v>
      </c>
      <c r="O43" s="122"/>
      <c r="Q43" s="122"/>
      <c r="S43" s="122"/>
      <c r="U43" s="122"/>
      <c r="V43" s="123"/>
      <c r="W43" s="124">
        <f>G43</f>
        <v>131537.60186062497</v>
      </c>
      <c r="AA43" s="111"/>
    </row>
    <row r="44" spans="1:27">
      <c r="F44" s="94"/>
      <c r="G44" s="94"/>
      <c r="H44" s="94"/>
      <c r="I44" s="125"/>
      <c r="M44" s="116"/>
      <c r="S44" s="112"/>
      <c r="U44" s="105"/>
      <c r="W44" s="117"/>
    </row>
    <row r="45" spans="1:27">
      <c r="A45" s="91" t="s">
        <v>193</v>
      </c>
      <c r="C45" s="109"/>
      <c r="F45" s="118"/>
      <c r="G45" s="119">
        <f>Y25</f>
        <v>1596533.5566018233</v>
      </c>
      <c r="H45" s="94"/>
      <c r="I45" s="101">
        <f>'Enter Data Elements (8)'!D19</f>
        <v>1264675.7109999999</v>
      </c>
      <c r="K45" s="120"/>
      <c r="M45" s="121">
        <f>IF($G$51&gt;$I$51,ROUND(G45/$G$51*$M$51,2),ROUND(I45/$I$51*$M$51,2))</f>
        <v>339805.95</v>
      </c>
      <c r="O45" s="122"/>
      <c r="Q45" s="122"/>
      <c r="S45" s="122"/>
      <c r="U45" s="122"/>
      <c r="W45" s="124">
        <f>G45</f>
        <v>1596533.5566018233</v>
      </c>
      <c r="AA45" s="111"/>
    </row>
    <row r="46" spans="1:27">
      <c r="F46" s="118"/>
      <c r="G46" s="119" t="s">
        <v>235</v>
      </c>
      <c r="H46" s="94"/>
      <c r="I46" s="125"/>
      <c r="M46" s="116"/>
      <c r="S46" s="112"/>
      <c r="U46" s="105"/>
      <c r="W46" s="117"/>
    </row>
    <row r="47" spans="1:27">
      <c r="A47" s="91" t="s">
        <v>194</v>
      </c>
      <c r="C47" s="109"/>
      <c r="F47" s="94"/>
      <c r="G47" s="119">
        <f>Y27</f>
        <v>133902.87411</v>
      </c>
      <c r="H47" s="94"/>
      <c r="I47" s="101">
        <f>'Enter Data Elements (8)'!D20</f>
        <v>82724.639999999999</v>
      </c>
      <c r="K47" s="120"/>
      <c r="M47" s="121">
        <f>IF($G$51&gt;$I$51,ROUND(G47/$G$51*$M$51,2),ROUND(I47/$I$51*$M$51,2))</f>
        <v>28499.87</v>
      </c>
      <c r="O47" s="122"/>
      <c r="Q47" s="122"/>
      <c r="S47" s="122"/>
      <c r="U47" s="122"/>
      <c r="W47" s="124">
        <f>G47</f>
        <v>133902.87411</v>
      </c>
    </row>
    <row r="48" spans="1:27">
      <c r="F48" s="94"/>
      <c r="G48" s="94"/>
      <c r="H48" s="94"/>
      <c r="I48" s="125"/>
      <c r="M48" s="116"/>
      <c r="S48" s="112"/>
      <c r="U48" s="105"/>
      <c r="W48" s="117"/>
    </row>
    <row r="49" spans="1:27">
      <c r="A49" s="91" t="s">
        <v>195</v>
      </c>
      <c r="C49" s="111">
        <f>Q29*U29</f>
        <v>353215.96124999999</v>
      </c>
      <c r="F49" s="118"/>
      <c r="G49" s="119">
        <f>C49</f>
        <v>353215.96124999999</v>
      </c>
      <c r="H49" s="94"/>
      <c r="I49" s="101">
        <f>'Enter Data Elements (8)'!D21</f>
        <v>321796</v>
      </c>
      <c r="K49" s="120"/>
      <c r="M49" s="121">
        <f>IF($G$51&gt;$I$51,ROUND(G49/$G$51*$M$51,2),ROUND(I49/$I$51*$M$51,2))</f>
        <v>75178.429999999993</v>
      </c>
      <c r="O49" s="122"/>
      <c r="Q49" s="122"/>
      <c r="S49" s="122"/>
      <c r="U49" s="122"/>
      <c r="W49" s="124">
        <f>G49</f>
        <v>353215.96124999999</v>
      </c>
      <c r="AA49" s="111"/>
    </row>
    <row r="50" spans="1:27">
      <c r="I50" s="105"/>
      <c r="K50" s="126">
        <f>SUM(K43:K49)</f>
        <v>0</v>
      </c>
      <c r="M50" s="116"/>
      <c r="S50" s="112"/>
      <c r="U50" s="105"/>
      <c r="W50" s="117"/>
    </row>
    <row r="51" spans="1:27">
      <c r="A51" s="91" t="s">
        <v>196</v>
      </c>
      <c r="G51" s="111">
        <f>G43+G45+G47+G49</f>
        <v>2215189.9938224484</v>
      </c>
      <c r="I51" s="111">
        <f>I43+I45+I47+I49</f>
        <v>1883662.3509999998</v>
      </c>
      <c r="K51" s="111">
        <f>MIN(G51,I51)</f>
        <v>1883662.3509999998</v>
      </c>
      <c r="M51" s="127">
        <f>ROUND(K51*$I$12,2)</f>
        <v>471480.69</v>
      </c>
      <c r="O51" s="111"/>
      <c r="Q51" s="111"/>
      <c r="W51" s="127">
        <f>W43+W45+W47+W49</f>
        <v>2215189.9938224484</v>
      </c>
    </row>
    <row r="53" spans="1:27">
      <c r="I53" s="111"/>
    </row>
  </sheetData>
  <mergeCells count="5">
    <mergeCell ref="A1:Y1"/>
    <mergeCell ref="A2:Y2"/>
    <mergeCell ref="A3:Y3"/>
    <mergeCell ref="A4:Y4"/>
    <mergeCell ref="G16:I16"/>
  </mergeCells>
  <pageMargins left="0.25" right="0.25" top="0.75" bottom="0.75" header="0.3" footer="0.3"/>
  <pageSetup scale="68" orientation="landscape" horizontalDpi="1800" verticalDpi="1800"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20"/>
  <dimension ref="A1:J127"/>
  <sheetViews>
    <sheetView workbookViewId="0">
      <selection activeCell="D38" sqref="D38"/>
    </sheetView>
  </sheetViews>
  <sheetFormatPr defaultColWidth="10.44140625" defaultRowHeight="10.95" customHeight="1"/>
  <cols>
    <col min="1" max="1" width="10.44140625" style="139" customWidth="1"/>
    <col min="2" max="5" width="9.21875" style="139" customWidth="1"/>
    <col min="6" max="6" width="10.5546875" style="139" customWidth="1"/>
    <col min="7" max="8" width="9.21875" style="139" customWidth="1"/>
    <col min="9" max="9" width="8.77734375" style="129" customWidth="1"/>
    <col min="10" max="16384" width="10.44140625" style="139"/>
  </cols>
  <sheetData>
    <row r="1" spans="1:8" ht="10.95" customHeight="1">
      <c r="A1" s="128"/>
      <c r="B1" s="128"/>
      <c r="C1" s="128"/>
      <c r="D1" s="128"/>
      <c r="E1" s="128"/>
      <c r="F1" s="128"/>
      <c r="G1" s="128"/>
      <c r="H1" s="128"/>
    </row>
    <row r="2" spans="1:8" ht="10.95" customHeight="1">
      <c r="A2" s="130" t="s">
        <v>361</v>
      </c>
      <c r="B2" s="128"/>
      <c r="C2" s="128"/>
      <c r="D2" s="128"/>
      <c r="E2" s="128"/>
      <c r="F2" s="128"/>
      <c r="G2" s="128"/>
      <c r="H2" s="128"/>
    </row>
    <row r="3" spans="1:8" ht="10.95" customHeight="1">
      <c r="A3" s="130"/>
      <c r="B3" s="128"/>
      <c r="C3" s="128"/>
      <c r="D3" s="128"/>
      <c r="E3" s="128"/>
      <c r="F3" s="128"/>
      <c r="G3" s="128"/>
      <c r="H3" s="128"/>
    </row>
    <row r="4" spans="1:8" ht="10.95" customHeight="1">
      <c r="A4" s="131"/>
      <c r="B4" s="132"/>
      <c r="C4" s="132"/>
      <c r="D4" s="132"/>
      <c r="E4" s="133" t="s">
        <v>215</v>
      </c>
      <c r="F4" s="133" t="s">
        <v>216</v>
      </c>
      <c r="G4" s="133" t="s">
        <v>217</v>
      </c>
      <c r="H4" s="133" t="s">
        <v>218</v>
      </c>
    </row>
    <row r="5" spans="1:8" ht="10.95" customHeight="1">
      <c r="A5" s="134" t="s">
        <v>219</v>
      </c>
      <c r="B5" s="134" t="s">
        <v>220</v>
      </c>
      <c r="C5" s="134" t="s">
        <v>221</v>
      </c>
      <c r="D5" s="134" t="s">
        <v>222</v>
      </c>
      <c r="E5" s="133" t="s">
        <v>223</v>
      </c>
      <c r="F5" s="133" t="s">
        <v>224</v>
      </c>
      <c r="G5" s="133" t="s">
        <v>225</v>
      </c>
      <c r="H5" s="133" t="s">
        <v>226</v>
      </c>
    </row>
    <row r="6" spans="1:8" ht="10.95" customHeight="1">
      <c r="A6" s="133">
        <v>0</v>
      </c>
      <c r="B6" s="135">
        <v>1</v>
      </c>
      <c r="C6" s="135">
        <v>1.0375000000000001</v>
      </c>
      <c r="D6" s="135">
        <v>1.0764</v>
      </c>
      <c r="E6" s="135">
        <v>1.1168</v>
      </c>
      <c r="F6" s="135">
        <v>1.1587000000000001</v>
      </c>
      <c r="G6" s="135">
        <v>1.2021999999999999</v>
      </c>
      <c r="H6" s="135">
        <v>1.2473000000000001</v>
      </c>
    </row>
    <row r="7" spans="1:8" ht="10.95" customHeight="1">
      <c r="A7" s="133">
        <v>1</v>
      </c>
      <c r="B7" s="135">
        <v>1.0375000000000001</v>
      </c>
      <c r="C7" s="135">
        <v>1.0764</v>
      </c>
      <c r="D7" s="135">
        <v>1.1168</v>
      </c>
      <c r="E7" s="135">
        <v>1.1587000000000001</v>
      </c>
      <c r="F7" s="135">
        <v>1.2021999999999999</v>
      </c>
      <c r="G7" s="135">
        <v>1.2473000000000001</v>
      </c>
      <c r="H7" s="135">
        <v>1.2941</v>
      </c>
    </row>
    <row r="8" spans="1:8" ht="10.95" customHeight="1">
      <c r="A8" s="133">
        <v>2</v>
      </c>
      <c r="B8" s="135">
        <v>1.0764</v>
      </c>
      <c r="C8" s="135">
        <v>1.1168</v>
      </c>
      <c r="D8" s="135">
        <v>1.1587000000000001</v>
      </c>
      <c r="E8" s="135">
        <v>1.2021999999999999</v>
      </c>
      <c r="F8" s="135">
        <v>1.2473000000000001</v>
      </c>
      <c r="G8" s="135">
        <v>1.2941</v>
      </c>
      <c r="H8" s="135">
        <v>1.3426</v>
      </c>
    </row>
    <row r="9" spans="1:8" ht="10.95" customHeight="1">
      <c r="A9" s="133">
        <v>3</v>
      </c>
      <c r="B9" s="135">
        <v>1.1168</v>
      </c>
      <c r="C9" s="135">
        <v>1.1587000000000001</v>
      </c>
      <c r="D9" s="135">
        <v>1.2021999999999999</v>
      </c>
      <c r="E9" s="135">
        <v>1.2473000000000001</v>
      </c>
      <c r="F9" s="135">
        <v>1.2941</v>
      </c>
      <c r="G9" s="135">
        <v>1.3426</v>
      </c>
      <c r="H9" s="135">
        <v>1.3929</v>
      </c>
    </row>
    <row r="10" spans="1:8" ht="10.95" customHeight="1">
      <c r="A10" s="133">
        <v>4</v>
      </c>
      <c r="B10" s="135">
        <v>1.1587000000000001</v>
      </c>
      <c r="C10" s="135">
        <v>1.2021999999999999</v>
      </c>
      <c r="D10" s="135">
        <v>1.2473000000000001</v>
      </c>
      <c r="E10" s="135">
        <v>1.2941</v>
      </c>
      <c r="F10" s="135">
        <v>1.3426</v>
      </c>
      <c r="G10" s="135">
        <v>1.3929</v>
      </c>
      <c r="H10" s="135">
        <v>1.4451000000000001</v>
      </c>
    </row>
    <row r="11" spans="1:8" ht="10.95" customHeight="1">
      <c r="A11" s="133">
        <v>5</v>
      </c>
      <c r="B11" s="135">
        <v>1.2021999999999999</v>
      </c>
      <c r="C11" s="135">
        <v>1.2473000000000001</v>
      </c>
      <c r="D11" s="135">
        <v>1.2941</v>
      </c>
      <c r="E11" s="135">
        <v>1.3426</v>
      </c>
      <c r="F11" s="135">
        <v>1.3929</v>
      </c>
      <c r="G11" s="135">
        <v>1.4451000000000001</v>
      </c>
      <c r="H11" s="135">
        <v>1.4993000000000001</v>
      </c>
    </row>
    <row r="12" spans="1:8" ht="10.95" customHeight="1">
      <c r="A12" s="133">
        <v>6</v>
      </c>
      <c r="B12" s="135">
        <v>1.2473000000000001</v>
      </c>
      <c r="C12" s="135">
        <v>1.2941</v>
      </c>
      <c r="D12" s="135">
        <v>1.3426</v>
      </c>
      <c r="E12" s="135">
        <v>1.3929</v>
      </c>
      <c r="F12" s="135">
        <v>1.4451000000000001</v>
      </c>
      <c r="G12" s="135">
        <v>1.4993000000000001</v>
      </c>
      <c r="H12" s="135">
        <v>1.5555000000000001</v>
      </c>
    </row>
    <row r="13" spans="1:8" ht="10.95" customHeight="1">
      <c r="A13" s="133">
        <v>7</v>
      </c>
      <c r="B13" s="135">
        <v>1.2941</v>
      </c>
      <c r="C13" s="135">
        <v>1.3426</v>
      </c>
      <c r="D13" s="135">
        <v>1.3929</v>
      </c>
      <c r="E13" s="135">
        <v>1.4451000000000001</v>
      </c>
      <c r="F13" s="135">
        <v>1.4993000000000001</v>
      </c>
      <c r="G13" s="135">
        <v>1.5555000000000001</v>
      </c>
      <c r="H13" s="135">
        <v>1.6137999999999999</v>
      </c>
    </row>
    <row r="14" spans="1:8" ht="10.95" customHeight="1">
      <c r="A14" s="133">
        <v>8</v>
      </c>
      <c r="B14" s="135">
        <v>1.3426</v>
      </c>
      <c r="C14" s="135">
        <v>1.3929</v>
      </c>
      <c r="D14" s="135">
        <v>1.4451000000000001</v>
      </c>
      <c r="E14" s="135">
        <v>1.4993000000000001</v>
      </c>
      <c r="F14" s="135">
        <v>1.5555000000000001</v>
      </c>
      <c r="G14" s="135">
        <v>1.6137999999999999</v>
      </c>
      <c r="H14" s="135">
        <v>1.6742999999999999</v>
      </c>
    </row>
    <row r="15" spans="1:8" ht="10.95" customHeight="1">
      <c r="A15" s="133">
        <v>9</v>
      </c>
      <c r="B15" s="135">
        <v>1.3929</v>
      </c>
      <c r="C15" s="135">
        <v>1.4451000000000001</v>
      </c>
      <c r="D15" s="135">
        <v>1.4993000000000001</v>
      </c>
      <c r="E15" s="135">
        <v>1.5555000000000001</v>
      </c>
      <c r="F15" s="135">
        <v>1.6137999999999999</v>
      </c>
      <c r="G15" s="135">
        <v>1.6742999999999999</v>
      </c>
      <c r="H15" s="135">
        <v>1.7371000000000001</v>
      </c>
    </row>
    <row r="16" spans="1:8" ht="10.95" customHeight="1">
      <c r="A16" s="133">
        <v>10</v>
      </c>
      <c r="B16" s="135">
        <v>1.3929</v>
      </c>
      <c r="C16" s="135">
        <v>1.4993000000000001</v>
      </c>
      <c r="D16" s="135">
        <v>1.5555000000000001</v>
      </c>
      <c r="E16" s="135">
        <v>1.6137999999999999</v>
      </c>
      <c r="F16" s="135">
        <v>1.6742999999999999</v>
      </c>
      <c r="G16" s="135">
        <v>1.7371000000000001</v>
      </c>
      <c r="H16" s="135">
        <v>1.8022</v>
      </c>
    </row>
    <row r="17" spans="1:8" ht="10.95" customHeight="1">
      <c r="A17" s="133">
        <v>11</v>
      </c>
      <c r="B17" s="135">
        <v>1.3929</v>
      </c>
      <c r="C17" s="135">
        <v>1.4993000000000001</v>
      </c>
      <c r="D17" s="135">
        <v>1.5555000000000001</v>
      </c>
      <c r="E17" s="135">
        <v>1.6137999999999999</v>
      </c>
      <c r="F17" s="135">
        <v>1.7371000000000001</v>
      </c>
      <c r="G17" s="135">
        <v>1.8022</v>
      </c>
      <c r="H17" s="135">
        <v>1.8697999999999999</v>
      </c>
    </row>
    <row r="18" spans="1:8" ht="10.95" customHeight="1">
      <c r="A18" s="133">
        <v>12</v>
      </c>
      <c r="B18" s="135">
        <v>1.3929</v>
      </c>
      <c r="C18" s="135">
        <v>1.4993000000000001</v>
      </c>
      <c r="D18" s="135">
        <v>1.5555000000000001</v>
      </c>
      <c r="E18" s="135">
        <v>1.6137999999999999</v>
      </c>
      <c r="F18" s="135">
        <v>1.7371000000000001</v>
      </c>
      <c r="G18" s="135">
        <v>1.8697999999999999</v>
      </c>
      <c r="H18" s="135">
        <v>1.9399</v>
      </c>
    </row>
    <row r="19" spans="1:8" ht="10.95" customHeight="1">
      <c r="A19" s="133" t="s">
        <v>227</v>
      </c>
      <c r="B19" s="135">
        <v>1.3929</v>
      </c>
      <c r="C19" s="135">
        <v>1.4993000000000001</v>
      </c>
      <c r="D19" s="135">
        <v>1.5555000000000001</v>
      </c>
      <c r="E19" s="135">
        <v>1.6137999999999999</v>
      </c>
      <c r="F19" s="135">
        <v>1.7371000000000001</v>
      </c>
      <c r="G19" s="135">
        <v>1.8697999999999999</v>
      </c>
      <c r="H19" s="135">
        <v>2.0125999999999999</v>
      </c>
    </row>
    <row r="20" spans="1:8" ht="10.95" customHeight="1">
      <c r="A20" s="136"/>
      <c r="B20" s="137"/>
      <c r="C20" s="137"/>
      <c r="D20" s="137"/>
      <c r="E20" s="137"/>
      <c r="F20" s="137"/>
      <c r="G20" s="137"/>
      <c r="H20" s="137"/>
    </row>
    <row r="21" spans="1:8" ht="10.95" customHeight="1">
      <c r="A21" s="136"/>
      <c r="B21" s="129"/>
      <c r="C21" s="129"/>
      <c r="D21" s="129"/>
      <c r="E21" s="129"/>
      <c r="F21" s="129"/>
      <c r="G21" s="129"/>
      <c r="H21" s="129"/>
    </row>
    <row r="22" spans="1:8" ht="10.95" customHeight="1">
      <c r="A22" s="128" t="s">
        <v>228</v>
      </c>
      <c r="B22" s="128"/>
      <c r="C22" s="128"/>
      <c r="D22" s="128"/>
      <c r="E22" s="128"/>
      <c r="F22" s="128"/>
      <c r="G22" s="128"/>
      <c r="H22" s="128"/>
    </row>
    <row r="23" spans="1:8" ht="10.95" customHeight="1">
      <c r="A23" s="131"/>
      <c r="B23" s="132"/>
      <c r="C23" s="132"/>
      <c r="D23" s="132"/>
      <c r="E23" s="133" t="s">
        <v>215</v>
      </c>
      <c r="F23" s="133" t="s">
        <v>216</v>
      </c>
      <c r="G23" s="133" t="s">
        <v>217</v>
      </c>
      <c r="H23" s="133" t="s">
        <v>218</v>
      </c>
    </row>
    <row r="24" spans="1:8" ht="10.95" customHeight="1">
      <c r="A24" s="134" t="s">
        <v>219</v>
      </c>
      <c r="B24" s="134" t="s">
        <v>220</v>
      </c>
      <c r="C24" s="134" t="s">
        <v>221</v>
      </c>
      <c r="D24" s="134" t="s">
        <v>222</v>
      </c>
      <c r="E24" s="133" t="s">
        <v>336</v>
      </c>
      <c r="F24" s="133" t="s">
        <v>337</v>
      </c>
      <c r="G24" s="133" t="s">
        <v>339</v>
      </c>
      <c r="H24" s="133" t="s">
        <v>338</v>
      </c>
    </row>
    <row r="25" spans="1:8" ht="10.95" customHeight="1">
      <c r="A25" s="133">
        <v>0</v>
      </c>
      <c r="B25" s="138">
        <f>SUMIFS('Master Budget Sheet'!$BA$87:$BA$87,'Master Budget Sheet'!$F$87:$F$87,B$24,'Master Budget Sheet'!$E$87:$E$87,$A25-6)</f>
        <v>0</v>
      </c>
      <c r="C25" s="138">
        <f>SUMIFS('Master Budget Sheet'!$BA$87:$BA$87,'Master Budget Sheet'!$F$87:$F$87,C$24,'Master Budget Sheet'!$E$87:$E$87,$A25-6)</f>
        <v>0</v>
      </c>
      <c r="D25" s="138">
        <f>SUMIFS('Master Budget Sheet'!$BA$87:$BA$87,'Master Budget Sheet'!$F$87:$F$87,D$24,'Master Budget Sheet'!$E$87:$E$87,$A25-6)</f>
        <v>0</v>
      </c>
      <c r="E25" s="138">
        <f>SUMIFS('Master Budget Sheet'!$BA$87:$BA$87,'Master Budget Sheet'!$F$87:$F$87,E$24,'Master Budget Sheet'!$E$87:$E$87,$A25-6)</f>
        <v>0</v>
      </c>
      <c r="F25" s="138">
        <f>SUMIFS('Master Budget Sheet'!$BA$87:$BA$87,'Master Budget Sheet'!$F$87:$F$87,F$24,'Master Budget Sheet'!$E$87:$E$87,$A25-6)</f>
        <v>0</v>
      </c>
      <c r="G25" s="138">
        <f>SUMIFS('Master Budget Sheet'!$BA$87:$BA$87,'Master Budget Sheet'!$F$87:$F$87,G$24,'Master Budget Sheet'!$E$87:$E$87,$A25-6)</f>
        <v>0</v>
      </c>
      <c r="H25" s="138">
        <f>SUMIFS('Master Budget Sheet'!$BA$87:$BA$87,'Master Budget Sheet'!$F$87:$F$87,H$24,'Master Budget Sheet'!$E$87:$E$87,$A25-6)</f>
        <v>0</v>
      </c>
    </row>
    <row r="26" spans="1:8" ht="10.95" customHeight="1">
      <c r="A26" s="133">
        <v>1</v>
      </c>
      <c r="B26" s="138">
        <f>SUMIFS('Master Budget Sheet'!$BA$87:$BA$87,'Master Budget Sheet'!$F$87:$F$87,B$24,'Master Budget Sheet'!$E$87:$E$87,$A26-6)</f>
        <v>0</v>
      </c>
      <c r="C26" s="138">
        <f>SUMIFS('Master Budget Sheet'!$BA$87:$BA$87,'Master Budget Sheet'!$F$87:$F$87,C$24,'Master Budget Sheet'!$E$87:$E$87,$A26-6)</f>
        <v>0</v>
      </c>
      <c r="D26" s="138">
        <f>SUMIFS('Master Budget Sheet'!$BA$87:$BA$87,'Master Budget Sheet'!$F$87:$F$87,D$24,'Master Budget Sheet'!$E$87:$E$87,$A26-6)</f>
        <v>0</v>
      </c>
      <c r="E26" s="138">
        <f>SUMIFS('Master Budget Sheet'!$BA$87:$BA$87,'Master Budget Sheet'!$F$87:$F$87,E$24,'Master Budget Sheet'!$E$87:$E$87,$A26-6)</f>
        <v>0</v>
      </c>
      <c r="F26" s="138">
        <f>SUMIFS('Master Budget Sheet'!$BA$87:$BA$87,'Master Budget Sheet'!$F$87:$F$87,F$24,'Master Budget Sheet'!$E$87:$E$87,$A26-6)</f>
        <v>0</v>
      </c>
      <c r="G26" s="138">
        <f>SUMIFS('Master Budget Sheet'!$BA$87:$BA$87,'Master Budget Sheet'!$F$87:$F$87,G$24,'Master Budget Sheet'!$E$87:$E$87,$A26-6)</f>
        <v>0</v>
      </c>
      <c r="H26" s="138">
        <f>SUMIFS('Master Budget Sheet'!$BA$87:$BA$87,'Master Budget Sheet'!$F$87:$F$87,H$24,'Master Budget Sheet'!$E$87:$E$87,$A26-6)</f>
        <v>0</v>
      </c>
    </row>
    <row r="27" spans="1:8" ht="10.95" customHeight="1">
      <c r="A27" s="133">
        <v>2</v>
      </c>
      <c r="B27" s="138">
        <f>SUMIFS('Master Budget Sheet'!$BA$87:$BA$87,'Master Budget Sheet'!$F$87:$F$87,B$24,'Master Budget Sheet'!$E$87:$E$87,$A27-6)</f>
        <v>0</v>
      </c>
      <c r="C27" s="138">
        <f>SUMIFS('Master Budget Sheet'!$BA$87:$BA$87,'Master Budget Sheet'!$F$87:$F$87,C$24,'Master Budget Sheet'!$E$87:$E$87,$A27-6)</f>
        <v>0</v>
      </c>
      <c r="D27" s="138">
        <f>SUMIFS('Master Budget Sheet'!$BA$87:$BA$87,'Master Budget Sheet'!$F$87:$F$87,D$24,'Master Budget Sheet'!$E$87:$E$87,$A27-6)</f>
        <v>0</v>
      </c>
      <c r="E27" s="138">
        <f>SUMIFS('Master Budget Sheet'!$BA$87:$BA$87,'Master Budget Sheet'!$F$87:$F$87,E$24,'Master Budget Sheet'!$E$87:$E$87,$A27-6)</f>
        <v>0</v>
      </c>
      <c r="F27" s="138">
        <f>SUMIFS('Master Budget Sheet'!$BA$87:$BA$87,'Master Budget Sheet'!$F$87:$F$87,F$24,'Master Budget Sheet'!$E$87:$E$87,$A27-6)</f>
        <v>0</v>
      </c>
      <c r="G27" s="138">
        <f>SUMIFS('Master Budget Sheet'!$BA$87:$BA$87,'Master Budget Sheet'!$F$87:$F$87,G$24,'Master Budget Sheet'!$E$87:$E$87,$A27-6)</f>
        <v>0</v>
      </c>
      <c r="H27" s="138">
        <f>SUMIFS('Master Budget Sheet'!$BA$87:$BA$87,'Master Budget Sheet'!$F$87:$F$87,H$24,'Master Budget Sheet'!$E$87:$E$87,$A27-6)</f>
        <v>0</v>
      </c>
    </row>
    <row r="28" spans="1:8" ht="10.95" customHeight="1">
      <c r="A28" s="133">
        <v>3</v>
      </c>
      <c r="B28" s="138">
        <f>SUMIFS('Master Budget Sheet'!$BA$87:$BA$87,'Master Budget Sheet'!$F$87:$F$87,B$24,'Master Budget Sheet'!$E$87:$E$87,$A28-6)</f>
        <v>0</v>
      </c>
      <c r="C28" s="138">
        <f>SUMIFS('Master Budget Sheet'!$BA$87:$BA$87,'Master Budget Sheet'!$F$87:$F$87,C$24,'Master Budget Sheet'!$E$87:$E$87,$A28-6)</f>
        <v>0</v>
      </c>
      <c r="D28" s="138">
        <f>SUMIFS('Master Budget Sheet'!$BA$87:$BA$87,'Master Budget Sheet'!$F$87:$F$87,D$24,'Master Budget Sheet'!$E$87:$E$87,$A28-6)</f>
        <v>0</v>
      </c>
      <c r="E28" s="138">
        <f>SUMIFS('Master Budget Sheet'!$BA$87:$BA$87,'Master Budget Sheet'!$F$87:$F$87,E$24,'Master Budget Sheet'!$E$87:$E$87,$A28-6)</f>
        <v>0</v>
      </c>
      <c r="F28" s="138">
        <f>SUMIFS('Master Budget Sheet'!$BA$87:$BA$87,'Master Budget Sheet'!$F$87:$F$87,F$24,'Master Budget Sheet'!$E$87:$E$87,$A28-6)</f>
        <v>0</v>
      </c>
      <c r="G28" s="138">
        <f>SUMIFS('Master Budget Sheet'!$BA$87:$BA$87,'Master Budget Sheet'!$F$87:$F$87,G$24,'Master Budget Sheet'!$E$87:$E$87,$A28-6)</f>
        <v>0</v>
      </c>
      <c r="H28" s="138">
        <f>SUMIFS('Master Budget Sheet'!$BA$87:$BA$87,'Master Budget Sheet'!$F$87:$F$87,H$24,'Master Budget Sheet'!$E$87:$E$87,$A28-6)</f>
        <v>0</v>
      </c>
    </row>
    <row r="29" spans="1:8" ht="10.95" customHeight="1">
      <c r="A29" s="133">
        <v>4</v>
      </c>
      <c r="B29" s="138">
        <f>SUMIFS('Master Budget Sheet'!$BA$87:$BA$87,'Master Budget Sheet'!$F$87:$F$87,B$24,'Master Budget Sheet'!$E$87:$E$87,$A29-6)</f>
        <v>0</v>
      </c>
      <c r="C29" s="138">
        <f>SUMIFS('Master Budget Sheet'!$BA$87:$BA$87,'Master Budget Sheet'!$F$87:$F$87,C$24,'Master Budget Sheet'!$E$87:$E$87,$A29-6)</f>
        <v>0</v>
      </c>
      <c r="D29" s="138">
        <f>SUMIFS('Master Budget Sheet'!$BA$87:$BA$87,'Master Budget Sheet'!$F$87:$F$87,D$24,'Master Budget Sheet'!$E$87:$E$87,$A29-6)</f>
        <v>0</v>
      </c>
      <c r="E29" s="138">
        <f>SUMIFS('Master Budget Sheet'!$BA$87:$BA$87,'Master Budget Sheet'!$F$87:$F$87,E$24,'Master Budget Sheet'!$E$87:$E$87,$A29-6)</f>
        <v>0</v>
      </c>
      <c r="F29" s="138">
        <f>SUMIFS('Master Budget Sheet'!$BA$87:$BA$87,'Master Budget Sheet'!$F$87:$F$87,F$24,'Master Budget Sheet'!$E$87:$E$87,$A29-6)</f>
        <v>0</v>
      </c>
      <c r="G29" s="138">
        <f>SUMIFS('Master Budget Sheet'!$BA$87:$BA$87,'Master Budget Sheet'!$F$87:$F$87,G$24,'Master Budget Sheet'!$E$87:$E$87,$A29-6)</f>
        <v>0</v>
      </c>
      <c r="H29" s="138">
        <f>SUMIFS('Master Budget Sheet'!$BA$87:$BA$87,'Master Budget Sheet'!$F$87:$F$87,H$24,'Master Budget Sheet'!$E$87:$E$87,$A29-6)</f>
        <v>0</v>
      </c>
    </row>
    <row r="30" spans="1:8" ht="10.95" customHeight="1">
      <c r="A30" s="133">
        <v>5</v>
      </c>
      <c r="B30" s="138">
        <f>SUMIFS('Master Budget Sheet'!$BA$87:$BA$87,'Master Budget Sheet'!$F$87:$F$87,B$24,'Master Budget Sheet'!$E$87:$E$87,$A30-6)</f>
        <v>0</v>
      </c>
      <c r="C30" s="138">
        <f>SUMIFS('Master Budget Sheet'!$BA$87:$BA$87,'Master Budget Sheet'!$F$87:$F$87,C$24,'Master Budget Sheet'!$E$87:$E$87,$A30-6)</f>
        <v>0</v>
      </c>
      <c r="D30" s="138">
        <f>SUMIFS('Master Budget Sheet'!$BA$87:$BA$87,'Master Budget Sheet'!$F$87:$F$87,D$24,'Master Budget Sheet'!$E$87:$E$87,$A30-6)</f>
        <v>0</v>
      </c>
      <c r="E30" s="138">
        <f>SUMIFS('Master Budget Sheet'!$BA$87:$BA$87,'Master Budget Sheet'!$F$87:$F$87,E$24,'Master Budget Sheet'!$E$87:$E$87,$A30-6)</f>
        <v>0</v>
      </c>
      <c r="F30" s="138">
        <f>SUMIFS('Master Budget Sheet'!$BA$87:$BA$87,'Master Budget Sheet'!$F$87:$F$87,F$24,'Master Budget Sheet'!$E$87:$E$87,$A30-6)</f>
        <v>0</v>
      </c>
      <c r="G30" s="138">
        <f>SUMIFS('Master Budget Sheet'!$BA$87:$BA$87,'Master Budget Sheet'!$F$87:$F$87,G$24,'Master Budget Sheet'!$E$87:$E$87,$A30-6)</f>
        <v>0</v>
      </c>
      <c r="H30" s="138">
        <f>SUMIFS('Master Budget Sheet'!$BA$87:$BA$87,'Master Budget Sheet'!$F$87:$F$87,H$24,'Master Budget Sheet'!$E$87:$E$87,$A30-6)</f>
        <v>0</v>
      </c>
    </row>
    <row r="31" spans="1:8" ht="10.95" customHeight="1">
      <c r="A31" s="133">
        <v>6</v>
      </c>
      <c r="B31" s="138">
        <f>SUMIFS('Master Budget Sheet'!$BA$87:$BA$87,'Master Budget Sheet'!$F$87:$F$87,B$24,'Master Budget Sheet'!$E$87:$E$87,$A31-6)</f>
        <v>0</v>
      </c>
      <c r="C31" s="138">
        <f>SUMIFS('Master Budget Sheet'!$BA$87:$BA$87,'Master Budget Sheet'!$F$87:$F$87,C$24,'Master Budget Sheet'!$E$87:$E$87,$A31-6)</f>
        <v>0</v>
      </c>
      <c r="D31" s="138">
        <f>SUMIFS('Master Budget Sheet'!$BA$87:$BA$87,'Master Budget Sheet'!$F$87:$F$87,D$24,'Master Budget Sheet'!$E$87:$E$87,$A31-6)</f>
        <v>0</v>
      </c>
      <c r="E31" s="138">
        <f>SUMIFS('Master Budget Sheet'!$BA$87:$BA$87,'Master Budget Sheet'!$F$87:$F$87,E$24,'Master Budget Sheet'!$E$87:$E$87,$A31-6)</f>
        <v>0</v>
      </c>
      <c r="F31" s="138">
        <f>SUMIFS('Master Budget Sheet'!$BA$87:$BA$87,'Master Budget Sheet'!$F$87:$F$87,F$24,'Master Budget Sheet'!$E$87:$E$87,$A31-6)</f>
        <v>0</v>
      </c>
      <c r="G31" s="138">
        <f>SUMIFS('Master Budget Sheet'!$BA$87:$BA$87,'Master Budget Sheet'!$F$87:$F$87,G$24,'Master Budget Sheet'!$E$87:$E$87,$A31-6)</f>
        <v>0</v>
      </c>
      <c r="H31" s="138">
        <f>SUMIFS('Master Budget Sheet'!$BA$87:$BA$87,'Master Budget Sheet'!$F$87:$F$87,H$24,'Master Budget Sheet'!$E$87:$E$87,$A31-6)</f>
        <v>0</v>
      </c>
    </row>
    <row r="32" spans="1:8" ht="10.95" customHeight="1">
      <c r="A32" s="133">
        <v>7</v>
      </c>
      <c r="B32" s="138">
        <f>SUMIFS('Master Budget Sheet'!$BA$87:$BA$87,'Master Budget Sheet'!$F$87:$F$87,B$24,'Master Budget Sheet'!$E$87:$E$87,$A32-6)</f>
        <v>0</v>
      </c>
      <c r="C32" s="138">
        <f>SUMIFS('Master Budget Sheet'!$BA$87:$BA$87,'Master Budget Sheet'!$F$87:$F$87,C$24,'Master Budget Sheet'!$E$87:$E$87,$A32-6)</f>
        <v>0</v>
      </c>
      <c r="D32" s="138">
        <f>SUMIFS('Master Budget Sheet'!$BA$87:$BA$87,'Master Budget Sheet'!$F$87:$F$87,D$24,'Master Budget Sheet'!$E$87:$E$87,$A32-6)</f>
        <v>0</v>
      </c>
      <c r="E32" s="138">
        <f>SUMIFS('Master Budget Sheet'!$BA$87:$BA$87,'Master Budget Sheet'!$F$87:$F$87,E$24,'Master Budget Sheet'!$E$87:$E$87,$A32-6)</f>
        <v>0</v>
      </c>
      <c r="F32" s="138">
        <f>SUMIFS('Master Budget Sheet'!$BA$87:$BA$87,'Master Budget Sheet'!$F$87:$F$87,F$24,'Master Budget Sheet'!$E$87:$E$87,$A32-6)</f>
        <v>0</v>
      </c>
      <c r="G32" s="138">
        <f>SUMIFS('Master Budget Sheet'!$BA$87:$BA$87,'Master Budget Sheet'!$F$87:$F$87,G$24,'Master Budget Sheet'!$E$87:$E$87,$A32-6)</f>
        <v>0</v>
      </c>
      <c r="H32" s="138">
        <f>SUMIFS('Master Budget Sheet'!$BA$87:$BA$87,'Master Budget Sheet'!$F$87:$F$87,H$24,'Master Budget Sheet'!$E$87:$E$87,$A32-6)</f>
        <v>0</v>
      </c>
    </row>
    <row r="33" spans="1:10" ht="10.95" customHeight="1">
      <c r="A33" s="133">
        <v>8</v>
      </c>
      <c r="B33" s="138">
        <f>SUMIFS('Master Budget Sheet'!$BA$87:$BA$87,'Master Budget Sheet'!$F$87:$F$87,B$24,'Master Budget Sheet'!$E$87:$E$87,$A33-6)</f>
        <v>0</v>
      </c>
      <c r="C33" s="138">
        <f>SUMIFS('Master Budget Sheet'!$BA$87:$BA$87,'Master Budget Sheet'!$F$87:$F$87,C$24,'Master Budget Sheet'!$E$87:$E$87,$A33-6)</f>
        <v>0</v>
      </c>
      <c r="D33" s="138">
        <f>SUMIFS('Master Budget Sheet'!$BA$87:$BA$87,'Master Budget Sheet'!$F$87:$F$87,D$24,'Master Budget Sheet'!$E$87:$E$87,$A33-6)</f>
        <v>0</v>
      </c>
      <c r="E33" s="138">
        <f>SUMIFS('Master Budget Sheet'!$BA$87:$BA$87,'Master Budget Sheet'!$F$87:$F$87,E$24,'Master Budget Sheet'!$E$87:$E$87,$A33-6)</f>
        <v>0</v>
      </c>
      <c r="F33" s="138">
        <f>SUMIFS('Master Budget Sheet'!$BA$87:$BA$87,'Master Budget Sheet'!$F$87:$F$87,F$24,'Master Budget Sheet'!$E$87:$E$87,$A33-6)</f>
        <v>0</v>
      </c>
      <c r="G33" s="138">
        <f>SUMIFS('Master Budget Sheet'!$BA$87:$BA$87,'Master Budget Sheet'!$F$87:$F$87,G$24,'Master Budget Sheet'!$E$87:$E$87,$A33-6)</f>
        <v>0</v>
      </c>
      <c r="H33" s="138">
        <f>SUMIFS('Master Budget Sheet'!$BA$87:$BA$87,'Master Budget Sheet'!$F$87:$F$87,H$24,'Master Budget Sheet'!$E$87:$E$87,$A33-6)</f>
        <v>1</v>
      </c>
    </row>
    <row r="34" spans="1:10" ht="10.95" customHeight="1">
      <c r="A34" s="133">
        <v>9</v>
      </c>
      <c r="B34" s="138">
        <f>SUMIFS('Master Budget Sheet'!$BA$87:$BA$87,'Master Budget Sheet'!$F$87:$F$87,B$24,'Master Budget Sheet'!$E$87:$E$87,$A34-6)</f>
        <v>0</v>
      </c>
      <c r="C34" s="138">
        <f>SUMIFS('Master Budget Sheet'!$BA$87:$BA$87,'Master Budget Sheet'!$F$87:$F$87,C$24,'Master Budget Sheet'!$E$87:$E$87,$A34-6)</f>
        <v>0</v>
      </c>
      <c r="D34" s="138">
        <f>SUMIFS('Master Budget Sheet'!$BA$87:$BA$87,'Master Budget Sheet'!$F$87:$F$87,D$24,'Master Budget Sheet'!$E$87:$E$87,$A34-6)</f>
        <v>0</v>
      </c>
      <c r="E34" s="138">
        <f>SUMIFS('Master Budget Sheet'!$BA$87:$BA$87,'Master Budget Sheet'!$F$87:$F$87,E$24,'Master Budget Sheet'!$E$87:$E$87,$A34-6)</f>
        <v>0</v>
      </c>
      <c r="F34" s="138">
        <f>SUMIFS('Master Budget Sheet'!$BA$87:$BA$87,'Master Budget Sheet'!$F$87:$F$87,F$24,'Master Budget Sheet'!$E$87:$E$87,$A34-6)</f>
        <v>0</v>
      </c>
      <c r="G34" s="138">
        <f>SUMIFS('Master Budget Sheet'!$BA$87:$BA$87,'Master Budget Sheet'!$F$87:$F$87,G$24,'Master Budget Sheet'!$E$87:$E$87,$A34-6)</f>
        <v>0</v>
      </c>
      <c r="H34" s="138">
        <f>SUMIFS('Master Budget Sheet'!$BA$87:$BA$87,'Master Budget Sheet'!$F$87:$F$87,H$24,'Master Budget Sheet'!$E$87:$E$87,$A34-6)</f>
        <v>0</v>
      </c>
    </row>
    <row r="35" spans="1:10" ht="10.95" customHeight="1">
      <c r="A35" s="133">
        <v>10</v>
      </c>
      <c r="B35" s="138">
        <f>SUMIFS('Master Budget Sheet'!$BA$87:$BA$87,'Master Budget Sheet'!$F$87:$F$87,B$24,'Master Budget Sheet'!$E$87:$E$87,$A35-6)</f>
        <v>0</v>
      </c>
      <c r="C35" s="138">
        <f>SUMIFS('Master Budget Sheet'!$BA$87:$BA$87,'Master Budget Sheet'!$F$87:$F$87,C$24,'Master Budget Sheet'!$E$87:$E$87,$A35-6)</f>
        <v>0</v>
      </c>
      <c r="D35" s="138">
        <f>SUMIFS('Master Budget Sheet'!$BA$87:$BA$87,'Master Budget Sheet'!$F$87:$F$87,D$24,'Master Budget Sheet'!$E$87:$E$87,$A35-6)</f>
        <v>0</v>
      </c>
      <c r="E35" s="138">
        <f>SUMIFS('Master Budget Sheet'!$BA$87:$BA$87,'Master Budget Sheet'!$F$87:$F$87,E$24,'Master Budget Sheet'!$E$87:$E$87,$A35-6)</f>
        <v>0</v>
      </c>
      <c r="F35" s="138">
        <f>SUMIFS('Master Budget Sheet'!$BA$87:$BA$87,'Master Budget Sheet'!$F$87:$F$87,F$24,'Master Budget Sheet'!$E$87:$E$87,$A35-6)</f>
        <v>0</v>
      </c>
      <c r="G35" s="138">
        <f>SUMIFS('Master Budget Sheet'!$BA$87:$BA$87,'Master Budget Sheet'!$F$87:$F$87,G$24,'Master Budget Sheet'!$E$87:$E$87,$A35-6)</f>
        <v>0</v>
      </c>
      <c r="H35" s="138">
        <f>SUMIFS('Master Budget Sheet'!$BA$87:$BA$87,'Master Budget Sheet'!$F$87:$F$87,H$24,'Master Budget Sheet'!$E$87:$E$87,$A35-6)</f>
        <v>0</v>
      </c>
    </row>
    <row r="36" spans="1:10" ht="10.95" customHeight="1">
      <c r="A36" s="133">
        <v>11</v>
      </c>
      <c r="B36" s="138">
        <f>SUMIFS('Master Budget Sheet'!$BA$87:$BA$87,'Master Budget Sheet'!$F$87:$F$87,B$24,'Master Budget Sheet'!$E$87:$E$87,$A36-6)</f>
        <v>0</v>
      </c>
      <c r="C36" s="138">
        <f>SUMIFS('Master Budget Sheet'!$BA$87:$BA$87,'Master Budget Sheet'!$F$87:$F$87,C$24,'Master Budget Sheet'!$E$87:$E$87,$A36-6)</f>
        <v>0</v>
      </c>
      <c r="D36" s="138">
        <f>SUMIFS('Master Budget Sheet'!$BA$87:$BA$87,'Master Budget Sheet'!$F$87:$F$87,D$24,'Master Budget Sheet'!$E$87:$E$87,$A36-6)</f>
        <v>0</v>
      </c>
      <c r="E36" s="138">
        <f>SUMIFS('Master Budget Sheet'!$BA$87:$BA$87,'Master Budget Sheet'!$F$87:$F$87,E$24,'Master Budget Sheet'!$E$87:$E$87,$A36-6)</f>
        <v>0</v>
      </c>
      <c r="F36" s="138">
        <f>SUMIFS('Master Budget Sheet'!$BA$87:$BA$87,'Master Budget Sheet'!$F$87:$F$87,F$24,'Master Budget Sheet'!$E$87:$E$87,$A36-6)</f>
        <v>0</v>
      </c>
      <c r="G36" s="138">
        <f>SUMIFS('Master Budget Sheet'!$BA$87:$BA$87,'Master Budget Sheet'!$F$87:$F$87,G$24,'Master Budget Sheet'!$E$87:$E$87,$A36-6)</f>
        <v>0</v>
      </c>
      <c r="H36" s="138">
        <f>SUMIFS('Master Budget Sheet'!$BA$87:$BA$87,'Master Budget Sheet'!$F$87:$F$87,H$24,'Master Budget Sheet'!$E$87:$E$87,$A36-6)</f>
        <v>0</v>
      </c>
    </row>
    <row r="37" spans="1:10" ht="10.95" customHeight="1">
      <c r="A37" s="133">
        <v>12</v>
      </c>
      <c r="B37" s="138">
        <f>SUMIFS('Master Budget Sheet'!$BA$87:$BA$87,'Master Budget Sheet'!$F$87:$F$87,B$24,'Master Budget Sheet'!$E$87:$E$87,$A37-6)</f>
        <v>0</v>
      </c>
      <c r="C37" s="138">
        <f>SUMIFS('Master Budget Sheet'!$BA$87:$BA$87,'Master Budget Sheet'!$F$87:$F$87,C$24,'Master Budget Sheet'!$E$87:$E$87,$A37-6)</f>
        <v>0</v>
      </c>
      <c r="D37" s="138">
        <f>SUMIFS('Master Budget Sheet'!$BA$87:$BA$87,'Master Budget Sheet'!$F$87:$F$87,D$24,'Master Budget Sheet'!$E$87:$E$87,$A37-6)</f>
        <v>0</v>
      </c>
      <c r="E37" s="138">
        <f>SUMIFS('Master Budget Sheet'!$BA$87:$BA$87,'Master Budget Sheet'!$F$87:$F$87,E$24,'Master Budget Sheet'!$E$87:$E$87,$A37-6)</f>
        <v>0</v>
      </c>
      <c r="F37" s="138">
        <f>SUMIFS('Master Budget Sheet'!$BA$87:$BA$87,'Master Budget Sheet'!$F$87:$F$87,F$24,'Master Budget Sheet'!$E$87:$E$87,$A37-6)</f>
        <v>0</v>
      </c>
      <c r="G37" s="138">
        <f>SUMIFS('Master Budget Sheet'!$BA$87:$BA$87,'Master Budget Sheet'!$F$87:$F$87,G$24,'Master Budget Sheet'!$E$87:$E$87,$A37-6)</f>
        <v>0</v>
      </c>
      <c r="H37" s="138">
        <f>SUMIFS('Master Budget Sheet'!$BA$87:$BA$87,'Master Budget Sheet'!$F$87:$F$87,H$24,'Master Budget Sheet'!$E$87:$E$87,$A37-6)</f>
        <v>0</v>
      </c>
    </row>
    <row r="38" spans="1:10" ht="10.95" customHeight="1">
      <c r="A38" s="133" t="s">
        <v>227</v>
      </c>
      <c r="B38" s="138">
        <f>SUMIFS('Master Budget Sheet'!$BA$87:$BA$87,'Master Budget Sheet'!$F$87:$F$87,B$24,'Master Budget Sheet'!$E$87:$E$87,"&gt;6")</f>
        <v>0</v>
      </c>
      <c r="C38" s="138">
        <f>SUMIFS('Master Budget Sheet'!$BA$87:$BA$87,'Master Budget Sheet'!$F$87:$F$87,C$24,'Master Budget Sheet'!$E$87:$E$87,"&gt;6")</f>
        <v>0</v>
      </c>
      <c r="D38" s="138">
        <f>SUMIFS('Master Budget Sheet'!$BA$87:$BA$87,'Master Budget Sheet'!$F$87:$F$87,D$24,'Master Budget Sheet'!$E$87:$E$87,"&gt;6")</f>
        <v>0</v>
      </c>
      <c r="E38" s="138">
        <f>SUMIFS('Master Budget Sheet'!$BA$87:$BA$87,'Master Budget Sheet'!$F$87:$F$87,E$24,'Master Budget Sheet'!$E$87:$E$87,"&gt;6")</f>
        <v>0</v>
      </c>
      <c r="F38" s="138">
        <f>SUMIFS('Master Budget Sheet'!$BA$87:$BA$87,'Master Budget Sheet'!$F$87:$F$87,F$24,'Master Budget Sheet'!$E$87:$E$87,"&gt;6")</f>
        <v>0</v>
      </c>
      <c r="G38" s="138">
        <f>SUMIFS('Master Budget Sheet'!$BA$87:$BA$87,'Master Budget Sheet'!$F$87:$F$87,G$24,'Master Budget Sheet'!$E$87:$E$87,"&gt;6")</f>
        <v>0</v>
      </c>
      <c r="H38" s="138">
        <f>SUMIFS('Master Budget Sheet'!$BA$87:$BA$87,'Master Budget Sheet'!$F$87:$F$87,H$24,'Master Budget Sheet'!$E$87:$E$87,"&gt;6")</f>
        <v>0</v>
      </c>
    </row>
    <row r="39" spans="1:10" s="143" customFormat="1" ht="10.95" customHeight="1">
      <c r="A39" s="140" t="s">
        <v>229</v>
      </c>
      <c r="B39" s="141">
        <f t="shared" ref="B39:H39" si="0">ROUND(SUM(B25:B38),5)</f>
        <v>0</v>
      </c>
      <c r="C39" s="141">
        <f t="shared" si="0"/>
        <v>0</v>
      </c>
      <c r="D39" s="141">
        <f t="shared" si="0"/>
        <v>0</v>
      </c>
      <c r="E39" s="141">
        <f t="shared" si="0"/>
        <v>0</v>
      </c>
      <c r="F39" s="141">
        <f t="shared" si="0"/>
        <v>0</v>
      </c>
      <c r="G39" s="141">
        <f t="shared" si="0"/>
        <v>0</v>
      </c>
      <c r="H39" s="141">
        <f t="shared" si="0"/>
        <v>1</v>
      </c>
      <c r="I39" s="142"/>
    </row>
    <row r="40" spans="1:10" ht="10.95" customHeight="1">
      <c r="A40" s="136"/>
      <c r="B40" s="129"/>
      <c r="C40" s="129"/>
      <c r="D40" s="129"/>
      <c r="E40" s="129"/>
      <c r="F40" s="144" t="s">
        <v>230</v>
      </c>
      <c r="G40" s="145" t="s">
        <v>231</v>
      </c>
      <c r="H40" s="146">
        <f>ROUND(SUM(B39:H39),5)</f>
        <v>1</v>
      </c>
    </row>
    <row r="41" spans="1:10" ht="10.95" customHeight="1">
      <c r="A41" s="136"/>
      <c r="B41" s="129"/>
      <c r="C41" s="129"/>
      <c r="D41" s="129"/>
      <c r="E41" s="147"/>
      <c r="F41" s="148"/>
      <c r="G41" s="149"/>
      <c r="H41" s="150"/>
      <c r="I41" s="147"/>
    </row>
    <row r="42" spans="1:10" ht="10.95" customHeight="1">
      <c r="A42" s="128" t="s">
        <v>232</v>
      </c>
      <c r="B42" s="128"/>
      <c r="C42" s="128"/>
      <c r="D42" s="128"/>
      <c r="E42" s="128"/>
      <c r="F42" s="128"/>
      <c r="G42" s="128"/>
      <c r="H42" s="128"/>
    </row>
    <row r="43" spans="1:10" ht="10.95" customHeight="1">
      <c r="A43" s="133"/>
      <c r="B43" s="151"/>
      <c r="C43" s="151"/>
      <c r="D43" s="151"/>
      <c r="E43" s="133" t="s">
        <v>215</v>
      </c>
      <c r="F43" s="133" t="s">
        <v>216</v>
      </c>
      <c r="G43" s="133" t="s">
        <v>217</v>
      </c>
      <c r="H43" s="133" t="s">
        <v>218</v>
      </c>
    </row>
    <row r="44" spans="1:10" ht="10.95" customHeight="1">
      <c r="A44" s="133" t="s">
        <v>219</v>
      </c>
      <c r="B44" s="133" t="s">
        <v>220</v>
      </c>
      <c r="C44" s="133" t="s">
        <v>221</v>
      </c>
      <c r="D44" s="133" t="s">
        <v>222</v>
      </c>
      <c r="E44" s="133" t="s">
        <v>223</v>
      </c>
      <c r="F44" s="133" t="s">
        <v>224</v>
      </c>
      <c r="G44" s="133" t="s">
        <v>225</v>
      </c>
      <c r="H44" s="133" t="s">
        <v>226</v>
      </c>
    </row>
    <row r="45" spans="1:10" ht="10.95" customHeight="1">
      <c r="A45" s="133">
        <v>0</v>
      </c>
      <c r="B45" s="141">
        <f t="shared" ref="B45:H58" si="1">ROUND((+B6*B25),5)</f>
        <v>0</v>
      </c>
      <c r="C45" s="141">
        <f t="shared" si="1"/>
        <v>0</v>
      </c>
      <c r="D45" s="141">
        <f t="shared" si="1"/>
        <v>0</v>
      </c>
      <c r="E45" s="141">
        <f t="shared" si="1"/>
        <v>0</v>
      </c>
      <c r="F45" s="141">
        <f t="shared" si="1"/>
        <v>0</v>
      </c>
      <c r="G45" s="141">
        <f t="shared" si="1"/>
        <v>0</v>
      </c>
      <c r="H45" s="141">
        <f t="shared" si="1"/>
        <v>0</v>
      </c>
      <c r="I45" s="142"/>
      <c r="J45" s="136"/>
    </row>
    <row r="46" spans="1:10" ht="10.95" customHeight="1">
      <c r="A46" s="133">
        <v>1</v>
      </c>
      <c r="B46" s="141">
        <f t="shared" si="1"/>
        <v>0</v>
      </c>
      <c r="C46" s="141">
        <f t="shared" si="1"/>
        <v>0</v>
      </c>
      <c r="D46" s="141">
        <f t="shared" si="1"/>
        <v>0</v>
      </c>
      <c r="E46" s="141">
        <f t="shared" si="1"/>
        <v>0</v>
      </c>
      <c r="F46" s="141">
        <f t="shared" si="1"/>
        <v>0</v>
      </c>
      <c r="G46" s="141">
        <f t="shared" si="1"/>
        <v>0</v>
      </c>
      <c r="H46" s="141">
        <f t="shared" si="1"/>
        <v>0</v>
      </c>
      <c r="I46" s="142"/>
      <c r="J46" s="136"/>
    </row>
    <row r="47" spans="1:10" ht="10.95" customHeight="1">
      <c r="A47" s="133">
        <v>2</v>
      </c>
      <c r="B47" s="141">
        <f t="shared" si="1"/>
        <v>0</v>
      </c>
      <c r="C47" s="141">
        <f t="shared" si="1"/>
        <v>0</v>
      </c>
      <c r="D47" s="141">
        <f t="shared" si="1"/>
        <v>0</v>
      </c>
      <c r="E47" s="141">
        <f t="shared" si="1"/>
        <v>0</v>
      </c>
      <c r="F47" s="141">
        <f t="shared" si="1"/>
        <v>0</v>
      </c>
      <c r="G47" s="141">
        <f t="shared" si="1"/>
        <v>0</v>
      </c>
      <c r="H47" s="141">
        <f t="shared" si="1"/>
        <v>0</v>
      </c>
      <c r="I47" s="142"/>
      <c r="J47" s="136"/>
    </row>
    <row r="48" spans="1:10" ht="10.95" customHeight="1">
      <c r="A48" s="133">
        <v>3</v>
      </c>
      <c r="B48" s="141">
        <f t="shared" si="1"/>
        <v>0</v>
      </c>
      <c r="C48" s="141">
        <f t="shared" si="1"/>
        <v>0</v>
      </c>
      <c r="D48" s="141">
        <f t="shared" si="1"/>
        <v>0</v>
      </c>
      <c r="E48" s="141">
        <f t="shared" si="1"/>
        <v>0</v>
      </c>
      <c r="F48" s="141">
        <f t="shared" si="1"/>
        <v>0</v>
      </c>
      <c r="G48" s="141">
        <f t="shared" si="1"/>
        <v>0</v>
      </c>
      <c r="H48" s="141">
        <f t="shared" si="1"/>
        <v>0</v>
      </c>
      <c r="I48" s="142"/>
      <c r="J48" s="136"/>
    </row>
    <row r="49" spans="1:10" ht="10.95" customHeight="1">
      <c r="A49" s="133">
        <v>4</v>
      </c>
      <c r="B49" s="141">
        <f t="shared" si="1"/>
        <v>0</v>
      </c>
      <c r="C49" s="141">
        <f t="shared" si="1"/>
        <v>0</v>
      </c>
      <c r="D49" s="141">
        <f t="shared" si="1"/>
        <v>0</v>
      </c>
      <c r="E49" s="141">
        <f t="shared" si="1"/>
        <v>0</v>
      </c>
      <c r="F49" s="141">
        <f t="shared" si="1"/>
        <v>0</v>
      </c>
      <c r="G49" s="141">
        <f t="shared" si="1"/>
        <v>0</v>
      </c>
      <c r="H49" s="141">
        <f t="shared" si="1"/>
        <v>0</v>
      </c>
      <c r="I49" s="142"/>
      <c r="J49" s="136"/>
    </row>
    <row r="50" spans="1:10" ht="10.95" customHeight="1">
      <c r="A50" s="133">
        <v>5</v>
      </c>
      <c r="B50" s="141">
        <f t="shared" si="1"/>
        <v>0</v>
      </c>
      <c r="C50" s="141">
        <f t="shared" si="1"/>
        <v>0</v>
      </c>
      <c r="D50" s="141">
        <f t="shared" si="1"/>
        <v>0</v>
      </c>
      <c r="E50" s="141">
        <f t="shared" si="1"/>
        <v>0</v>
      </c>
      <c r="F50" s="141">
        <f t="shared" si="1"/>
        <v>0</v>
      </c>
      <c r="G50" s="141">
        <f t="shared" si="1"/>
        <v>0</v>
      </c>
      <c r="H50" s="141">
        <f t="shared" si="1"/>
        <v>0</v>
      </c>
      <c r="I50" s="142"/>
      <c r="J50" s="136"/>
    </row>
    <row r="51" spans="1:10" ht="10.95" customHeight="1">
      <c r="A51" s="133">
        <v>6</v>
      </c>
      <c r="B51" s="141">
        <f t="shared" si="1"/>
        <v>0</v>
      </c>
      <c r="C51" s="141">
        <f t="shared" si="1"/>
        <v>0</v>
      </c>
      <c r="D51" s="141">
        <f t="shared" si="1"/>
        <v>0</v>
      </c>
      <c r="E51" s="141">
        <f t="shared" si="1"/>
        <v>0</v>
      </c>
      <c r="F51" s="141">
        <f t="shared" si="1"/>
        <v>0</v>
      </c>
      <c r="G51" s="141">
        <f t="shared" si="1"/>
        <v>0</v>
      </c>
      <c r="H51" s="141">
        <f t="shared" si="1"/>
        <v>0</v>
      </c>
      <c r="I51" s="142"/>
      <c r="J51" s="136"/>
    </row>
    <row r="52" spans="1:10" ht="10.95" customHeight="1">
      <c r="A52" s="133">
        <v>7</v>
      </c>
      <c r="B52" s="141">
        <f t="shared" si="1"/>
        <v>0</v>
      </c>
      <c r="C52" s="141">
        <f t="shared" si="1"/>
        <v>0</v>
      </c>
      <c r="D52" s="141">
        <f t="shared" si="1"/>
        <v>0</v>
      </c>
      <c r="E52" s="141">
        <f t="shared" si="1"/>
        <v>0</v>
      </c>
      <c r="F52" s="141">
        <f t="shared" si="1"/>
        <v>0</v>
      </c>
      <c r="G52" s="141">
        <f t="shared" si="1"/>
        <v>0</v>
      </c>
      <c r="H52" s="141">
        <f t="shared" si="1"/>
        <v>0</v>
      </c>
      <c r="I52" s="142"/>
      <c r="J52" s="136"/>
    </row>
    <row r="53" spans="1:10" ht="10.95" customHeight="1">
      <c r="A53" s="133">
        <v>8</v>
      </c>
      <c r="B53" s="141">
        <f t="shared" si="1"/>
        <v>0</v>
      </c>
      <c r="C53" s="141">
        <f t="shared" si="1"/>
        <v>0</v>
      </c>
      <c r="D53" s="141">
        <f t="shared" si="1"/>
        <v>0</v>
      </c>
      <c r="E53" s="141">
        <f t="shared" si="1"/>
        <v>0</v>
      </c>
      <c r="F53" s="141">
        <f t="shared" si="1"/>
        <v>0</v>
      </c>
      <c r="G53" s="141">
        <f t="shared" si="1"/>
        <v>0</v>
      </c>
      <c r="H53" s="141">
        <f t="shared" si="1"/>
        <v>1.6742999999999999</v>
      </c>
      <c r="I53" s="142"/>
      <c r="J53" s="136"/>
    </row>
    <row r="54" spans="1:10" ht="10.95" customHeight="1">
      <c r="A54" s="133">
        <v>9</v>
      </c>
      <c r="B54" s="141">
        <f t="shared" si="1"/>
        <v>0</v>
      </c>
      <c r="C54" s="141">
        <f t="shared" si="1"/>
        <v>0</v>
      </c>
      <c r="D54" s="141">
        <f t="shared" si="1"/>
        <v>0</v>
      </c>
      <c r="E54" s="141">
        <f t="shared" si="1"/>
        <v>0</v>
      </c>
      <c r="F54" s="141">
        <f t="shared" si="1"/>
        <v>0</v>
      </c>
      <c r="G54" s="141">
        <f t="shared" si="1"/>
        <v>0</v>
      </c>
      <c r="H54" s="141">
        <f t="shared" si="1"/>
        <v>0</v>
      </c>
      <c r="I54" s="142"/>
      <c r="J54" s="136"/>
    </row>
    <row r="55" spans="1:10" ht="10.95" customHeight="1">
      <c r="A55" s="133">
        <v>10</v>
      </c>
      <c r="B55" s="141">
        <f t="shared" si="1"/>
        <v>0</v>
      </c>
      <c r="C55" s="141">
        <f t="shared" si="1"/>
        <v>0</v>
      </c>
      <c r="D55" s="141">
        <f t="shared" si="1"/>
        <v>0</v>
      </c>
      <c r="E55" s="141">
        <f t="shared" si="1"/>
        <v>0</v>
      </c>
      <c r="F55" s="141">
        <f t="shared" si="1"/>
        <v>0</v>
      </c>
      <c r="G55" s="141">
        <f t="shared" si="1"/>
        <v>0</v>
      </c>
      <c r="H55" s="141">
        <f t="shared" si="1"/>
        <v>0</v>
      </c>
      <c r="I55" s="142"/>
      <c r="J55" s="136"/>
    </row>
    <row r="56" spans="1:10" ht="10.95" customHeight="1">
      <c r="A56" s="133">
        <v>11</v>
      </c>
      <c r="B56" s="141">
        <f t="shared" si="1"/>
        <v>0</v>
      </c>
      <c r="C56" s="141">
        <f t="shared" si="1"/>
        <v>0</v>
      </c>
      <c r="D56" s="141">
        <f t="shared" si="1"/>
        <v>0</v>
      </c>
      <c r="E56" s="141">
        <f t="shared" si="1"/>
        <v>0</v>
      </c>
      <c r="F56" s="141">
        <f t="shared" si="1"/>
        <v>0</v>
      </c>
      <c r="G56" s="141">
        <f t="shared" si="1"/>
        <v>0</v>
      </c>
      <c r="H56" s="141">
        <f t="shared" si="1"/>
        <v>0</v>
      </c>
      <c r="I56" s="142"/>
      <c r="J56" s="136"/>
    </row>
    <row r="57" spans="1:10" ht="10.95" customHeight="1">
      <c r="A57" s="133">
        <v>12</v>
      </c>
      <c r="B57" s="141">
        <f t="shared" si="1"/>
        <v>0</v>
      </c>
      <c r="C57" s="141">
        <f t="shared" si="1"/>
        <v>0</v>
      </c>
      <c r="D57" s="141">
        <f t="shared" si="1"/>
        <v>0</v>
      </c>
      <c r="E57" s="141">
        <f t="shared" si="1"/>
        <v>0</v>
      </c>
      <c r="F57" s="141">
        <f t="shared" si="1"/>
        <v>0</v>
      </c>
      <c r="G57" s="141">
        <f t="shared" si="1"/>
        <v>0</v>
      </c>
      <c r="H57" s="141">
        <f t="shared" si="1"/>
        <v>0</v>
      </c>
      <c r="I57" s="142"/>
      <c r="J57" s="136"/>
    </row>
    <row r="58" spans="1:10" ht="10.95" customHeight="1">
      <c r="A58" s="133" t="s">
        <v>227</v>
      </c>
      <c r="B58" s="141">
        <f t="shared" si="1"/>
        <v>0</v>
      </c>
      <c r="C58" s="141">
        <f t="shared" si="1"/>
        <v>0</v>
      </c>
      <c r="D58" s="141">
        <f t="shared" si="1"/>
        <v>0</v>
      </c>
      <c r="E58" s="141">
        <f t="shared" si="1"/>
        <v>0</v>
      </c>
      <c r="F58" s="141">
        <f t="shared" si="1"/>
        <v>0</v>
      </c>
      <c r="G58" s="141">
        <f t="shared" si="1"/>
        <v>0</v>
      </c>
      <c r="H58" s="141">
        <f t="shared" si="1"/>
        <v>0</v>
      </c>
      <c r="I58" s="142"/>
      <c r="J58" s="136"/>
    </row>
    <row r="59" spans="1:10" s="153" customFormat="1" ht="10.95" customHeight="1">
      <c r="A59" s="133" t="s">
        <v>229</v>
      </c>
      <c r="B59" s="141">
        <f t="shared" ref="B59:H59" si="2">ROUND(SUM(B45:B58),5)</f>
        <v>0</v>
      </c>
      <c r="C59" s="141">
        <f t="shared" si="2"/>
        <v>0</v>
      </c>
      <c r="D59" s="141">
        <f t="shared" si="2"/>
        <v>0</v>
      </c>
      <c r="E59" s="141">
        <f t="shared" si="2"/>
        <v>0</v>
      </c>
      <c r="F59" s="141">
        <f t="shared" si="2"/>
        <v>0</v>
      </c>
      <c r="G59" s="141">
        <f t="shared" si="2"/>
        <v>0</v>
      </c>
      <c r="H59" s="141">
        <f t="shared" si="2"/>
        <v>1.6742999999999999</v>
      </c>
      <c r="I59" s="152"/>
    </row>
    <row r="60" spans="1:10" ht="16.95" customHeight="1">
      <c r="A60" s="136"/>
      <c r="B60" s="154"/>
      <c r="C60" s="154"/>
      <c r="D60" s="154"/>
      <c r="E60" s="154"/>
      <c r="F60" s="155" t="s">
        <v>233</v>
      </c>
      <c r="G60" s="156" t="s">
        <v>234</v>
      </c>
      <c r="H60" s="157">
        <f>ROUND(SUM(B59:H59),5)</f>
        <v>1.6742999999999999</v>
      </c>
    </row>
    <row r="61" spans="1:10" ht="10.95" customHeight="1">
      <c r="A61" s="136"/>
      <c r="B61" s="158"/>
      <c r="C61" s="158"/>
      <c r="D61" s="158"/>
      <c r="E61" s="158"/>
      <c r="F61" s="159" t="s">
        <v>235</v>
      </c>
      <c r="G61" s="160" t="s">
        <v>236</v>
      </c>
      <c r="H61" s="161">
        <f>IF(H40=0,0,ROUND(H60/H40,6))</f>
        <v>1.6742999999999999</v>
      </c>
    </row>
    <row r="62" spans="1:10" ht="10.95" customHeight="1">
      <c r="A62" s="136"/>
      <c r="B62" s="129"/>
      <c r="C62" s="129"/>
      <c r="D62" s="129"/>
      <c r="E62" s="129"/>
      <c r="F62" s="129"/>
      <c r="G62" s="129"/>
      <c r="H62" s="129"/>
    </row>
    <row r="63" spans="1:10" ht="10.95" customHeight="1">
      <c r="A63" s="162"/>
      <c r="B63" s="129"/>
      <c r="C63" s="129"/>
      <c r="D63" s="129"/>
      <c r="E63" s="129"/>
      <c r="F63" s="129"/>
      <c r="G63" s="129"/>
      <c r="H63" s="129"/>
    </row>
    <row r="64" spans="1:10" ht="10.95" customHeight="1">
      <c r="A64" s="162"/>
    </row>
    <row r="65" spans="1:1" ht="10.95" customHeight="1">
      <c r="A65" s="162"/>
    </row>
    <row r="66" spans="1:1" ht="10.95" customHeight="1">
      <c r="A66" s="162"/>
    </row>
    <row r="67" spans="1:1" ht="10.95" customHeight="1">
      <c r="A67" s="162"/>
    </row>
    <row r="68" spans="1:1" ht="10.95" customHeight="1">
      <c r="A68" s="162"/>
    </row>
    <row r="69" spans="1:1" ht="10.95" customHeight="1">
      <c r="A69" s="162"/>
    </row>
    <row r="70" spans="1:1" ht="10.95" customHeight="1">
      <c r="A70" s="162"/>
    </row>
    <row r="71" spans="1:1" ht="10.95" customHeight="1">
      <c r="A71" s="162"/>
    </row>
    <row r="72" spans="1:1" ht="10.95" customHeight="1">
      <c r="A72" s="162"/>
    </row>
    <row r="73" spans="1:1" ht="10.95" customHeight="1">
      <c r="A73" s="162"/>
    </row>
    <row r="74" spans="1:1" ht="10.95" customHeight="1">
      <c r="A74" s="162"/>
    </row>
    <row r="75" spans="1:1" ht="10.95" customHeight="1">
      <c r="A75" s="162"/>
    </row>
    <row r="76" spans="1:1" ht="10.95" customHeight="1">
      <c r="A76" s="162"/>
    </row>
    <row r="77" spans="1:1" ht="10.95" customHeight="1">
      <c r="A77" s="162"/>
    </row>
    <row r="78" spans="1:1" ht="10.95" customHeight="1">
      <c r="A78" s="162"/>
    </row>
    <row r="79" spans="1:1" ht="10.95" customHeight="1">
      <c r="A79" s="162"/>
    </row>
    <row r="80" spans="1:1" ht="10.95" customHeight="1">
      <c r="A80" s="162"/>
    </row>
    <row r="81" spans="1:1" ht="10.95" customHeight="1">
      <c r="A81" s="162"/>
    </row>
    <row r="82" spans="1:1" ht="10.95" customHeight="1">
      <c r="A82" s="162"/>
    </row>
    <row r="83" spans="1:1" ht="10.95" customHeight="1">
      <c r="A83" s="162"/>
    </row>
    <row r="84" spans="1:1" ht="10.95" customHeight="1">
      <c r="A84" s="162"/>
    </row>
    <row r="85" spans="1:1" ht="10.95" customHeight="1">
      <c r="A85" s="162"/>
    </row>
    <row r="86" spans="1:1" ht="10.95" customHeight="1">
      <c r="A86" s="162"/>
    </row>
    <row r="87" spans="1:1" ht="10.95" customHeight="1">
      <c r="A87" s="162"/>
    </row>
    <row r="88" spans="1:1" ht="10.95" customHeight="1">
      <c r="A88" s="162"/>
    </row>
    <row r="89" spans="1:1" ht="10.95" customHeight="1">
      <c r="A89" s="162"/>
    </row>
    <row r="90" spans="1:1" ht="10.95" customHeight="1">
      <c r="A90" s="162"/>
    </row>
    <row r="91" spans="1:1" ht="10.95" customHeight="1">
      <c r="A91" s="162"/>
    </row>
    <row r="92" spans="1:1" ht="10.95" customHeight="1">
      <c r="A92" s="162"/>
    </row>
    <row r="93" spans="1:1" ht="10.95" customHeight="1">
      <c r="A93" s="162"/>
    </row>
    <row r="94" spans="1:1" ht="10.95" customHeight="1">
      <c r="A94" s="162"/>
    </row>
    <row r="95" spans="1:1" ht="10.95" customHeight="1">
      <c r="A95" s="162"/>
    </row>
    <row r="96" spans="1:1" ht="10.95" customHeight="1">
      <c r="A96" s="162"/>
    </row>
    <row r="97" spans="1:1" ht="10.95" customHeight="1">
      <c r="A97" s="162"/>
    </row>
    <row r="98" spans="1:1" ht="10.95" customHeight="1">
      <c r="A98" s="162"/>
    </row>
    <row r="99" spans="1:1" ht="10.95" customHeight="1">
      <c r="A99" s="162"/>
    </row>
    <row r="100" spans="1:1" ht="10.95" customHeight="1">
      <c r="A100" s="162"/>
    </row>
    <row r="101" spans="1:1" ht="10.95" customHeight="1">
      <c r="A101" s="162"/>
    </row>
    <row r="102" spans="1:1" ht="10.95" customHeight="1">
      <c r="A102" s="162"/>
    </row>
    <row r="103" spans="1:1" ht="10.95" customHeight="1">
      <c r="A103" s="162"/>
    </row>
    <row r="104" spans="1:1" ht="10.95" customHeight="1">
      <c r="A104" s="162"/>
    </row>
    <row r="105" spans="1:1" ht="10.95" customHeight="1">
      <c r="A105" s="162"/>
    </row>
    <row r="106" spans="1:1" ht="10.95" customHeight="1">
      <c r="A106" s="162"/>
    </row>
    <row r="107" spans="1:1" ht="10.95" customHeight="1">
      <c r="A107" s="162"/>
    </row>
    <row r="108" spans="1:1" ht="10.95" customHeight="1">
      <c r="A108" s="162"/>
    </row>
    <row r="109" spans="1:1" ht="10.95" customHeight="1">
      <c r="A109" s="162"/>
    </row>
    <row r="110" spans="1:1" ht="10.95" customHeight="1">
      <c r="A110" s="162"/>
    </row>
    <row r="111" spans="1:1" ht="10.95" customHeight="1">
      <c r="A111" s="162"/>
    </row>
    <row r="112" spans="1:1" ht="10.95" customHeight="1">
      <c r="A112" s="162"/>
    </row>
    <row r="113" spans="1:1" ht="10.95" customHeight="1">
      <c r="A113" s="162"/>
    </row>
    <row r="114" spans="1:1" ht="10.95" customHeight="1">
      <c r="A114" s="162"/>
    </row>
    <row r="115" spans="1:1" ht="10.95" customHeight="1">
      <c r="A115" s="162"/>
    </row>
    <row r="116" spans="1:1" ht="10.95" customHeight="1">
      <c r="A116" s="162"/>
    </row>
    <row r="117" spans="1:1" ht="10.95" customHeight="1">
      <c r="A117" s="162"/>
    </row>
    <row r="118" spans="1:1" ht="10.95" customHeight="1">
      <c r="A118" s="162"/>
    </row>
    <row r="119" spans="1:1" ht="10.95" customHeight="1">
      <c r="A119" s="162"/>
    </row>
    <row r="120" spans="1:1" ht="10.95" customHeight="1">
      <c r="A120" s="162"/>
    </row>
    <row r="121" spans="1:1" ht="10.95" customHeight="1">
      <c r="A121" s="162"/>
    </row>
    <row r="122" spans="1:1" ht="10.95" customHeight="1">
      <c r="A122" s="162"/>
    </row>
    <row r="123" spans="1:1" ht="10.95" customHeight="1">
      <c r="A123" s="162"/>
    </row>
    <row r="124" spans="1:1" ht="10.95" customHeight="1">
      <c r="A124" s="162"/>
    </row>
    <row r="125" spans="1:1" ht="10.95" customHeight="1">
      <c r="A125" s="162"/>
    </row>
    <row r="126" spans="1:1" ht="10.95" customHeight="1">
      <c r="A126" s="162"/>
    </row>
    <row r="127" spans="1:1" ht="10.95" customHeight="1">
      <c r="A127" s="162"/>
    </row>
  </sheetData>
  <pageMargins left="0.7" right="0.7" top="0.75" bottom="0.75" header="0.3" footer="0.3"/>
  <pageSetup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22"/>
  <dimension ref="A1:M45"/>
  <sheetViews>
    <sheetView workbookViewId="0">
      <selection activeCell="C39" sqref="C39"/>
    </sheetView>
  </sheetViews>
  <sheetFormatPr defaultColWidth="10.44140625" defaultRowHeight="13.2"/>
  <cols>
    <col min="1" max="1" width="11" style="268" customWidth="1"/>
    <col min="2" max="2" width="12.21875" style="268" customWidth="1"/>
    <col min="3" max="3" width="11.77734375" style="268" customWidth="1"/>
    <col min="4" max="4" width="16.77734375" style="268" customWidth="1"/>
    <col min="5" max="5" width="14.44140625" style="268" customWidth="1"/>
    <col min="6" max="6" width="12.77734375" style="268" customWidth="1"/>
    <col min="7" max="7" width="6.77734375" style="268" customWidth="1"/>
    <col min="8" max="9" width="5.77734375" style="268" customWidth="1"/>
    <col min="10" max="10" width="8.77734375" style="268" customWidth="1"/>
    <col min="11" max="11" width="7.21875" style="268" customWidth="1"/>
    <col min="12" max="12" width="10.44140625" style="272"/>
    <col min="13" max="13" width="13.5546875" style="268" customWidth="1"/>
    <col min="14" max="16384" width="10.44140625" style="268"/>
  </cols>
  <sheetData>
    <row r="1" spans="1:13" ht="13.8">
      <c r="A1" s="336"/>
      <c r="E1" s="181"/>
      <c r="F1" s="181"/>
      <c r="G1" s="181"/>
      <c r="H1" s="181"/>
      <c r="I1" s="181"/>
      <c r="J1" s="181"/>
      <c r="K1" s="181"/>
    </row>
    <row r="2" spans="1:13" s="333" customFormat="1" ht="19.2" customHeight="1">
      <c r="A2" s="335" t="s">
        <v>257</v>
      </c>
      <c r="B2" s="335"/>
      <c r="C2" s="268"/>
      <c r="D2" s="268"/>
      <c r="E2" s="181"/>
      <c r="F2" s="181"/>
      <c r="G2" s="181"/>
      <c r="H2" s="181"/>
      <c r="I2" s="181"/>
      <c r="J2" s="181"/>
      <c r="K2" s="181"/>
      <c r="L2" s="334"/>
    </row>
    <row r="3" spans="1:13" s="175" customFormat="1" ht="16.2" customHeight="1">
      <c r="A3" s="329">
        <v>1</v>
      </c>
      <c r="B3" s="332" t="s">
        <v>381</v>
      </c>
      <c r="C3" s="330"/>
      <c r="D3" s="329"/>
      <c r="E3" s="181"/>
      <c r="F3" s="181"/>
      <c r="G3" s="181"/>
      <c r="H3" s="181"/>
      <c r="I3" s="181"/>
      <c r="J3" s="181"/>
      <c r="K3" s="181"/>
      <c r="L3" s="275"/>
    </row>
    <row r="4" spans="1:13" s="175" customFormat="1" ht="16.2" customHeight="1">
      <c r="A4" s="329">
        <v>2</v>
      </c>
      <c r="B4" s="331" t="s">
        <v>380</v>
      </c>
      <c r="C4" s="330"/>
      <c r="D4" s="329"/>
      <c r="E4" s="181"/>
      <c r="F4" s="181"/>
      <c r="G4" s="181"/>
      <c r="H4" s="181"/>
      <c r="I4" s="181"/>
      <c r="J4" s="181"/>
      <c r="K4" s="181"/>
      <c r="L4" s="275"/>
    </row>
    <row r="5" spans="1:13" s="175" customFormat="1" ht="16.2" customHeight="1">
      <c r="A5" s="174">
        <v>3</v>
      </c>
      <c r="B5" s="331" t="s">
        <v>379</v>
      </c>
      <c r="C5" s="330"/>
      <c r="D5" s="329"/>
      <c r="E5" s="181"/>
      <c r="F5" s="181"/>
      <c r="G5" s="181"/>
      <c r="H5" s="181"/>
      <c r="I5" s="181"/>
      <c r="J5" s="181"/>
      <c r="K5" s="181"/>
      <c r="L5" s="275"/>
    </row>
    <row r="6" spans="1:13" s="175" customFormat="1" ht="16.2" customHeight="1">
      <c r="A6" s="174">
        <v>4</v>
      </c>
      <c r="B6" s="328" t="s">
        <v>378</v>
      </c>
      <c r="C6" s="327"/>
      <c r="D6" s="174"/>
      <c r="E6" s="181"/>
      <c r="F6" s="181"/>
      <c r="G6" s="181"/>
      <c r="H6" s="181"/>
      <c r="I6" s="181"/>
      <c r="J6" s="181"/>
      <c r="K6" s="181"/>
      <c r="L6" s="275"/>
    </row>
    <row r="7" spans="1:13" s="175" customFormat="1" ht="16.2" customHeight="1">
      <c r="A7" s="174">
        <v>5</v>
      </c>
      <c r="B7" s="326" t="s">
        <v>258</v>
      </c>
      <c r="C7" s="325"/>
      <c r="D7" s="324"/>
      <c r="E7" s="181"/>
      <c r="F7" s="181"/>
      <c r="G7" s="181"/>
      <c r="H7" s="181"/>
      <c r="I7" s="181"/>
      <c r="J7" s="181"/>
      <c r="K7" s="181"/>
      <c r="L7" s="275"/>
    </row>
    <row r="8" spans="1:13" s="175" customFormat="1" ht="12.6" customHeight="1">
      <c r="E8" s="181"/>
      <c r="F8" s="181"/>
      <c r="G8" s="181"/>
      <c r="H8" s="181"/>
      <c r="I8" s="181"/>
      <c r="L8" s="275"/>
    </row>
    <row r="9" spans="1:13" customFormat="1" ht="14.4"/>
    <row r="10" spans="1:13" customFormat="1" ht="14.4"/>
    <row r="11" spans="1:13" customFormat="1" ht="14.4"/>
    <row r="12" spans="1:13" s="177" customFormat="1" ht="43.95" customHeight="1">
      <c r="A12" s="320" t="s">
        <v>240</v>
      </c>
      <c r="B12" s="321" t="s">
        <v>377</v>
      </c>
      <c r="C12" s="320" t="s">
        <v>117</v>
      </c>
      <c r="D12" s="319" t="s">
        <v>376</v>
      </c>
      <c r="E12" s="181"/>
      <c r="F12" s="181"/>
      <c r="G12" s="181"/>
      <c r="H12" s="181"/>
      <c r="I12" s="181"/>
      <c r="L12" s="306"/>
    </row>
    <row r="13" spans="1:13" s="177" customFormat="1" ht="15" customHeight="1">
      <c r="A13" s="318" t="s">
        <v>241</v>
      </c>
      <c r="B13" s="317">
        <f>+'Master Budget Sheet'!BA146</f>
        <v>0</v>
      </c>
      <c r="C13" s="316">
        <f>+'Master Budget Sheet'!BP168</f>
        <v>55267</v>
      </c>
      <c r="D13" s="315">
        <f t="shared" ref="D13:D25" si="0">B13*C13</f>
        <v>0</v>
      </c>
      <c r="E13" s="181"/>
      <c r="F13" s="181"/>
      <c r="G13" s="181"/>
      <c r="H13" s="181"/>
      <c r="I13" s="181"/>
      <c r="L13" s="306"/>
    </row>
    <row r="14" spans="1:13" s="177" customFormat="1" ht="13.8">
      <c r="A14" s="312" t="s">
        <v>460</v>
      </c>
      <c r="B14" s="317">
        <f>+'Master Budget Sheet'!BA147</f>
        <v>0</v>
      </c>
      <c r="C14" s="303">
        <f>+'Master Budget Sheet'!BP169</f>
        <v>56426</v>
      </c>
      <c r="D14" s="313">
        <f t="shared" si="0"/>
        <v>0</v>
      </c>
      <c r="E14" s="181"/>
      <c r="F14" s="181"/>
      <c r="G14" s="181"/>
      <c r="H14" s="181"/>
      <c r="I14" s="181"/>
      <c r="L14" s="306"/>
    </row>
    <row r="15" spans="1:13" s="181" customFormat="1" ht="13.8">
      <c r="A15" s="314" t="s">
        <v>461</v>
      </c>
      <c r="B15" s="317">
        <f>+'Master Budget Sheet'!BA148</f>
        <v>0</v>
      </c>
      <c r="C15" s="303">
        <f>+'Master Budget Sheet'!BP170</f>
        <v>57585</v>
      </c>
      <c r="D15" s="313">
        <f t="shared" si="0"/>
        <v>0</v>
      </c>
      <c r="J15" s="177"/>
      <c r="K15" s="177"/>
      <c r="L15" s="306"/>
      <c r="M15" s="177"/>
    </row>
    <row r="16" spans="1:13" s="181" customFormat="1" ht="13.8">
      <c r="A16" s="312" t="s">
        <v>246</v>
      </c>
      <c r="B16" s="317">
        <f>+'Master Budget Sheet'!BA149</f>
        <v>0</v>
      </c>
      <c r="C16" s="303">
        <f>+'Master Budget Sheet'!BP171</f>
        <v>58745</v>
      </c>
      <c r="D16" s="313">
        <f t="shared" si="0"/>
        <v>0</v>
      </c>
      <c r="J16" s="177"/>
      <c r="K16" s="177"/>
      <c r="L16" s="306"/>
      <c r="M16" s="177"/>
    </row>
    <row r="17" spans="1:12" s="177" customFormat="1" ht="13.8">
      <c r="A17" s="312" t="s">
        <v>247</v>
      </c>
      <c r="B17" s="317">
        <f>+'Master Budget Sheet'!BA150</f>
        <v>0</v>
      </c>
      <c r="C17" s="303">
        <f>+'Master Budget Sheet'!BP172</f>
        <v>60775</v>
      </c>
      <c r="D17" s="313">
        <f t="shared" si="0"/>
        <v>0</v>
      </c>
      <c r="H17" s="181"/>
      <c r="I17" s="181"/>
      <c r="L17" s="306"/>
    </row>
    <row r="18" spans="1:12" s="177" customFormat="1" ht="13.8">
      <c r="A18" s="312" t="s">
        <v>248</v>
      </c>
      <c r="B18" s="317">
        <f>+'Master Budget Sheet'!BA151</f>
        <v>0</v>
      </c>
      <c r="C18" s="303">
        <f>+'Master Budget Sheet'!BP173</f>
        <v>62802</v>
      </c>
      <c r="D18" s="313">
        <f t="shared" si="0"/>
        <v>0</v>
      </c>
      <c r="H18" s="181"/>
      <c r="I18" s="181"/>
      <c r="L18" s="306"/>
    </row>
    <row r="19" spans="1:12" s="177" customFormat="1" ht="13.8">
      <c r="A19" s="312" t="s">
        <v>249</v>
      </c>
      <c r="B19" s="317">
        <f>+'Master Budget Sheet'!BA152</f>
        <v>1</v>
      </c>
      <c r="C19" s="303">
        <f>+'Master Budget Sheet'!BP174</f>
        <v>64831</v>
      </c>
      <c r="D19" s="313">
        <f t="shared" si="0"/>
        <v>64831</v>
      </c>
      <c r="H19" s="181"/>
      <c r="I19" s="181"/>
      <c r="L19" s="306"/>
    </row>
    <row r="20" spans="1:12" s="177" customFormat="1" ht="13.95" customHeight="1">
      <c r="A20" s="312" t="s">
        <v>250</v>
      </c>
      <c r="B20" s="317">
        <f>+'Master Budget Sheet'!BA153</f>
        <v>1.5</v>
      </c>
      <c r="C20" s="303">
        <f>+'Master Budget Sheet'!BP175</f>
        <v>66860</v>
      </c>
      <c r="D20" s="313">
        <f t="shared" si="0"/>
        <v>100290</v>
      </c>
      <c r="E20" s="175"/>
      <c r="F20" s="175"/>
      <c r="G20" s="175"/>
      <c r="H20" s="181"/>
      <c r="I20" s="181"/>
      <c r="L20" s="306"/>
    </row>
    <row r="21" spans="1:12" s="177" customFormat="1" ht="13.8">
      <c r="A21" s="312" t="s">
        <v>440</v>
      </c>
      <c r="B21" s="317">
        <f>+'Master Budget Sheet'!BA154</f>
        <v>3</v>
      </c>
      <c r="C21" s="303">
        <f>+'Master Budget Sheet'!BP176</f>
        <v>70917</v>
      </c>
      <c r="D21" s="313">
        <f t="shared" si="0"/>
        <v>212751</v>
      </c>
      <c r="H21" s="181"/>
      <c r="I21" s="181"/>
      <c r="L21" s="306"/>
    </row>
    <row r="22" spans="1:12" s="177" customFormat="1" ht="13.8">
      <c r="A22" s="312" t="s">
        <v>441</v>
      </c>
      <c r="B22" s="317">
        <f>+'Master Budget Sheet'!BA155</f>
        <v>1.2</v>
      </c>
      <c r="C22" s="303">
        <f>+'Master Budget Sheet'!BP177</f>
        <v>73236</v>
      </c>
      <c r="D22" s="313">
        <f t="shared" si="0"/>
        <v>87883.199999999997</v>
      </c>
      <c r="H22" s="181"/>
      <c r="I22" s="181"/>
      <c r="L22" s="306"/>
    </row>
    <row r="23" spans="1:12" s="177" customFormat="1" ht="13.8">
      <c r="A23" s="312" t="s">
        <v>442</v>
      </c>
      <c r="B23" s="317">
        <f>+'Master Budget Sheet'!BA156</f>
        <v>1.3</v>
      </c>
      <c r="C23" s="303">
        <f>+'Master Budget Sheet'!BP178</f>
        <v>75555</v>
      </c>
      <c r="D23" s="313">
        <f t="shared" si="0"/>
        <v>98221.5</v>
      </c>
      <c r="H23" s="181"/>
      <c r="I23" s="181"/>
      <c r="L23" s="306"/>
    </row>
    <row r="24" spans="1:12" s="177" customFormat="1" ht="13.8">
      <c r="A24" s="312" t="s">
        <v>443</v>
      </c>
      <c r="B24" s="317">
        <f>+'Master Budget Sheet'!BA157</f>
        <v>2</v>
      </c>
      <c r="C24" s="303">
        <f>+'Master Budget Sheet'!BP179</f>
        <v>77873</v>
      </c>
      <c r="D24" s="313">
        <f t="shared" si="0"/>
        <v>155746</v>
      </c>
      <c r="H24" s="181"/>
      <c r="I24" s="181"/>
      <c r="L24" s="306"/>
    </row>
    <row r="25" spans="1:12" s="177" customFormat="1" ht="13.8">
      <c r="A25" s="312" t="s">
        <v>444</v>
      </c>
      <c r="B25" s="317">
        <f>+'Master Budget Sheet'!BA158</f>
        <v>7</v>
      </c>
      <c r="C25" s="303">
        <f>+'Master Budget Sheet'!BP180</f>
        <v>80192</v>
      </c>
      <c r="D25" s="311">
        <f t="shared" si="0"/>
        <v>561344</v>
      </c>
      <c r="H25" s="181"/>
      <c r="I25" s="181"/>
      <c r="L25" s="306"/>
    </row>
    <row r="26" spans="1:12" s="177" customFormat="1" ht="14.4" thickBot="1">
      <c r="A26" s="271" t="s">
        <v>375</v>
      </c>
      <c r="B26" s="310">
        <f>SUM(B13:B25)</f>
        <v>17</v>
      </c>
      <c r="D26" s="309" t="s">
        <v>374</v>
      </c>
      <c r="E26" s="308">
        <f>SUM(D13:D25)</f>
        <v>1281066.7</v>
      </c>
      <c r="H26" s="181"/>
      <c r="I26" s="181"/>
      <c r="L26" s="306"/>
    </row>
    <row r="27" spans="1:12" s="177" customFormat="1" ht="14.4" thickTop="1">
      <c r="E27" s="307"/>
      <c r="H27" s="181"/>
      <c r="I27" s="181"/>
      <c r="L27" s="306"/>
    </row>
    <row r="28" spans="1:12" s="175" customFormat="1" ht="13.8">
      <c r="A28" s="283" t="s">
        <v>260</v>
      </c>
      <c r="B28" s="283"/>
      <c r="C28" s="275"/>
      <c r="D28" s="275"/>
      <c r="E28" s="300"/>
      <c r="F28" s="275"/>
      <c r="G28" s="275"/>
      <c r="H28" s="275"/>
      <c r="I28" s="275"/>
      <c r="J28" s="182"/>
      <c r="L28" s="275"/>
    </row>
    <row r="29" spans="1:12" s="175" customFormat="1" ht="21" customHeight="1">
      <c r="A29" s="286" t="s">
        <v>373</v>
      </c>
      <c r="B29" s="286"/>
      <c r="C29" s="286"/>
      <c r="D29" s="286"/>
      <c r="E29" s="300"/>
      <c r="F29" s="275"/>
      <c r="G29" s="275"/>
      <c r="H29" s="275"/>
      <c r="I29" s="275"/>
      <c r="L29" s="275"/>
    </row>
    <row r="30" spans="1:12" s="175" customFormat="1" ht="13.8">
      <c r="A30" s="286" t="s">
        <v>261</v>
      </c>
      <c r="B30" s="285" t="s">
        <v>168</v>
      </c>
      <c r="C30" s="283" t="s">
        <v>372</v>
      </c>
      <c r="D30" s="305" t="s">
        <v>259</v>
      </c>
      <c r="E30" s="290"/>
      <c r="F30" s="283"/>
      <c r="G30" s="283"/>
      <c r="H30" s="283"/>
      <c r="I30" s="283"/>
      <c r="L30" s="275"/>
    </row>
    <row r="31" spans="1:12" s="179" customFormat="1" ht="13.8">
      <c r="A31" s="304" t="s">
        <v>262</v>
      </c>
      <c r="B31" s="317">
        <f>+'Master Budget Sheet'!BA160</f>
        <v>3</v>
      </c>
      <c r="C31" s="303">
        <f>+'Master Budget Sheet'!BP182</f>
        <v>2000</v>
      </c>
      <c r="D31" s="302">
        <f>B31*C31</f>
        <v>6000</v>
      </c>
      <c r="E31" s="300"/>
      <c r="F31" s="275"/>
      <c r="G31" s="275"/>
      <c r="H31" s="275"/>
      <c r="I31" s="275"/>
      <c r="L31" s="275"/>
    </row>
    <row r="32" spans="1:12" s="175" customFormat="1" ht="13.8">
      <c r="A32" s="304" t="s">
        <v>263</v>
      </c>
      <c r="B32" s="317">
        <f>+'Master Budget Sheet'!BA161</f>
        <v>5</v>
      </c>
      <c r="C32" s="303">
        <f>+'Master Budget Sheet'!BP183</f>
        <v>3500</v>
      </c>
      <c r="D32" s="302">
        <f>B32*C32</f>
        <v>17500</v>
      </c>
      <c r="E32" s="300"/>
      <c r="F32" s="275"/>
      <c r="G32" s="275"/>
      <c r="H32" s="275"/>
      <c r="I32" s="275"/>
      <c r="L32" s="275"/>
    </row>
    <row r="33" spans="1:12" s="175" customFormat="1" ht="13.8">
      <c r="A33" s="275"/>
      <c r="C33" s="275"/>
      <c r="D33" s="279" t="s">
        <v>264</v>
      </c>
      <c r="E33" s="277">
        <f>SUM(D31:D32)</f>
        <v>23500</v>
      </c>
      <c r="F33" s="275"/>
      <c r="G33" s="275"/>
      <c r="H33" s="275"/>
      <c r="I33" s="275"/>
      <c r="L33" s="275"/>
    </row>
    <row r="34" spans="1:12" s="175" customFormat="1" ht="23.55" customHeight="1">
      <c r="A34"/>
      <c r="C34" s="275"/>
      <c r="D34" s="275"/>
      <c r="E34" s="300"/>
      <c r="F34" s="275"/>
      <c r="G34" s="275"/>
      <c r="H34" s="275"/>
      <c r="I34" s="275"/>
      <c r="L34" s="275"/>
    </row>
    <row r="35" spans="1:12" s="175" customFormat="1" ht="13.8">
      <c r="A35" s="299" t="s">
        <v>371</v>
      </c>
      <c r="B35" s="299"/>
      <c r="C35" s="298"/>
      <c r="D35" s="298"/>
      <c r="E35" s="297"/>
      <c r="F35" s="275"/>
      <c r="G35" s="275"/>
      <c r="H35" s="275"/>
      <c r="I35" s="275"/>
      <c r="J35" s="182"/>
      <c r="L35" s="275"/>
    </row>
    <row r="36" spans="1:12" s="175" customFormat="1" ht="25.2" customHeight="1">
      <c r="A36" s="1237" t="s">
        <v>370</v>
      </c>
      <c r="B36" s="1238"/>
      <c r="C36" s="1238"/>
      <c r="D36" s="1238"/>
      <c r="E36" s="1238"/>
      <c r="F36" s="275"/>
      <c r="G36" s="275"/>
      <c r="H36" s="275"/>
      <c r="I36" s="275"/>
      <c r="L36" s="275"/>
    </row>
    <row r="37" spans="1:12" s="175" customFormat="1" ht="13.8">
      <c r="A37" s="296" t="s">
        <v>235</v>
      </c>
      <c r="B37" s="294" t="s">
        <v>168</v>
      </c>
      <c r="C37" s="295" t="s">
        <v>369</v>
      </c>
      <c r="D37" s="294" t="s">
        <v>259</v>
      </c>
      <c r="E37" s="290"/>
      <c r="F37" s="283"/>
      <c r="G37" s="283"/>
      <c r="H37" s="283"/>
      <c r="I37" s="283"/>
      <c r="L37" s="275"/>
    </row>
    <row r="38" spans="1:12" s="175" customFormat="1" ht="13.8">
      <c r="A38" s="293" t="s">
        <v>368</v>
      </c>
      <c r="B38" s="317">
        <f>+'Master Budget Sheet'!BA162</f>
        <v>1</v>
      </c>
      <c r="C38" s="303">
        <f>+'Master Budget Sheet'!BP184</f>
        <v>3000</v>
      </c>
      <c r="D38" s="291">
        <f>B38*C38</f>
        <v>3000</v>
      </c>
      <c r="E38" s="290"/>
      <c r="F38" s="283"/>
      <c r="G38" s="283"/>
      <c r="H38" s="283"/>
      <c r="I38" s="283"/>
      <c r="L38" s="275"/>
    </row>
    <row r="39" spans="1:12" s="175" customFormat="1" ht="13.8">
      <c r="A39" s="286"/>
      <c r="B39" s="285"/>
      <c r="C39" s="289"/>
      <c r="D39" s="288" t="s">
        <v>367</v>
      </c>
      <c r="E39" s="287">
        <f>D38</f>
        <v>3000</v>
      </c>
      <c r="F39" s="283"/>
      <c r="G39" s="283"/>
      <c r="H39" s="283"/>
      <c r="I39" s="283"/>
      <c r="L39" s="275"/>
    </row>
    <row r="40" spans="1:12" s="175" customFormat="1" ht="13.8">
      <c r="A40" s="286"/>
      <c r="B40" s="285"/>
      <c r="C40" s="284"/>
      <c r="D40" s="279"/>
      <c r="E40" s="277"/>
      <c r="F40" s="283"/>
      <c r="G40" s="283"/>
      <c r="H40" s="283"/>
      <c r="I40" s="283"/>
      <c r="L40" s="275"/>
    </row>
    <row r="41" spans="1:12" ht="13.8">
      <c r="A41" s="175"/>
      <c r="B41" s="175"/>
      <c r="C41" s="282" t="s">
        <v>366</v>
      </c>
      <c r="D41" s="281"/>
      <c r="E41" s="280">
        <v>0</v>
      </c>
      <c r="F41" s="270" t="s">
        <v>365</v>
      </c>
      <c r="G41" s="270"/>
      <c r="H41" s="270"/>
      <c r="I41" s="175"/>
      <c r="J41" s="175"/>
      <c r="K41" s="175"/>
      <c r="L41" s="275"/>
    </row>
    <row r="42" spans="1:12" s="175" customFormat="1" ht="13.8">
      <c r="A42" s="275"/>
      <c r="B42" s="275"/>
      <c r="C42" s="279" t="s">
        <v>364</v>
      </c>
      <c r="D42" s="278"/>
      <c r="E42" s="277">
        <f>SUM(E26:E41)</f>
        <v>1307566.7</v>
      </c>
      <c r="F42" s="275"/>
      <c r="G42" s="275"/>
      <c r="H42" s="275"/>
      <c r="I42" s="275"/>
      <c r="L42" s="275"/>
    </row>
    <row r="43" spans="1:12" s="175" customFormat="1" ht="14.4" thickBot="1">
      <c r="A43" s="272"/>
      <c r="B43" s="272"/>
      <c r="D43" s="275" t="s">
        <v>363</v>
      </c>
      <c r="E43" s="276">
        <f>E42/B26</f>
        <v>76915.688235294117</v>
      </c>
      <c r="F43" s="275"/>
      <c r="G43" s="275"/>
      <c r="H43" s="275"/>
      <c r="I43" s="275"/>
      <c r="L43" s="275"/>
    </row>
    <row r="44" spans="1:12" s="175" customFormat="1" ht="15" customHeight="1" thickTop="1">
      <c r="A44" s="268"/>
      <c r="B44" s="268"/>
      <c r="L44" s="275"/>
    </row>
    <row r="45" spans="1:12" s="273" customFormat="1" ht="67.95" customHeight="1">
      <c r="A45"/>
      <c r="B45"/>
      <c r="C45"/>
      <c r="D45"/>
      <c r="E45"/>
      <c r="F45"/>
      <c r="L45" s="274"/>
    </row>
  </sheetData>
  <mergeCells count="1">
    <mergeCell ref="A36:E36"/>
  </mergeCells>
  <pageMargins left="0.75" right="0.25" top="0" bottom="0" header="0.3" footer="0.3"/>
  <pageSetup orientation="portrait" horizontalDpi="1800" verticalDpi="18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921EB2F0896D74C8147B5B187EED2E4" ma:contentTypeVersion="18" ma:contentTypeDescription="Create a new document." ma:contentTypeScope="" ma:versionID="8332444479535692f34280dc30454507">
  <xsd:schema xmlns:xsd="http://www.w3.org/2001/XMLSchema" xmlns:xs="http://www.w3.org/2001/XMLSchema" xmlns:p="http://schemas.microsoft.com/office/2006/metadata/properties" xmlns:ns2="3a9f1582-1c6e-4cdf-81aa-1598b3c2f764" xmlns:ns3="e655c033-a477-42d5-b9a8-1608dcade9af" targetNamespace="http://schemas.microsoft.com/office/2006/metadata/properties" ma:root="true" ma:fieldsID="fe00c4ceef0b00d76f26e3eb903892ea" ns2:_="" ns3:_="">
    <xsd:import namespace="3a9f1582-1c6e-4cdf-81aa-1598b3c2f764"/>
    <xsd:import namespace="e655c033-a477-42d5-b9a8-1608dcade9af"/>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AutoTags" minOccurs="0"/>
                <xsd:element ref="ns3:MediaServiceOCR" minOccurs="0"/>
                <xsd:element ref="ns3:MediaServiceDateTaken" minOccurs="0"/>
                <xsd:element ref="ns2:SharedWithUsers" minOccurs="0"/>
                <xsd:element ref="ns2:SharedWithDetails"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a9f1582-1c6e-4cdf-81aa-1598b3c2f764"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6" nillable="true" ma:displayName="Taxonomy Catch All Column" ma:hidden="true" ma:list="{a77dfa7d-3f6a-4176-b7db-822edf4d3a81}" ma:internalName="TaxCatchAll" ma:showField="CatchAllData" ma:web="3a9f1582-1c6e-4cdf-81aa-1598b3c2f764">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655c033-a477-42d5-b9a8-1608dcade9af"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MediaServiceAutoTags"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ServiceLocation" ma:index="22" nillable="true" ma:displayName="Location" ma:internalName="MediaServiceLocation"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cf6752c3-0009-4a51-aad7-a088b3a4bec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dlc_DocId xmlns="3a9f1582-1c6e-4cdf-81aa-1598b3c2f764">QSWMZJH2YJAS-1785415090-542339</_dlc_DocId>
    <_dlc_DocIdUrl xmlns="3a9f1582-1c6e-4cdf-81aa-1598b3c2f764">
      <Url>https://bluum.sharepoint.com/sites/backoffice/_layouts/15/DocIdRedir.aspx?ID=QSWMZJH2YJAS-1785415090-542339</Url>
      <Description>QSWMZJH2YJAS-1785415090-542339</Description>
    </_dlc_DocIdUrl>
    <lcf76f155ced4ddcb4097134ff3c332f xmlns="e655c033-a477-42d5-b9a8-1608dcade9af">
      <Terms xmlns="http://schemas.microsoft.com/office/infopath/2007/PartnerControls"/>
    </lcf76f155ced4ddcb4097134ff3c332f>
    <TaxCatchAll xmlns="3a9f1582-1c6e-4cdf-81aa-1598b3c2f764" xsi:nil="true"/>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150613BC-C501-4177-8819-E16EC956BF29}">
  <ds:schemaRefs>
    <ds:schemaRef ds:uri="http://schemas.microsoft.com/sharepoint/v3/contenttype/forms"/>
  </ds:schemaRefs>
</ds:datastoreItem>
</file>

<file path=customXml/itemProps2.xml><?xml version="1.0" encoding="utf-8"?>
<ds:datastoreItem xmlns:ds="http://schemas.openxmlformats.org/officeDocument/2006/customXml" ds:itemID="{3A4726A6-1B3E-457A-9EAE-A30660389AD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a9f1582-1c6e-4cdf-81aa-1598b3c2f764"/>
    <ds:schemaRef ds:uri="e655c033-a477-42d5-b9a8-1608dcade9a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6A57184-85FF-4986-943D-1B67F5DFD36C}">
  <ds:schemaRefs>
    <ds:schemaRef ds:uri="http://www.w3.org/XML/1998/namespace"/>
    <ds:schemaRef ds:uri="http://schemas.microsoft.com/office/infopath/2007/PartnerControls"/>
    <ds:schemaRef ds:uri="http://schemas.openxmlformats.org/package/2006/metadata/core-properties"/>
    <ds:schemaRef ds:uri="http://purl.org/dc/elements/1.1/"/>
    <ds:schemaRef ds:uri="http://purl.org/dc/dcmitype/"/>
    <ds:schemaRef ds:uri="http://schemas.microsoft.com/office/2006/metadata/properties"/>
    <ds:schemaRef ds:uri="e655c033-a477-42d5-b9a8-1608dcade9af"/>
    <ds:schemaRef ds:uri="http://schemas.microsoft.com/office/2006/documentManagement/types"/>
    <ds:schemaRef ds:uri="3a9f1582-1c6e-4cdf-81aa-1598b3c2f764"/>
    <ds:schemaRef ds:uri="http://purl.org/dc/terms/"/>
  </ds:schemaRefs>
</ds:datastoreItem>
</file>

<file path=customXml/itemProps4.xml><?xml version="1.0" encoding="utf-8"?>
<ds:datastoreItem xmlns:ds="http://schemas.openxmlformats.org/officeDocument/2006/customXml" ds:itemID="{0E818A47-F1C3-4969-8855-5794D97AFB1C}">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100</vt:i4>
      </vt:variant>
      <vt:variant>
        <vt:lpstr>Named Ranges</vt:lpstr>
      </vt:variant>
      <vt:variant>
        <vt:i4>82</vt:i4>
      </vt:variant>
    </vt:vector>
  </HeadingPairs>
  <TitlesOfParts>
    <vt:vector size="182" baseType="lpstr">
      <vt:lpstr>Master Budget Sheet</vt:lpstr>
      <vt:lpstr>24-25 Salary Schedule</vt:lpstr>
      <vt:lpstr>Projections</vt:lpstr>
      <vt:lpstr>Loan Amortization Based on Proj</vt:lpstr>
      <vt:lpstr>Input (1)</vt:lpstr>
      <vt:lpstr>Current Year (1)</vt:lpstr>
      <vt:lpstr>CY Without (1)</vt:lpstr>
      <vt:lpstr>Best 28 (1)</vt:lpstr>
      <vt:lpstr>Best 28 Without (1)</vt:lpstr>
      <vt:lpstr>C (1)</vt:lpstr>
      <vt:lpstr>criteria (1)</vt:lpstr>
      <vt:lpstr>Input (2)</vt:lpstr>
      <vt:lpstr>Current Year (2)</vt:lpstr>
      <vt:lpstr>Best 28 (2)</vt:lpstr>
      <vt:lpstr>Best 28 Without (2)</vt:lpstr>
      <vt:lpstr>C (2)</vt:lpstr>
      <vt:lpstr>CY Without (2)</vt:lpstr>
      <vt:lpstr>criteria (2)</vt:lpstr>
      <vt:lpstr>Input (3)</vt:lpstr>
      <vt:lpstr>Current Year (3)</vt:lpstr>
      <vt:lpstr>CY Without (3)</vt:lpstr>
      <vt:lpstr>Best 28 (3)</vt:lpstr>
      <vt:lpstr>Best 28 Without (3)</vt:lpstr>
      <vt:lpstr>C (3)</vt:lpstr>
      <vt:lpstr>criteria (3)</vt:lpstr>
      <vt:lpstr>Input (4)</vt:lpstr>
      <vt:lpstr>Current Year (4)</vt:lpstr>
      <vt:lpstr>CY Without (4)</vt:lpstr>
      <vt:lpstr>Best 28 (4)</vt:lpstr>
      <vt:lpstr>Best 28 Without (4)</vt:lpstr>
      <vt:lpstr>C (4)</vt:lpstr>
      <vt:lpstr>criteria (4)</vt:lpstr>
      <vt:lpstr>Input (5)</vt:lpstr>
      <vt:lpstr>Current Year (5)</vt:lpstr>
      <vt:lpstr>CY Without (5)</vt:lpstr>
      <vt:lpstr>Best 28 (5)</vt:lpstr>
      <vt:lpstr>Best 28 Without (5)</vt:lpstr>
      <vt:lpstr>C (5)</vt:lpstr>
      <vt:lpstr>criteria (5)</vt:lpstr>
      <vt:lpstr>Input (6)</vt:lpstr>
      <vt:lpstr>Current Year (6)</vt:lpstr>
      <vt:lpstr>CY Without (6)</vt:lpstr>
      <vt:lpstr>Best 28 (6)</vt:lpstr>
      <vt:lpstr>Best 28 Without (6)</vt:lpstr>
      <vt:lpstr>C (6)</vt:lpstr>
      <vt:lpstr>criteria (6)</vt:lpstr>
      <vt:lpstr>Input (7)</vt:lpstr>
      <vt:lpstr>Current Year (7)</vt:lpstr>
      <vt:lpstr>CY Without (7)</vt:lpstr>
      <vt:lpstr>Best 28 (7)</vt:lpstr>
      <vt:lpstr>Best 28 Without (7)</vt:lpstr>
      <vt:lpstr>C (7)</vt:lpstr>
      <vt:lpstr>criteria (7)</vt:lpstr>
      <vt:lpstr>Input (8)</vt:lpstr>
      <vt:lpstr>Current Year (8)</vt:lpstr>
      <vt:lpstr>CY Without (8)</vt:lpstr>
      <vt:lpstr>Best 28 (8)</vt:lpstr>
      <vt:lpstr>Best 28 Without (8)</vt:lpstr>
      <vt:lpstr>C (8)</vt:lpstr>
      <vt:lpstr>criteria (8)</vt:lpstr>
      <vt:lpstr>Enter Data Elements (1)</vt:lpstr>
      <vt:lpstr>Charter SBA (1)</vt:lpstr>
      <vt:lpstr>AdminIndex (1)</vt:lpstr>
      <vt:lpstr>Instructional fte (1)</vt:lpstr>
      <vt:lpstr>Pupil Services fte (1)</vt:lpstr>
      <vt:lpstr>Enter Data Elements (2)</vt:lpstr>
      <vt:lpstr>Charter SBA (2)</vt:lpstr>
      <vt:lpstr>AdminIndex (2)</vt:lpstr>
      <vt:lpstr>Instructional fte (2)</vt:lpstr>
      <vt:lpstr>Pupil Services fte (2)</vt:lpstr>
      <vt:lpstr>Enter Data Elements (3)</vt:lpstr>
      <vt:lpstr>Charter SBA (3)</vt:lpstr>
      <vt:lpstr>AdminIndex (3)</vt:lpstr>
      <vt:lpstr>Instructional fte (3)</vt:lpstr>
      <vt:lpstr>Pupil Services fte (3)</vt:lpstr>
      <vt:lpstr>Enter Data Elements (4)</vt:lpstr>
      <vt:lpstr>Charter SBA (4)</vt:lpstr>
      <vt:lpstr>AdminIndex (4)</vt:lpstr>
      <vt:lpstr>Instructional fte (4)</vt:lpstr>
      <vt:lpstr>Pupil Services fte (4)</vt:lpstr>
      <vt:lpstr>Enter Data Elements (5)</vt:lpstr>
      <vt:lpstr>Charter SBA (5)</vt:lpstr>
      <vt:lpstr>AdminIndex (5)</vt:lpstr>
      <vt:lpstr>Instructional fte (5)</vt:lpstr>
      <vt:lpstr>Pupil Services fte (5)</vt:lpstr>
      <vt:lpstr>Enter Data Elements (6)</vt:lpstr>
      <vt:lpstr>Charter SBA (6)</vt:lpstr>
      <vt:lpstr>AdminIndex (6)</vt:lpstr>
      <vt:lpstr>Instructional fte (6)</vt:lpstr>
      <vt:lpstr>Pupil Services fte (6)</vt:lpstr>
      <vt:lpstr>Enter Data Elements (7)</vt:lpstr>
      <vt:lpstr>Charter SBA (7)</vt:lpstr>
      <vt:lpstr>AdminIndex (7)</vt:lpstr>
      <vt:lpstr>Instructional fte (7)</vt:lpstr>
      <vt:lpstr>Pupil Services fte (7)</vt:lpstr>
      <vt:lpstr>Enter Data Elements (8)</vt:lpstr>
      <vt:lpstr>Charter SBA (8)</vt:lpstr>
      <vt:lpstr>AdminIndex (8)</vt:lpstr>
      <vt:lpstr>Instructional fte (8)</vt:lpstr>
      <vt:lpstr>Pupil Services fte (8)</vt:lpstr>
      <vt:lpstr>'criteria (1)'!Criteria</vt:lpstr>
      <vt:lpstr>'criteria (2)'!Criteria</vt:lpstr>
      <vt:lpstr>'criteria (3)'!Criteria</vt:lpstr>
      <vt:lpstr>'criteria (4)'!Criteria</vt:lpstr>
      <vt:lpstr>'criteria (5)'!Criteria</vt:lpstr>
      <vt:lpstr>'criteria (6)'!Criteria</vt:lpstr>
      <vt:lpstr>'criteria (7)'!Criteria</vt:lpstr>
      <vt:lpstr>'criteria (8)'!Criteria</vt:lpstr>
      <vt:lpstr>'criteria (1)'!Extract</vt:lpstr>
      <vt:lpstr>'criteria (2)'!Extract</vt:lpstr>
      <vt:lpstr>'criteria (3)'!Extract</vt:lpstr>
      <vt:lpstr>'criteria (4)'!Extract</vt:lpstr>
      <vt:lpstr>'criteria (5)'!Extract</vt:lpstr>
      <vt:lpstr>'criteria (6)'!Extract</vt:lpstr>
      <vt:lpstr>'criteria (7)'!Extract</vt:lpstr>
      <vt:lpstr>'criteria (8)'!Extract</vt:lpstr>
      <vt:lpstr>'AdminIndex (1)'!Print_Area</vt:lpstr>
      <vt:lpstr>'AdminIndex (2)'!Print_Area</vt:lpstr>
      <vt:lpstr>'AdminIndex (3)'!Print_Area</vt:lpstr>
      <vt:lpstr>'AdminIndex (4)'!Print_Area</vt:lpstr>
      <vt:lpstr>'AdminIndex (5)'!Print_Area</vt:lpstr>
      <vt:lpstr>'AdminIndex (6)'!Print_Area</vt:lpstr>
      <vt:lpstr>'AdminIndex (7)'!Print_Area</vt:lpstr>
      <vt:lpstr>'AdminIndex (8)'!Print_Area</vt:lpstr>
      <vt:lpstr>'Best 28 (1)'!Print_Area</vt:lpstr>
      <vt:lpstr>'Best 28 (2)'!Print_Area</vt:lpstr>
      <vt:lpstr>'Best 28 (3)'!Print_Area</vt:lpstr>
      <vt:lpstr>'Best 28 (4)'!Print_Area</vt:lpstr>
      <vt:lpstr>'Best 28 (5)'!Print_Area</vt:lpstr>
      <vt:lpstr>'Best 28 (6)'!Print_Area</vt:lpstr>
      <vt:lpstr>'Best 28 (7)'!Print_Area</vt:lpstr>
      <vt:lpstr>'Best 28 (8)'!Print_Area</vt:lpstr>
      <vt:lpstr>'Best 28 Without (1)'!Print_Area</vt:lpstr>
      <vt:lpstr>'Best 28 Without (2)'!Print_Area</vt:lpstr>
      <vt:lpstr>'Best 28 Without (3)'!Print_Area</vt:lpstr>
      <vt:lpstr>'Best 28 Without (4)'!Print_Area</vt:lpstr>
      <vt:lpstr>'Best 28 Without (5)'!Print_Area</vt:lpstr>
      <vt:lpstr>'Best 28 Without (6)'!Print_Area</vt:lpstr>
      <vt:lpstr>'Best 28 Without (7)'!Print_Area</vt:lpstr>
      <vt:lpstr>'Best 28 Without (8)'!Print_Area</vt:lpstr>
      <vt:lpstr>'Charter SBA (1)'!Print_Area</vt:lpstr>
      <vt:lpstr>'Charter SBA (2)'!Print_Area</vt:lpstr>
      <vt:lpstr>'Charter SBA (3)'!Print_Area</vt:lpstr>
      <vt:lpstr>'Charter SBA (4)'!Print_Area</vt:lpstr>
      <vt:lpstr>'Charter SBA (5)'!Print_Area</vt:lpstr>
      <vt:lpstr>'Charter SBA (6)'!Print_Area</vt:lpstr>
      <vt:lpstr>'Charter SBA (7)'!Print_Area</vt:lpstr>
      <vt:lpstr>'Charter SBA (8)'!Print_Area</vt:lpstr>
      <vt:lpstr>'Current Year (1)'!Print_Area</vt:lpstr>
      <vt:lpstr>'Current Year (2)'!Print_Area</vt:lpstr>
      <vt:lpstr>'Current Year (3)'!Print_Area</vt:lpstr>
      <vt:lpstr>'Current Year (4)'!Print_Area</vt:lpstr>
      <vt:lpstr>'Current Year (5)'!Print_Area</vt:lpstr>
      <vt:lpstr>'Current Year (6)'!Print_Area</vt:lpstr>
      <vt:lpstr>'Current Year (7)'!Print_Area</vt:lpstr>
      <vt:lpstr>'Current Year (8)'!Print_Area</vt:lpstr>
      <vt:lpstr>'CY Without (1)'!Print_Area</vt:lpstr>
      <vt:lpstr>'CY Without (2)'!Print_Area</vt:lpstr>
      <vt:lpstr>'CY Without (3)'!Print_Area</vt:lpstr>
      <vt:lpstr>'CY Without (4)'!Print_Area</vt:lpstr>
      <vt:lpstr>'CY Without (5)'!Print_Area</vt:lpstr>
      <vt:lpstr>'CY Without (6)'!Print_Area</vt:lpstr>
      <vt:lpstr>'CY Without (7)'!Print_Area</vt:lpstr>
      <vt:lpstr>'CY Without (8)'!Print_Area</vt:lpstr>
      <vt:lpstr>'Enter Data Elements (1)'!Print_Area</vt:lpstr>
      <vt:lpstr>'Enter Data Elements (2)'!Print_Area</vt:lpstr>
      <vt:lpstr>'Enter Data Elements (3)'!Print_Area</vt:lpstr>
      <vt:lpstr>'Enter Data Elements (4)'!Print_Area</vt:lpstr>
      <vt:lpstr>'Enter Data Elements (5)'!Print_Area</vt:lpstr>
      <vt:lpstr>'Enter Data Elements (6)'!Print_Area</vt:lpstr>
      <vt:lpstr>'Enter Data Elements (7)'!Print_Area</vt:lpstr>
      <vt:lpstr>'Enter Data Elements (8)'!Print_Area</vt:lpstr>
      <vt:lpstr>'Instructional fte (1)'!Print_Area</vt:lpstr>
      <vt:lpstr>'Instructional fte (2)'!Print_Area</vt:lpstr>
      <vt:lpstr>'Instructional fte (3)'!Print_Area</vt:lpstr>
      <vt:lpstr>'Instructional fte (4)'!Print_Area</vt:lpstr>
      <vt:lpstr>'Instructional fte (5)'!Print_Area</vt:lpstr>
      <vt:lpstr>'Instructional fte (6)'!Print_Area</vt:lpstr>
      <vt:lpstr>'Instructional fte (7)'!Print_Area</vt:lpstr>
      <vt:lpstr>'Instructional fte (8)'!Print_Area</vt:lpstr>
      <vt:lpstr>'Loan Amortization Based on Proj'!Print_Area</vt:lpstr>
      <vt:lpstr>'Master Budget Sheet'!Print_Area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 Carignan</dc:creator>
  <cp:lastModifiedBy>Cole Skinner</cp:lastModifiedBy>
  <cp:lastPrinted>2024-05-20T21:01:00Z</cp:lastPrinted>
  <dcterms:created xsi:type="dcterms:W3CDTF">2016-02-01T02:34:05Z</dcterms:created>
  <dcterms:modified xsi:type="dcterms:W3CDTF">2024-06-14T22:56:12Z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0x0101002921EB2F0896D74C8147B5B187EED2E4</vt:lpwstr>
  </property>
  <property fmtid="{D5CDD505-2E9C-101B-9397-08002B2CF9AE}" pid="3" name="_dlc_DocIdItemGuid">
    <vt:lpwstr>83608a50-6ce9-43e4-8342-9c797b4c6a30</vt:lpwstr>
  </property>
  <property fmtid="{D5CDD505-2E9C-101B-9397-08002B2CF9AE}" pid="4" name="AuthorIds_UIVersion_4096">
    <vt:lpwstr>18</vt:lpwstr>
  </property>
  <property fmtid="{D5CDD505-2E9C-101B-9397-08002B2CF9AE}" pid="5" name="AuthorIds_UIVersion_1024">
    <vt:lpwstr>18</vt:lpwstr>
  </property>
  <property fmtid="{D5CDD505-2E9C-101B-9397-08002B2CF9AE}" pid="6" name="AuthorIds_UIVersion_5120">
    <vt:lpwstr>18</vt:lpwstr>
  </property>
  <property fmtid="{D5CDD505-2E9C-101B-9397-08002B2CF9AE}" pid="7" name="AuthorIds_UIVersion_2560">
    <vt:lpwstr>18</vt:lpwstr>
  </property>
  <property fmtid="{D5CDD505-2E9C-101B-9397-08002B2CF9AE}" pid="8" name="MediaServiceImageTags">
    <vt:lpwstr/>
  </property>
</Properties>
</file>